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drawings/drawing4.xml" ContentType="application/vnd.openxmlformats-officedocument.drawing+xml"/>
  <Override PartName="/xl/comments2.xml" ContentType="application/vnd.openxmlformats-officedocument.spreadsheetml.comments+xml"/>
  <Override PartName="/xl/drawings/drawing5.xml" ContentType="application/vnd.openxmlformats-officedocument.drawing+xml"/>
  <Override PartName="/xl/drawings/drawing6.xml" ContentType="application/vnd.openxmlformats-officedocument.drawing+xml"/>
  <Override PartName="/xl/comments3.xml" ContentType="application/vnd.openxmlformats-officedocument.spreadsheetml.comments+xml"/>
  <Override PartName="/xl/drawings/drawing7.xml" ContentType="application/vnd.openxmlformats-officedocument.drawing+xml"/>
  <Override PartName="/xl/comments4.xml" ContentType="application/vnd.openxmlformats-officedocument.spreadsheetml.comments+xml"/>
  <Override PartName="/xl/drawings/drawing8.xml" ContentType="application/vnd.openxmlformats-officedocument.drawing+xml"/>
  <Override PartName="/xl/comments5.xml" ContentType="application/vnd.openxmlformats-officedocument.spreadsheetml.comments+xml"/>
  <Override PartName="/xl/drawings/drawing9.xml" ContentType="application/vnd.openxmlformats-officedocument.drawing+xml"/>
  <Override PartName="/xl/comments6.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Override PartName="/xl/threadedComments/threadedComment2.xml" ContentType="application/vnd.ms-excel.threadedcomments+xml"/>
  <Override PartName="/xl/threadedComments/threadedComment3.xml" ContentType="application/vnd.ms-excel.threadedcomments+xml"/>
  <Override PartName="/xl/threadedComments/threadedComment4.xml" ContentType="application/vnd.ms-excel.threadedcomments+xml"/>
  <Override PartName="/xl/threadedComments/threadedComment5.xml" ContentType="application/vnd.ms-excel.threadedcomments+xml"/>
  <Override PartName="/xl/threadedComments/threadedComment6.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73"/>
  <workbookPr defaultThemeVersion="166925"/>
  <mc:AlternateContent xmlns:mc="http://schemas.openxmlformats.org/markup-compatibility/2006">
    <mc:Choice Requires="x15">
      <x15ac:absPath xmlns:x15ac="http://schemas.microsoft.com/office/spreadsheetml/2010/11/ac" url="\\Guimain\ate\CalTestGUI\"/>
    </mc:Choice>
  </mc:AlternateContent>
  <xr:revisionPtr revIDLastSave="0" documentId="13_ncr:1_{BA574E89-A1C5-4944-B27B-9505AE2F09A2}" xr6:coauthVersionLast="36" xr6:coauthVersionMax="46" xr10:uidLastSave="{00000000-0000-0000-0000-000000000000}"/>
  <bookViews>
    <workbookView xWindow="-50520" yWindow="-120" windowWidth="25440" windowHeight="15390" tabRatio="946" xr2:uid="{00000000-000D-0000-FFFF-FFFF00000000}"/>
  </bookViews>
  <sheets>
    <sheet name="Front Page" sheetId="23" r:id="rId1"/>
    <sheet name="Checks" sheetId="42" state="hidden" r:id="rId2"/>
    <sheet name="3 Ph" sheetId="24" r:id="rId3"/>
    <sheet name="3 Ph Tx" sheetId="25" r:id="rId4"/>
    <sheet name="3 Ph AFX" sheetId="26" r:id="rId5"/>
    <sheet name="2 Ph" sheetId="27" r:id="rId6"/>
    <sheet name="2 Ph Tx" sheetId="28" r:id="rId7"/>
    <sheet name="115ASX" sheetId="29" r:id="rId8"/>
    <sheet name="115ASXT" sheetId="30" r:id="rId9"/>
    <sheet name="Test Equ" sheetId="31" state="hidden" r:id="rId10"/>
    <sheet name="3Ph data" sheetId="32" state="hidden" r:id="rId11"/>
    <sheet name="3PhT data" sheetId="33" state="hidden" r:id="rId12"/>
    <sheet name="AFX" sheetId="34" state="hidden" r:id="rId13"/>
    <sheet name="2Ph data" sheetId="35" state="hidden" r:id="rId14"/>
    <sheet name="2PhT data" sheetId="36" state="hidden" r:id="rId15"/>
    <sheet name="1Ph data" sheetId="37" state="hidden" r:id="rId16"/>
    <sheet name="1PhT data" sheetId="38" state="hidden" r:id="rId17"/>
    <sheet name="Other data do not use" sheetId="39" state="hidden" r:id="rId18"/>
    <sheet name="Limits" sheetId="40" state="hidden" r:id="rId19"/>
    <sheet name="All types" sheetId="44" state="hidden" r:id="rId20"/>
  </sheets>
  <definedNames>
    <definedName name="_Hlk56064498" localSheetId="9">'Test Equ'!#REF!</definedName>
    <definedName name="_Hlk56064509" localSheetId="9">'Test Equ'!#REF!</definedName>
    <definedName name="_Hlk56064533" localSheetId="9">'Test Equ'!#REF!</definedName>
    <definedName name="_xlnm.Print_Area" localSheetId="1">Checks!$A$1:$I$33</definedName>
    <definedName name="_xlnm.Print_Area" localSheetId="0">'Front Page'!$A$1:$I$33</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415" i="26" l="1"/>
  <c r="F415" i="26"/>
  <c r="F414" i="26"/>
  <c r="F412" i="26"/>
  <c r="F411" i="26"/>
  <c r="F409" i="26"/>
  <c r="F408" i="26"/>
  <c r="F406" i="26"/>
  <c r="F405" i="26"/>
  <c r="F365" i="26"/>
  <c r="F386" i="26"/>
  <c r="F385" i="26"/>
  <c r="F384" i="26"/>
  <c r="F383" i="26"/>
  <c r="F382" i="26"/>
  <c r="F381" i="26"/>
  <c r="F380" i="26"/>
  <c r="F379" i="26"/>
  <c r="F378" i="26"/>
  <c r="F377" i="26"/>
  <c r="F376" i="26"/>
  <c r="F375" i="26"/>
  <c r="F374" i="26"/>
  <c r="F373" i="26"/>
  <c r="F372" i="26"/>
  <c r="F371" i="26"/>
  <c r="F370" i="26"/>
  <c r="F369" i="26"/>
  <c r="F368" i="26"/>
  <c r="F367" i="26"/>
  <c r="F364" i="26"/>
  <c r="A73" i="24"/>
  <c r="H13" i="23"/>
  <c r="H386" i="26"/>
  <c r="H385" i="26"/>
  <c r="H384" i="26"/>
  <c r="H383" i="26"/>
  <c r="H382" i="26"/>
  <c r="H381" i="26"/>
  <c r="H380" i="26"/>
  <c r="H379" i="26"/>
  <c r="H378" i="26"/>
  <c r="H377" i="26"/>
  <c r="H376" i="26"/>
  <c r="H375" i="26"/>
  <c r="H374" i="26"/>
  <c r="H373" i="26"/>
  <c r="H372" i="26"/>
  <c r="H371" i="26"/>
  <c r="H370" i="26"/>
  <c r="H369" i="26"/>
  <c r="H368" i="26"/>
  <c r="H367" i="26"/>
  <c r="H366" i="26"/>
  <c r="H365" i="26"/>
  <c r="H364" i="26"/>
  <c r="H363" i="26"/>
  <c r="H415" i="26"/>
  <c r="H414" i="26"/>
  <c r="H413" i="26"/>
  <c r="H412" i="26"/>
  <c r="H411" i="26"/>
  <c r="H410" i="26"/>
  <c r="H409" i="26"/>
  <c r="H408" i="26"/>
  <c r="H407" i="26"/>
  <c r="H406" i="26"/>
  <c r="H405" i="26"/>
  <c r="H404" i="26"/>
  <c r="D415" i="26"/>
  <c r="D414" i="26"/>
  <c r="D413" i="26"/>
  <c r="D412" i="26"/>
  <c r="D411" i="26"/>
  <c r="D410" i="26"/>
  <c r="D409" i="26"/>
  <c r="D408" i="26"/>
  <c r="D407" i="26"/>
  <c r="D406" i="26"/>
  <c r="D405" i="26"/>
  <c r="D404" i="26"/>
  <c r="D386" i="26"/>
  <c r="D385" i="26"/>
  <c r="D384" i="26"/>
  <c r="D383" i="26"/>
  <c r="D382" i="26"/>
  <c r="D381" i="26"/>
  <c r="D380" i="26"/>
  <c r="D379" i="26"/>
  <c r="D378" i="26"/>
  <c r="D377" i="26"/>
  <c r="D376" i="26"/>
  <c r="D375" i="26"/>
  <c r="D374" i="26"/>
  <c r="D373" i="26"/>
  <c r="D372" i="26"/>
  <c r="D371" i="26"/>
  <c r="D370" i="26"/>
  <c r="D369" i="26"/>
  <c r="D368" i="26"/>
  <c r="D367" i="26"/>
  <c r="D366" i="26"/>
  <c r="D365" i="26"/>
  <c r="D364" i="26"/>
  <c r="D363" i="26"/>
  <c r="H438" i="26"/>
  <c r="H437" i="26"/>
  <c r="H436" i="26"/>
  <c r="H435" i="26"/>
  <c r="H434" i="26"/>
  <c r="H433" i="26"/>
  <c r="H432" i="26"/>
  <c r="H431" i="26"/>
  <c r="H430" i="26"/>
  <c r="D438" i="26"/>
  <c r="D437" i="26"/>
  <c r="D436" i="26"/>
  <c r="D435" i="26"/>
  <c r="D434" i="26"/>
  <c r="D433" i="26"/>
  <c r="D432" i="26"/>
  <c r="D431" i="26"/>
  <c r="D430" i="26"/>
  <c r="H465" i="26"/>
  <c r="H464" i="26"/>
  <c r="H463" i="26"/>
  <c r="H462" i="26"/>
  <c r="H461" i="26"/>
  <c r="H460" i="26"/>
  <c r="H459" i="26"/>
  <c r="H458" i="26"/>
  <c r="H457" i="26"/>
  <c r="H456" i="26"/>
  <c r="D465" i="26"/>
  <c r="D464" i="26"/>
  <c r="D463" i="26"/>
  <c r="D462" i="26"/>
  <c r="D461" i="26"/>
  <c r="D460" i="26"/>
  <c r="D459" i="26"/>
  <c r="D458" i="26"/>
  <c r="D457" i="26"/>
  <c r="D456" i="26"/>
  <c r="J430" i="26"/>
  <c r="F430" i="26"/>
  <c r="J363" i="26" l="1"/>
  <c r="F363" i="26"/>
  <c r="C19" i="42"/>
  <c r="F26" i="42"/>
  <c r="D141" i="44"/>
  <c r="D140" i="44"/>
  <c r="D139" i="44"/>
  <c r="D138" i="44"/>
  <c r="D137" i="44"/>
  <c r="D136" i="44"/>
  <c r="D135" i="44"/>
  <c r="D134" i="44"/>
  <c r="D133" i="44"/>
  <c r="D132" i="44"/>
  <c r="D131" i="44"/>
  <c r="D130" i="44"/>
  <c r="D129" i="44"/>
  <c r="D128" i="44"/>
  <c r="D127" i="44"/>
  <c r="D126" i="44"/>
  <c r="D125" i="44"/>
  <c r="D124" i="44"/>
  <c r="D123" i="44"/>
  <c r="D122" i="44"/>
  <c r="D121" i="44"/>
  <c r="D120" i="44"/>
  <c r="D119" i="44"/>
  <c r="D118" i="44"/>
  <c r="D117" i="44"/>
  <c r="D116" i="44"/>
  <c r="D115" i="44"/>
  <c r="D114" i="44"/>
  <c r="D113" i="44"/>
  <c r="D112" i="44"/>
  <c r="D111" i="44"/>
  <c r="D110" i="44"/>
  <c r="D109" i="44"/>
  <c r="D108" i="44"/>
  <c r="D107" i="44"/>
  <c r="D106" i="44"/>
  <c r="D105" i="44"/>
  <c r="D104" i="44"/>
  <c r="D103" i="44"/>
  <c r="D102" i="44"/>
  <c r="D101" i="44"/>
  <c r="D100" i="44"/>
  <c r="D99" i="44"/>
  <c r="D98" i="44"/>
  <c r="D97" i="44"/>
  <c r="D96" i="44"/>
  <c r="D95" i="44"/>
  <c r="D94" i="44"/>
  <c r="D93" i="44"/>
  <c r="D92" i="44"/>
  <c r="D91" i="44"/>
  <c r="D90" i="44"/>
  <c r="D89" i="44"/>
  <c r="D88" i="44"/>
  <c r="D87" i="44"/>
  <c r="D86" i="44"/>
  <c r="D85" i="44"/>
  <c r="D84" i="44"/>
  <c r="D83" i="44"/>
  <c r="D82" i="44"/>
  <c r="D81" i="44"/>
  <c r="D80" i="44"/>
  <c r="D79" i="44"/>
  <c r="D78" i="44"/>
  <c r="D77" i="44"/>
  <c r="D76" i="44"/>
  <c r="D75" i="44"/>
  <c r="D74" i="44"/>
  <c r="D73" i="44"/>
  <c r="D72" i="44"/>
  <c r="D71" i="44"/>
  <c r="D70" i="44"/>
  <c r="D69" i="44"/>
  <c r="D68" i="44"/>
  <c r="D67" i="44"/>
  <c r="D66" i="44"/>
  <c r="D65" i="44"/>
  <c r="D64" i="44"/>
  <c r="D63" i="44"/>
  <c r="D62" i="44"/>
  <c r="D61" i="44"/>
  <c r="D60" i="44"/>
  <c r="D59" i="44"/>
  <c r="D58" i="44"/>
  <c r="D57" i="44"/>
  <c r="D56" i="44"/>
  <c r="D55" i="44"/>
  <c r="D54" i="44"/>
  <c r="D53" i="44"/>
  <c r="D52" i="44"/>
  <c r="D51" i="44"/>
  <c r="D50" i="44"/>
  <c r="D49" i="44"/>
  <c r="D48" i="44"/>
  <c r="D47" i="44"/>
  <c r="D46" i="44"/>
  <c r="D45" i="44"/>
  <c r="D44" i="44"/>
  <c r="D43" i="44"/>
  <c r="D42" i="44"/>
  <c r="D41" i="44"/>
  <c r="D40" i="44"/>
  <c r="D39" i="44"/>
  <c r="D38" i="44"/>
  <c r="D37" i="44"/>
  <c r="D36" i="44"/>
  <c r="D35" i="44"/>
  <c r="D34" i="44"/>
  <c r="D33" i="44"/>
  <c r="D32" i="44"/>
  <c r="D31" i="44"/>
  <c r="D30" i="44"/>
  <c r="D29" i="44"/>
  <c r="D28" i="44"/>
  <c r="D27" i="44"/>
  <c r="D26" i="44"/>
  <c r="D25" i="44"/>
  <c r="D24" i="44"/>
  <c r="D23" i="44"/>
  <c r="D22" i="44"/>
  <c r="D21" i="44"/>
  <c r="D20" i="44"/>
  <c r="D19" i="44"/>
  <c r="D18" i="44"/>
  <c r="D17" i="44"/>
  <c r="D16" i="44"/>
  <c r="D15" i="44"/>
  <c r="D14" i="44"/>
  <c r="D13" i="44"/>
  <c r="D12" i="44"/>
  <c r="D11" i="44"/>
  <c r="D10" i="44"/>
  <c r="D9" i="44"/>
  <c r="D8" i="44"/>
  <c r="D7" i="44"/>
  <c r="D6" i="44"/>
  <c r="D5" i="44"/>
  <c r="D4" i="44"/>
  <c r="D3" i="44"/>
  <c r="D2" i="44"/>
  <c r="F25" i="42" l="1"/>
  <c r="E26" i="42"/>
  <c r="E25" i="42" s="1"/>
  <c r="F129" i="26" l="1"/>
  <c r="F128" i="26"/>
  <c r="F126" i="26"/>
  <c r="F125" i="26"/>
  <c r="F123" i="26"/>
  <c r="F122" i="26"/>
  <c r="F120" i="26"/>
  <c r="F119" i="26"/>
  <c r="F100" i="26"/>
  <c r="F99" i="26"/>
  <c r="F97" i="26"/>
  <c r="F96" i="26"/>
  <c r="F94" i="26"/>
  <c r="F93" i="26"/>
  <c r="F91" i="26"/>
  <c r="F90" i="26"/>
  <c r="F88" i="26"/>
  <c r="F87" i="26"/>
  <c r="F85" i="26"/>
  <c r="F84" i="26"/>
  <c r="F82" i="26"/>
  <c r="F81" i="26"/>
  <c r="F79" i="26"/>
  <c r="F78" i="26"/>
  <c r="B147" i="25"/>
  <c r="B146" i="25"/>
  <c r="B144" i="25"/>
  <c r="B143" i="25"/>
  <c r="B141" i="25"/>
  <c r="B140" i="25"/>
  <c r="B138" i="25"/>
  <c r="B137" i="25"/>
  <c r="B135" i="25"/>
  <c r="B134" i="25"/>
  <c r="B132" i="25"/>
  <c r="B131" i="25"/>
  <c r="B129" i="25"/>
  <c r="B128" i="25"/>
  <c r="C31" i="42"/>
  <c r="D28" i="30" s="1"/>
  <c r="B266" i="30" s="1"/>
  <c r="K266" i="30" s="1"/>
  <c r="C30" i="42"/>
  <c r="D28" i="29" s="1"/>
  <c r="C27" i="42"/>
  <c r="D27" i="42" s="1"/>
  <c r="C29" i="42"/>
  <c r="D29" i="42" s="1"/>
  <c r="C28" i="42"/>
  <c r="D28" i="42" s="1"/>
  <c r="C26" i="42"/>
  <c r="D28" i="25" s="1"/>
  <c r="C25" i="42"/>
  <c r="D28" i="24" s="1"/>
  <c r="H13" i="42"/>
  <c r="H10" i="40"/>
  <c r="C10" i="40"/>
  <c r="S3" i="38"/>
  <c r="S2" i="38"/>
  <c r="S3" i="37"/>
  <c r="S2" i="37"/>
  <c r="S25" i="36"/>
  <c r="S24" i="36"/>
  <c r="S23" i="36"/>
  <c r="S22" i="36"/>
  <c r="S21" i="36"/>
  <c r="S20" i="36"/>
  <c r="S19" i="36"/>
  <c r="S18" i="36"/>
  <c r="S17" i="36"/>
  <c r="S16" i="36"/>
  <c r="S15" i="36"/>
  <c r="S14" i="36"/>
  <c r="S13" i="36"/>
  <c r="S12" i="36"/>
  <c r="S11" i="36"/>
  <c r="S10" i="36"/>
  <c r="S9" i="36"/>
  <c r="S8" i="36"/>
  <c r="S7" i="36"/>
  <c r="S6" i="36"/>
  <c r="S5" i="36"/>
  <c r="S4" i="36"/>
  <c r="S3" i="36"/>
  <c r="S2" i="36"/>
  <c r="S30" i="35"/>
  <c r="S29" i="35"/>
  <c r="S28" i="35"/>
  <c r="S27" i="35"/>
  <c r="S26" i="35"/>
  <c r="S25" i="35"/>
  <c r="S24" i="35"/>
  <c r="S23" i="35"/>
  <c r="S22" i="35"/>
  <c r="S21" i="35"/>
  <c r="S20" i="35"/>
  <c r="S19" i="35"/>
  <c r="S18" i="35"/>
  <c r="S17" i="35"/>
  <c r="S16" i="35"/>
  <c r="S15" i="35"/>
  <c r="S14" i="35"/>
  <c r="S13" i="35"/>
  <c r="S12" i="35"/>
  <c r="S11" i="35"/>
  <c r="S10" i="35"/>
  <c r="S9" i="35"/>
  <c r="S8" i="35"/>
  <c r="S7" i="35"/>
  <c r="S6" i="35"/>
  <c r="S5" i="35"/>
  <c r="S4" i="35"/>
  <c r="S3" i="35"/>
  <c r="S2" i="35"/>
  <c r="X13" i="34"/>
  <c r="W13" i="34"/>
  <c r="V13" i="34"/>
  <c r="U13" i="34"/>
  <c r="T13" i="34"/>
  <c r="L13" i="34"/>
  <c r="K13" i="34"/>
  <c r="J13" i="34"/>
  <c r="I13" i="34"/>
  <c r="H13" i="34"/>
  <c r="X12" i="34"/>
  <c r="W12" i="34"/>
  <c r="V12" i="34"/>
  <c r="U12" i="34"/>
  <c r="T12" i="34"/>
  <c r="L12" i="34"/>
  <c r="K12" i="34"/>
  <c r="J12" i="34"/>
  <c r="I12" i="34"/>
  <c r="H12" i="34"/>
  <c r="L11" i="34"/>
  <c r="K11" i="34"/>
  <c r="J11" i="34"/>
  <c r="I11" i="34"/>
  <c r="H11" i="34"/>
  <c r="X10" i="34"/>
  <c r="W10" i="34"/>
  <c r="V10" i="34"/>
  <c r="U10" i="34"/>
  <c r="T10" i="34"/>
  <c r="L10" i="34"/>
  <c r="K10" i="34"/>
  <c r="J10" i="34"/>
  <c r="I10" i="34"/>
  <c r="H10" i="34"/>
  <c r="X9" i="34"/>
  <c r="W9" i="34"/>
  <c r="V9" i="34"/>
  <c r="U9" i="34"/>
  <c r="T9" i="34"/>
  <c r="L9" i="34"/>
  <c r="K9" i="34"/>
  <c r="J9" i="34"/>
  <c r="I9" i="34"/>
  <c r="H9" i="34"/>
  <c r="X8" i="34"/>
  <c r="W8" i="34"/>
  <c r="V8" i="34"/>
  <c r="U8" i="34"/>
  <c r="T8" i="34"/>
  <c r="L8" i="34"/>
  <c r="M5" i="34"/>
  <c r="L5" i="34"/>
  <c r="K5" i="34"/>
  <c r="K8" i="34" s="1"/>
  <c r="J5" i="34"/>
  <c r="J8" i="34" s="1"/>
  <c r="I5" i="34"/>
  <c r="I8" i="34" s="1"/>
  <c r="H5" i="34"/>
  <c r="H8" i="34" s="1"/>
  <c r="L4" i="34"/>
  <c r="U37" i="33"/>
  <c r="T37" i="33"/>
  <c r="U36" i="33"/>
  <c r="T36" i="33"/>
  <c r="U35" i="33"/>
  <c r="T35" i="33"/>
  <c r="U34" i="33"/>
  <c r="T34" i="33"/>
  <c r="U33" i="33"/>
  <c r="T33" i="33"/>
  <c r="U32" i="33"/>
  <c r="T32" i="33"/>
  <c r="U31" i="33"/>
  <c r="T31" i="33"/>
  <c r="U30" i="33"/>
  <c r="T30" i="33"/>
  <c r="U29" i="33"/>
  <c r="T29" i="33"/>
  <c r="U28" i="33"/>
  <c r="T28" i="33"/>
  <c r="U27" i="33"/>
  <c r="T27" i="33"/>
  <c r="U26" i="33"/>
  <c r="T26" i="33"/>
  <c r="U25" i="33"/>
  <c r="T25" i="33"/>
  <c r="U24" i="33"/>
  <c r="T24" i="33"/>
  <c r="U23" i="33"/>
  <c r="T23" i="33"/>
  <c r="U22" i="33"/>
  <c r="T22" i="33"/>
  <c r="U21" i="33"/>
  <c r="T21" i="33"/>
  <c r="U20" i="33"/>
  <c r="T20" i="33"/>
  <c r="U19" i="33"/>
  <c r="T19" i="33"/>
  <c r="U18" i="33"/>
  <c r="T18" i="33"/>
  <c r="U17" i="33"/>
  <c r="T17" i="33"/>
  <c r="U16" i="33"/>
  <c r="T16" i="33"/>
  <c r="U15" i="33"/>
  <c r="T15" i="33"/>
  <c r="U14" i="33"/>
  <c r="T14" i="33"/>
  <c r="U13" i="33"/>
  <c r="T13" i="33"/>
  <c r="U12" i="33"/>
  <c r="T12" i="33"/>
  <c r="U11" i="33"/>
  <c r="T11" i="33"/>
  <c r="U10" i="33"/>
  <c r="T10" i="33"/>
  <c r="U9" i="33"/>
  <c r="T9" i="33"/>
  <c r="U8" i="33"/>
  <c r="T8" i="33"/>
  <c r="U7" i="33"/>
  <c r="T7" i="33"/>
  <c r="U6" i="33"/>
  <c r="T6" i="33"/>
  <c r="U5" i="33"/>
  <c r="T5" i="33"/>
  <c r="U4" i="33"/>
  <c r="T4" i="33"/>
  <c r="U3" i="33"/>
  <c r="T3" i="33"/>
  <c r="U2" i="33"/>
  <c r="T2" i="33"/>
  <c r="AC37" i="32"/>
  <c r="AB37" i="32"/>
  <c r="I37" i="32"/>
  <c r="H37" i="32"/>
  <c r="G37" i="32"/>
  <c r="F37" i="32"/>
  <c r="AC36" i="32"/>
  <c r="AB36" i="32"/>
  <c r="I36" i="32"/>
  <c r="H36" i="32"/>
  <c r="G36" i="32"/>
  <c r="F36" i="32"/>
  <c r="AC35" i="32"/>
  <c r="AB35" i="32"/>
  <c r="I35" i="32"/>
  <c r="H35" i="32"/>
  <c r="G35" i="32"/>
  <c r="F35" i="32"/>
  <c r="AC34" i="32"/>
  <c r="AB34" i="32"/>
  <c r="I34" i="32"/>
  <c r="H34" i="32"/>
  <c r="G34" i="32"/>
  <c r="F34" i="32"/>
  <c r="AC33" i="32"/>
  <c r="AB33" i="32"/>
  <c r="I33" i="32"/>
  <c r="H33" i="32"/>
  <c r="G33" i="32"/>
  <c r="F33" i="32"/>
  <c r="AC32" i="32"/>
  <c r="AB32" i="32"/>
  <c r="I32" i="32"/>
  <c r="H32" i="32"/>
  <c r="G32" i="32"/>
  <c r="F32" i="32"/>
  <c r="AC31" i="32"/>
  <c r="AB31" i="32"/>
  <c r="I31" i="32"/>
  <c r="H31" i="32"/>
  <c r="G31" i="32"/>
  <c r="F31" i="32"/>
  <c r="AC30" i="32"/>
  <c r="AB30" i="32"/>
  <c r="I30" i="32"/>
  <c r="H30" i="32"/>
  <c r="G30" i="32"/>
  <c r="F30" i="32"/>
  <c r="AC29" i="32"/>
  <c r="AB29" i="32"/>
  <c r="I29" i="32"/>
  <c r="H29" i="32"/>
  <c r="G29" i="32"/>
  <c r="F29" i="32"/>
  <c r="AC28" i="32"/>
  <c r="AB28" i="32"/>
  <c r="I28" i="32"/>
  <c r="H28" i="32"/>
  <c r="G28" i="32"/>
  <c r="F28" i="32"/>
  <c r="AC27" i="32"/>
  <c r="AB27" i="32"/>
  <c r="H27" i="32"/>
  <c r="G27" i="32"/>
  <c r="F27" i="32"/>
  <c r="AC26" i="32"/>
  <c r="AB26" i="32"/>
  <c r="H26" i="32"/>
  <c r="G26" i="32"/>
  <c r="F26" i="32"/>
  <c r="AC25" i="32"/>
  <c r="AB25" i="32"/>
  <c r="H25" i="32"/>
  <c r="G25" i="32"/>
  <c r="F25" i="32"/>
  <c r="AC24" i="32"/>
  <c r="AB24" i="32"/>
  <c r="H24" i="32"/>
  <c r="G24" i="32"/>
  <c r="F24" i="32"/>
  <c r="AC23" i="32"/>
  <c r="AB23" i="32"/>
  <c r="H23" i="32"/>
  <c r="G23" i="32"/>
  <c r="F23" i="32"/>
  <c r="AC22" i="32"/>
  <c r="AB22" i="32"/>
  <c r="H22" i="32"/>
  <c r="G22" i="32"/>
  <c r="F22" i="32"/>
  <c r="AC21" i="32"/>
  <c r="AB21" i="32"/>
  <c r="H21" i="32"/>
  <c r="G21" i="32"/>
  <c r="F21" i="32"/>
  <c r="AC20" i="32"/>
  <c r="AB20" i="32"/>
  <c r="H20" i="32"/>
  <c r="G20" i="32"/>
  <c r="F20" i="32"/>
  <c r="AC19" i="32"/>
  <c r="AB19" i="32"/>
  <c r="H19" i="32"/>
  <c r="G19" i="32"/>
  <c r="F19" i="32"/>
  <c r="AC18" i="32"/>
  <c r="AB18" i="32"/>
  <c r="H18" i="32"/>
  <c r="G18" i="32"/>
  <c r="F18" i="32"/>
  <c r="AC17" i="32"/>
  <c r="AB17" i="32"/>
  <c r="G17" i="32"/>
  <c r="F17" i="32"/>
  <c r="AC16" i="32"/>
  <c r="AB16" i="32"/>
  <c r="G16" i="32"/>
  <c r="F16" i="32"/>
  <c r="AC15" i="32"/>
  <c r="AB15" i="32"/>
  <c r="G15" i="32"/>
  <c r="F15" i="32"/>
  <c r="AC14" i="32"/>
  <c r="AB14" i="32"/>
  <c r="G14" i="32"/>
  <c r="F14" i="32"/>
  <c r="AC13" i="32"/>
  <c r="AB13" i="32"/>
  <c r="G13" i="32"/>
  <c r="F13" i="32"/>
  <c r="AC12" i="32"/>
  <c r="AB12" i="32"/>
  <c r="G12" i="32"/>
  <c r="F12" i="32"/>
  <c r="AC11" i="32"/>
  <c r="AB11" i="32"/>
  <c r="G11" i="32"/>
  <c r="F11" i="32"/>
  <c r="AC10" i="32"/>
  <c r="AB10" i="32"/>
  <c r="G10" i="32"/>
  <c r="F10" i="32"/>
  <c r="AC9" i="32"/>
  <c r="AB9" i="32"/>
  <c r="G9" i="32"/>
  <c r="F9" i="32"/>
  <c r="AC8" i="32"/>
  <c r="AB8" i="32"/>
  <c r="G8" i="32"/>
  <c r="F8" i="32"/>
  <c r="AC7" i="32"/>
  <c r="AB7" i="32"/>
  <c r="G7" i="32"/>
  <c r="F7" i="32"/>
  <c r="AC6" i="32"/>
  <c r="AB6" i="32"/>
  <c r="G6" i="32"/>
  <c r="F6" i="32"/>
  <c r="AC5" i="32"/>
  <c r="AB5" i="32"/>
  <c r="G5" i="32"/>
  <c r="F5" i="32"/>
  <c r="AC4" i="32"/>
  <c r="AB4" i="32"/>
  <c r="G4" i="32"/>
  <c r="F4" i="32"/>
  <c r="AC3" i="32"/>
  <c r="AB3" i="32"/>
  <c r="G3" i="32"/>
  <c r="F3" i="32"/>
  <c r="AC2" i="32"/>
  <c r="AB2" i="32"/>
  <c r="G2" i="32"/>
  <c r="F2" i="32"/>
  <c r="G266" i="30"/>
  <c r="G265" i="30"/>
  <c r="B265" i="30"/>
  <c r="E235" i="30"/>
  <c r="E234" i="30"/>
  <c r="E233" i="30"/>
  <c r="E232" i="30"/>
  <c r="E231" i="30"/>
  <c r="E230" i="30"/>
  <c r="E229" i="30"/>
  <c r="E228" i="30"/>
  <c r="A224" i="30"/>
  <c r="J212" i="30"/>
  <c r="J160" i="30"/>
  <c r="B133" i="30"/>
  <c r="B132" i="30"/>
  <c r="B131" i="30"/>
  <c r="B130" i="30"/>
  <c r="B129" i="30"/>
  <c r="B128" i="30"/>
  <c r="B127" i="30"/>
  <c r="B126" i="30"/>
  <c r="J109" i="30"/>
  <c r="G90" i="30"/>
  <c r="A72" i="30"/>
  <c r="J60" i="30"/>
  <c r="D35" i="30"/>
  <c r="G220" i="29"/>
  <c r="G219" i="29"/>
  <c r="B219" i="29"/>
  <c r="A177" i="29"/>
  <c r="J165" i="29"/>
  <c r="J112" i="29"/>
  <c r="G91" i="29"/>
  <c r="A73" i="29"/>
  <c r="J61" i="29"/>
  <c r="D35" i="29"/>
  <c r="G323" i="28"/>
  <c r="G322" i="28"/>
  <c r="B322" i="28"/>
  <c r="A281" i="28"/>
  <c r="J269" i="28"/>
  <c r="J216" i="28"/>
  <c r="B187" i="28"/>
  <c r="B186" i="28"/>
  <c r="B185" i="28"/>
  <c r="B184" i="28"/>
  <c r="B183" i="28"/>
  <c r="B182" i="28"/>
  <c r="B181" i="28"/>
  <c r="A177" i="28"/>
  <c r="J165" i="28"/>
  <c r="A126" i="28"/>
  <c r="J114" i="28"/>
  <c r="J62" i="28"/>
  <c r="G268" i="27"/>
  <c r="G267" i="27"/>
  <c r="B267" i="27"/>
  <c r="A225" i="27"/>
  <c r="J213" i="27"/>
  <c r="J162" i="27"/>
  <c r="A124" i="27"/>
  <c r="J112" i="27"/>
  <c r="J61" i="27"/>
  <c r="J489" i="26"/>
  <c r="J465" i="26"/>
  <c r="F465" i="26"/>
  <c r="J464" i="26"/>
  <c r="F464" i="26"/>
  <c r="J463" i="26"/>
  <c r="F463" i="26"/>
  <c r="J462" i="26"/>
  <c r="F462" i="26"/>
  <c r="J461" i="26"/>
  <c r="F461" i="26"/>
  <c r="J460" i="26"/>
  <c r="F460" i="26"/>
  <c r="J459" i="26"/>
  <c r="F459" i="26"/>
  <c r="J458" i="26"/>
  <c r="F458" i="26"/>
  <c r="J457" i="26"/>
  <c r="F457" i="26"/>
  <c r="J456" i="26"/>
  <c r="F456" i="26"/>
  <c r="J440" i="26"/>
  <c r="J438" i="26"/>
  <c r="F438" i="26"/>
  <c r="J437" i="26"/>
  <c r="F437" i="26"/>
  <c r="J436" i="26"/>
  <c r="F436" i="26"/>
  <c r="J435" i="26"/>
  <c r="F435" i="26"/>
  <c r="J434" i="26"/>
  <c r="F434" i="26"/>
  <c r="J433" i="26"/>
  <c r="F433" i="26"/>
  <c r="J432" i="26"/>
  <c r="F432" i="26"/>
  <c r="J431" i="26"/>
  <c r="F431" i="26"/>
  <c r="J414" i="26"/>
  <c r="J413" i="26"/>
  <c r="F413" i="26"/>
  <c r="J412" i="26"/>
  <c r="J411" i="26"/>
  <c r="J410" i="26"/>
  <c r="F410" i="26"/>
  <c r="J409" i="26"/>
  <c r="J408" i="26"/>
  <c r="J407" i="26"/>
  <c r="F407" i="26"/>
  <c r="J406" i="26"/>
  <c r="J405" i="26"/>
  <c r="J404" i="26"/>
  <c r="F404" i="26"/>
  <c r="J394" i="26"/>
  <c r="J386" i="26"/>
  <c r="J385" i="26"/>
  <c r="J384" i="26"/>
  <c r="J383" i="26"/>
  <c r="J382" i="26"/>
  <c r="J381" i="26"/>
  <c r="J380" i="26"/>
  <c r="J379" i="26"/>
  <c r="J378" i="26"/>
  <c r="J377" i="26"/>
  <c r="J376" i="26"/>
  <c r="J375" i="26"/>
  <c r="J374" i="26"/>
  <c r="J373" i="26"/>
  <c r="J372" i="26"/>
  <c r="J371" i="26"/>
  <c r="J370" i="26"/>
  <c r="J369" i="26"/>
  <c r="J368" i="26"/>
  <c r="J367" i="26"/>
  <c r="J366" i="26"/>
  <c r="F366" i="26"/>
  <c r="J365" i="26"/>
  <c r="J364" i="26"/>
  <c r="J347" i="26"/>
  <c r="J298" i="26"/>
  <c r="J250" i="26"/>
  <c r="J231" i="26"/>
  <c r="J230" i="26"/>
  <c r="J229" i="26"/>
  <c r="F229" i="26"/>
  <c r="J228" i="26"/>
  <c r="J227" i="26"/>
  <c r="J226" i="26"/>
  <c r="F226" i="26"/>
  <c r="J225" i="26"/>
  <c r="J224" i="26"/>
  <c r="J223" i="26"/>
  <c r="F223" i="26"/>
  <c r="J222" i="26"/>
  <c r="J221" i="26"/>
  <c r="J220" i="26"/>
  <c r="F220" i="26"/>
  <c r="J219" i="26"/>
  <c r="J218" i="26"/>
  <c r="J217" i="26"/>
  <c r="F217" i="26"/>
  <c r="J201" i="26"/>
  <c r="J182" i="26"/>
  <c r="F182" i="26"/>
  <c r="J181" i="26"/>
  <c r="F181" i="26"/>
  <c r="J180" i="26"/>
  <c r="F180" i="26"/>
  <c r="J179" i="26"/>
  <c r="F179" i="26"/>
  <c r="J178" i="26"/>
  <c r="F178" i="26"/>
  <c r="B178" i="26"/>
  <c r="J177" i="26"/>
  <c r="F177" i="26"/>
  <c r="J176" i="26"/>
  <c r="F176" i="26"/>
  <c r="J175" i="26"/>
  <c r="F175" i="26"/>
  <c r="J174" i="26"/>
  <c r="F174" i="26"/>
  <c r="J173" i="26"/>
  <c r="F173" i="26"/>
  <c r="J172" i="26"/>
  <c r="F172" i="26"/>
  <c r="J171" i="26"/>
  <c r="F171" i="26"/>
  <c r="J155" i="26"/>
  <c r="J151" i="26"/>
  <c r="F151" i="26"/>
  <c r="J150" i="26"/>
  <c r="F150" i="26"/>
  <c r="J149" i="26"/>
  <c r="F149" i="26"/>
  <c r="J148" i="26"/>
  <c r="F148" i="26"/>
  <c r="J147" i="26"/>
  <c r="F147" i="26"/>
  <c r="J146" i="26"/>
  <c r="F146" i="26"/>
  <c r="J145" i="26"/>
  <c r="F145" i="26"/>
  <c r="J144" i="26"/>
  <c r="F144" i="26"/>
  <c r="J129" i="26"/>
  <c r="J128" i="26"/>
  <c r="J127" i="26"/>
  <c r="F127" i="26"/>
  <c r="J126" i="26"/>
  <c r="J125" i="26"/>
  <c r="J124" i="26"/>
  <c r="F124" i="26"/>
  <c r="J123" i="26"/>
  <c r="J122" i="26"/>
  <c r="J121" i="26"/>
  <c r="F121" i="26"/>
  <c r="J120" i="26"/>
  <c r="J119" i="26"/>
  <c r="J118" i="26"/>
  <c r="F118" i="26"/>
  <c r="J108" i="26"/>
  <c r="J100" i="26"/>
  <c r="J99" i="26"/>
  <c r="J98" i="26"/>
  <c r="F98" i="26"/>
  <c r="J97" i="26"/>
  <c r="J96" i="26"/>
  <c r="J95" i="26"/>
  <c r="F95" i="26"/>
  <c r="J94" i="26"/>
  <c r="J93" i="26"/>
  <c r="J92" i="26"/>
  <c r="F92" i="26"/>
  <c r="J91" i="26"/>
  <c r="J90" i="26"/>
  <c r="J89" i="26"/>
  <c r="F89" i="26"/>
  <c r="J88" i="26"/>
  <c r="J87" i="26"/>
  <c r="J86" i="26"/>
  <c r="F86" i="26"/>
  <c r="J85" i="26"/>
  <c r="J84" i="26"/>
  <c r="J83" i="26"/>
  <c r="F83" i="26"/>
  <c r="J82" i="26"/>
  <c r="J81" i="26"/>
  <c r="J80" i="26"/>
  <c r="F80" i="26"/>
  <c r="J79" i="26"/>
  <c r="J78" i="26"/>
  <c r="J77" i="26"/>
  <c r="F77" i="26"/>
  <c r="J61" i="26"/>
  <c r="G410" i="25"/>
  <c r="G409" i="25"/>
  <c r="B409" i="25"/>
  <c r="A370" i="25"/>
  <c r="J358" i="25"/>
  <c r="J310" i="25"/>
  <c r="B283" i="25"/>
  <c r="B282" i="25"/>
  <c r="B281" i="25"/>
  <c r="B280" i="25"/>
  <c r="B279" i="25"/>
  <c r="B278" i="25"/>
  <c r="B277" i="25"/>
  <c r="A273" i="25"/>
  <c r="J261" i="25"/>
  <c r="A222" i="25"/>
  <c r="J210" i="25"/>
  <c r="J159" i="25"/>
  <c r="B145" i="25"/>
  <c r="B142" i="25"/>
  <c r="B139" i="25"/>
  <c r="B136" i="25"/>
  <c r="B133" i="25"/>
  <c r="B130" i="25"/>
  <c r="B127" i="25"/>
  <c r="A123" i="25"/>
  <c r="J111" i="25"/>
  <c r="A74" i="25"/>
  <c r="J62" i="25"/>
  <c r="G313" i="24"/>
  <c r="G312" i="24"/>
  <c r="B312" i="24"/>
  <c r="A273" i="24"/>
  <c r="J261" i="24"/>
  <c r="J211" i="24"/>
  <c r="A172" i="24"/>
  <c r="J160" i="24"/>
  <c r="J109" i="24"/>
  <c r="J61" i="24"/>
  <c r="B100" i="24" l="1"/>
  <c r="D38" i="24"/>
  <c r="H78" i="27"/>
  <c r="H79" i="27"/>
  <c r="H80" i="27"/>
  <c r="H81" i="27"/>
  <c r="H82" i="27"/>
  <c r="H83" i="27"/>
  <c r="H84" i="27"/>
  <c r="H85" i="27"/>
  <c r="D39" i="25"/>
  <c r="D172" i="26"/>
  <c r="H171" i="26"/>
  <c r="D182" i="26"/>
  <c r="D181" i="26"/>
  <c r="D180" i="26"/>
  <c r="D179" i="26"/>
  <c r="D177" i="26"/>
  <c r="H177" i="26"/>
  <c r="D176" i="26"/>
  <c r="H176" i="26"/>
  <c r="D175" i="26"/>
  <c r="H175" i="26"/>
  <c r="D174" i="26"/>
  <c r="H174" i="26"/>
  <c r="D173" i="26"/>
  <c r="H173" i="26"/>
  <c r="H172" i="26"/>
  <c r="D171" i="26"/>
  <c r="H182" i="26"/>
  <c r="H180" i="26"/>
  <c r="D178" i="26"/>
  <c r="H178" i="26"/>
  <c r="H181" i="26"/>
  <c r="H179" i="26"/>
  <c r="H84" i="28"/>
  <c r="D80" i="28"/>
  <c r="H83" i="28"/>
  <c r="D79" i="28"/>
  <c r="H82" i="28"/>
  <c r="H80" i="28"/>
  <c r="H85" i="28"/>
  <c r="D81" i="28"/>
  <c r="H81" i="28"/>
  <c r="H79" i="28"/>
  <c r="D86" i="28"/>
  <c r="D85" i="28"/>
  <c r="D84" i="28"/>
  <c r="D83" i="28"/>
  <c r="H86" i="28"/>
  <c r="D82" i="28"/>
  <c r="D78" i="27"/>
  <c r="D84" i="27"/>
  <c r="D85" i="27"/>
  <c r="D83" i="27"/>
  <c r="D82" i="27"/>
  <c r="D81" i="27"/>
  <c r="D80" i="27"/>
  <c r="D79" i="27"/>
  <c r="H151" i="26"/>
  <c r="D145" i="26"/>
  <c r="D144" i="26"/>
  <c r="H145" i="26"/>
  <c r="D150" i="26"/>
  <c r="D149" i="26"/>
  <c r="H144" i="26"/>
  <c r="D151" i="26"/>
  <c r="D148" i="26"/>
  <c r="D147" i="26"/>
  <c r="H150" i="26"/>
  <c r="D146" i="26"/>
  <c r="H149" i="26"/>
  <c r="H148" i="26"/>
  <c r="H147" i="26"/>
  <c r="H146" i="26"/>
  <c r="H221" i="26"/>
  <c r="H218" i="26"/>
  <c r="D229" i="26"/>
  <c r="H227" i="26"/>
  <c r="D226" i="26"/>
  <c r="H223" i="26"/>
  <c r="H229" i="26"/>
  <c r="H217" i="26"/>
  <c r="H226" i="26"/>
  <c r="D223" i="26"/>
  <c r="H225" i="26"/>
  <c r="D220" i="26"/>
  <c r="H224" i="26"/>
  <c r="H230" i="26"/>
  <c r="H228" i="26"/>
  <c r="H222" i="26"/>
  <c r="H220" i="26"/>
  <c r="H231" i="26"/>
  <c r="H219" i="26"/>
  <c r="D217" i="26"/>
  <c r="H127" i="26"/>
  <c r="D118" i="26"/>
  <c r="D120" i="26"/>
  <c r="D121" i="26"/>
  <c r="H121" i="26"/>
  <c r="H126" i="26"/>
  <c r="D126" i="26"/>
  <c r="D127" i="26"/>
  <c r="H120" i="26"/>
  <c r="D119" i="26"/>
  <c r="D122" i="26"/>
  <c r="H122" i="26"/>
  <c r="D123" i="26"/>
  <c r="H123" i="26"/>
  <c r="D124" i="26"/>
  <c r="H124" i="26"/>
  <c r="D125" i="26"/>
  <c r="H125" i="26"/>
  <c r="D128" i="26"/>
  <c r="H128" i="26"/>
  <c r="D129" i="26"/>
  <c r="H129" i="26"/>
  <c r="D86" i="26"/>
  <c r="D87" i="26"/>
  <c r="H87" i="26"/>
  <c r="D89" i="26"/>
  <c r="H89" i="26"/>
  <c r="D78" i="26"/>
  <c r="D90" i="26"/>
  <c r="H90" i="26"/>
  <c r="D81" i="26"/>
  <c r="D93" i="26"/>
  <c r="H81" i="26"/>
  <c r="H93" i="26"/>
  <c r="D79" i="26"/>
  <c r="D91" i="26"/>
  <c r="H79" i="26"/>
  <c r="H91" i="26"/>
  <c r="D80" i="26"/>
  <c r="D92" i="26"/>
  <c r="H80" i="26"/>
  <c r="H92" i="26"/>
  <c r="D82" i="26"/>
  <c r="D94" i="26"/>
  <c r="H82" i="26"/>
  <c r="H94" i="26"/>
  <c r="D83" i="26"/>
  <c r="D95" i="26"/>
  <c r="H83" i="26"/>
  <c r="H95" i="26"/>
  <c r="D84" i="26"/>
  <c r="D96" i="26"/>
  <c r="H84" i="26"/>
  <c r="H96" i="26"/>
  <c r="D85" i="26"/>
  <c r="D97" i="26"/>
  <c r="H85" i="26"/>
  <c r="H97" i="26"/>
  <c r="H86" i="26"/>
  <c r="D88" i="26"/>
  <c r="H88" i="26"/>
  <c r="D28" i="26"/>
  <c r="I520" i="26" s="1"/>
  <c r="D30" i="42"/>
  <c r="D31" i="42"/>
  <c r="D28" i="27"/>
  <c r="B181" i="27" s="1"/>
  <c r="D28" i="28"/>
  <c r="A290" i="28" s="1"/>
  <c r="C380" i="25"/>
  <c r="B101" i="25"/>
  <c r="B150" i="25" s="1"/>
  <c r="B100" i="25"/>
  <c r="B149" i="25" s="1"/>
  <c r="B99" i="25"/>
  <c r="B148" i="25" s="1"/>
  <c r="A188" i="29"/>
  <c r="A184" i="29"/>
  <c r="A187" i="29"/>
  <c r="A186" i="29"/>
  <c r="A185" i="29"/>
  <c r="D25" i="42"/>
  <c r="D26" i="42"/>
  <c r="B98" i="24"/>
  <c r="B99" i="24"/>
  <c r="K265" i="30"/>
  <c r="F82" i="30" s="1"/>
  <c r="K219" i="29"/>
  <c r="F81" i="29" s="1"/>
  <c r="B220" i="29"/>
  <c r="A181" i="29"/>
  <c r="A182" i="29"/>
  <c r="K220" i="29"/>
  <c r="J80" i="29" s="1"/>
  <c r="A183" i="29"/>
  <c r="C388" i="25"/>
  <c r="C375" i="25"/>
  <c r="C374" i="25"/>
  <c r="C381" i="25"/>
  <c r="B410" i="25"/>
  <c r="C382" i="25"/>
  <c r="C389" i="25"/>
  <c r="H389" i="25" s="1"/>
  <c r="C387" i="25"/>
  <c r="C376" i="25"/>
  <c r="C383" i="25"/>
  <c r="C390" i="25"/>
  <c r="C377" i="25"/>
  <c r="C384" i="25"/>
  <c r="C391" i="25"/>
  <c r="C385" i="25"/>
  <c r="C379" i="25"/>
  <c r="B337" i="25"/>
  <c r="C378" i="25"/>
  <c r="C397" i="25"/>
  <c r="D36" i="25" s="1"/>
  <c r="G240" i="25"/>
  <c r="C386" i="25"/>
  <c r="C289" i="24"/>
  <c r="C277" i="24"/>
  <c r="C288" i="24"/>
  <c r="C287" i="24"/>
  <c r="B313" i="24"/>
  <c r="C42" i="24"/>
  <c r="C284" i="24"/>
  <c r="D35" i="24"/>
  <c r="C300" i="24"/>
  <c r="C283" i="24"/>
  <c r="G190" i="24"/>
  <c r="C279" i="24"/>
  <c r="C286" i="24"/>
  <c r="C285" i="24"/>
  <c r="C294" i="24"/>
  <c r="C282" i="24"/>
  <c r="C293" i="24"/>
  <c r="C281" i="24"/>
  <c r="C292" i="24"/>
  <c r="C280" i="24"/>
  <c r="C291" i="24"/>
  <c r="B238" i="24"/>
  <c r="C290" i="24"/>
  <c r="C278" i="24"/>
  <c r="J131" i="30"/>
  <c r="J127" i="30"/>
  <c r="J176" i="30"/>
  <c r="J175" i="30"/>
  <c r="J130" i="30"/>
  <c r="J126" i="30"/>
  <c r="C42" i="30"/>
  <c r="J133" i="30"/>
  <c r="J129" i="30"/>
  <c r="J179" i="30"/>
  <c r="J178" i="30"/>
  <c r="J132" i="30"/>
  <c r="J128" i="30"/>
  <c r="J177" i="30"/>
  <c r="D229" i="25" l="1"/>
  <c r="D227" i="25"/>
  <c r="D228" i="25"/>
  <c r="D226" i="25"/>
  <c r="D231" i="25"/>
  <c r="D233" i="25"/>
  <c r="D232" i="25"/>
  <c r="D230" i="25"/>
  <c r="E318" i="26"/>
  <c r="I509" i="26"/>
  <c r="I283" i="26"/>
  <c r="C507" i="26"/>
  <c r="C282" i="26"/>
  <c r="H183" i="25"/>
  <c r="D179" i="25"/>
  <c r="H182" i="25"/>
  <c r="D178" i="25"/>
  <c r="D176" i="25"/>
  <c r="H179" i="25"/>
  <c r="H178" i="25"/>
  <c r="H177" i="25"/>
  <c r="H181" i="25"/>
  <c r="D183" i="25"/>
  <c r="D182" i="25"/>
  <c r="D177" i="25"/>
  <c r="H180" i="25"/>
  <c r="D181" i="25"/>
  <c r="D180" i="25"/>
  <c r="I271" i="26"/>
  <c r="C518" i="26"/>
  <c r="C289" i="26"/>
  <c r="C281" i="26"/>
  <c r="I517" i="26"/>
  <c r="I512" i="26"/>
  <c r="I511" i="26"/>
  <c r="I507" i="26"/>
  <c r="C517" i="26"/>
  <c r="C509" i="26"/>
  <c r="H93" i="25"/>
  <c r="D337" i="25"/>
  <c r="H335" i="25"/>
  <c r="D334" i="25"/>
  <c r="D328" i="25"/>
  <c r="H334" i="25"/>
  <c r="D331" i="25"/>
  <c r="H333" i="25"/>
  <c r="H332" i="25"/>
  <c r="D325" i="25"/>
  <c r="H331" i="25"/>
  <c r="H330" i="25"/>
  <c r="H338" i="25"/>
  <c r="H337" i="25"/>
  <c r="H336" i="25"/>
  <c r="H326" i="25"/>
  <c r="H325" i="25"/>
  <c r="H329" i="25"/>
  <c r="H328" i="25"/>
  <c r="H339" i="25"/>
  <c r="H327" i="25"/>
  <c r="C516" i="26"/>
  <c r="D39" i="28"/>
  <c r="A288" i="28"/>
  <c r="C271" i="26"/>
  <c r="C506" i="26"/>
  <c r="I273" i="26"/>
  <c r="C513" i="26"/>
  <c r="C283" i="26"/>
  <c r="C519" i="26"/>
  <c r="C512" i="26"/>
  <c r="I506" i="26"/>
  <c r="C511" i="26"/>
  <c r="I267" i="26"/>
  <c r="E341" i="26"/>
  <c r="I269" i="26"/>
  <c r="C505" i="26"/>
  <c r="E317" i="26"/>
  <c r="C522" i="26"/>
  <c r="I279" i="26"/>
  <c r="I516" i="26"/>
  <c r="C277" i="26"/>
  <c r="C273" i="26"/>
  <c r="I510" i="26"/>
  <c r="I266" i="26"/>
  <c r="I528" i="26"/>
  <c r="I522" i="26"/>
  <c r="A289" i="28"/>
  <c r="C275" i="26"/>
  <c r="I275" i="26"/>
  <c r="I505" i="26"/>
  <c r="I277" i="26"/>
  <c r="C520" i="26"/>
  <c r="I276" i="26"/>
  <c r="C508" i="26"/>
  <c r="G144" i="28"/>
  <c r="I515" i="26"/>
  <c r="C272" i="26"/>
  <c r="A236" i="27"/>
  <c r="E236" i="27" s="1"/>
  <c r="H101" i="25"/>
  <c r="H88" i="25"/>
  <c r="D100" i="25"/>
  <c r="D88" i="25"/>
  <c r="D98" i="25"/>
  <c r="H98" i="25"/>
  <c r="H85" i="25"/>
  <c r="D97" i="25"/>
  <c r="D85" i="25"/>
  <c r="H97" i="25"/>
  <c r="H84" i="25"/>
  <c r="D96" i="25"/>
  <c r="D84" i="25"/>
  <c r="H96" i="25"/>
  <c r="H83" i="25"/>
  <c r="D95" i="25"/>
  <c r="D83" i="25"/>
  <c r="H95" i="25"/>
  <c r="H82" i="25"/>
  <c r="D94" i="25"/>
  <c r="D82" i="25"/>
  <c r="H92" i="25"/>
  <c r="H80" i="25"/>
  <c r="D92" i="25"/>
  <c r="D80" i="25"/>
  <c r="H91" i="25"/>
  <c r="H79" i="25"/>
  <c r="D91" i="25"/>
  <c r="D79" i="25"/>
  <c r="D90" i="25"/>
  <c r="H94" i="25"/>
  <c r="H81" i="25"/>
  <c r="D93" i="25"/>
  <c r="D81" i="25"/>
  <c r="D78" i="25"/>
  <c r="H90" i="25"/>
  <c r="H78" i="25"/>
  <c r="H89" i="25"/>
  <c r="D101" i="25"/>
  <c r="D89" i="25"/>
  <c r="H100" i="25"/>
  <c r="H87" i="25"/>
  <c r="D99" i="25"/>
  <c r="D87" i="25"/>
  <c r="H99" i="25"/>
  <c r="H86" i="25"/>
  <c r="D86" i="25"/>
  <c r="F84" i="29"/>
  <c r="F78" i="29"/>
  <c r="K267" i="27"/>
  <c r="F177" i="27" s="1"/>
  <c r="F77" i="30"/>
  <c r="K268" i="27"/>
  <c r="J132" i="27" s="1"/>
  <c r="F175" i="30"/>
  <c r="A230" i="27"/>
  <c r="E230" i="27" s="1"/>
  <c r="A232" i="27"/>
  <c r="E232" i="27" s="1"/>
  <c r="A233" i="27"/>
  <c r="E233" i="27" s="1"/>
  <c r="E319" i="26"/>
  <c r="C280" i="26"/>
  <c r="C279" i="26"/>
  <c r="I281" i="26"/>
  <c r="C270" i="26"/>
  <c r="I518" i="26"/>
  <c r="I278" i="26"/>
  <c r="I280" i="26"/>
  <c r="C274" i="26"/>
  <c r="C267" i="26"/>
  <c r="I270" i="26"/>
  <c r="C266" i="26"/>
  <c r="I282" i="26"/>
  <c r="I514" i="26"/>
  <c r="I274" i="26"/>
  <c r="C268" i="26"/>
  <c r="C521" i="26"/>
  <c r="I519" i="26"/>
  <c r="C276" i="26"/>
  <c r="C269" i="26"/>
  <c r="C278" i="26"/>
  <c r="I268" i="26"/>
  <c r="C528" i="26"/>
  <c r="C515" i="26"/>
  <c r="I508" i="26"/>
  <c r="C510" i="26"/>
  <c r="C514" i="26"/>
  <c r="E342" i="26"/>
  <c r="E340" i="26"/>
  <c r="I513" i="26"/>
  <c r="I521" i="26"/>
  <c r="I289" i="26"/>
  <c r="I272" i="26"/>
  <c r="D38" i="27"/>
  <c r="A231" i="27"/>
  <c r="E231" i="27" s="1"/>
  <c r="B268" i="27"/>
  <c r="B323" i="28"/>
  <c r="K322" i="28" s="1"/>
  <c r="F136" i="28" s="1"/>
  <c r="G142" i="27"/>
  <c r="B235" i="28"/>
  <c r="A234" i="27"/>
  <c r="E234" i="27" s="1"/>
  <c r="B137" i="28"/>
  <c r="B135" i="27"/>
  <c r="B85" i="27" s="1"/>
  <c r="A235" i="27"/>
  <c r="E235" i="27" s="1"/>
  <c r="A229" i="27"/>
  <c r="E229" i="27" s="1"/>
  <c r="A292" i="28"/>
  <c r="A291" i="28"/>
  <c r="A286" i="28"/>
  <c r="A285" i="28"/>
  <c r="A287" i="28"/>
  <c r="H385" i="25"/>
  <c r="J79" i="30"/>
  <c r="F127" i="30"/>
  <c r="C43" i="30"/>
  <c r="J78" i="30"/>
  <c r="J80" i="30"/>
  <c r="H384" i="25"/>
  <c r="F81" i="30"/>
  <c r="I230" i="30"/>
  <c r="H381" i="25"/>
  <c r="F126" i="30"/>
  <c r="F131" i="30"/>
  <c r="I234" i="30"/>
  <c r="H376" i="25"/>
  <c r="F130" i="30"/>
  <c r="I231" i="30"/>
  <c r="H391" i="25"/>
  <c r="H374" i="25"/>
  <c r="F80" i="30"/>
  <c r="F177" i="30"/>
  <c r="J76" i="30"/>
  <c r="F128" i="30"/>
  <c r="F178" i="30"/>
  <c r="J82" i="30"/>
  <c r="F132" i="30"/>
  <c r="I228" i="30"/>
  <c r="F83" i="30"/>
  <c r="F76" i="30"/>
  <c r="I232" i="30"/>
  <c r="F179" i="30"/>
  <c r="J81" i="30"/>
  <c r="J83" i="30"/>
  <c r="I235" i="30"/>
  <c r="I233" i="30"/>
  <c r="F78" i="30"/>
  <c r="J77" i="30"/>
  <c r="F133" i="30"/>
  <c r="F129" i="30"/>
  <c r="I229" i="30"/>
  <c r="F176" i="30"/>
  <c r="F79" i="30"/>
  <c r="I183" i="29"/>
  <c r="I181" i="29"/>
  <c r="F82" i="29"/>
  <c r="I184" i="29"/>
  <c r="I186" i="29"/>
  <c r="I185" i="29"/>
  <c r="F131" i="29"/>
  <c r="I187" i="29"/>
  <c r="J82" i="29"/>
  <c r="J129" i="29"/>
  <c r="J127" i="29"/>
  <c r="I188" i="29"/>
  <c r="F128" i="29"/>
  <c r="C43" i="29"/>
  <c r="J79" i="29"/>
  <c r="I182" i="29"/>
  <c r="J81" i="29"/>
  <c r="J128" i="29"/>
  <c r="J84" i="29"/>
  <c r="J78" i="29"/>
  <c r="J131" i="29"/>
  <c r="J130" i="29"/>
  <c r="J83" i="29"/>
  <c r="J77" i="29"/>
  <c r="F129" i="29"/>
  <c r="F83" i="29"/>
  <c r="F80" i="29"/>
  <c r="C42" i="29"/>
  <c r="F79" i="29"/>
  <c r="F77" i="29"/>
  <c r="F130" i="29"/>
  <c r="F127" i="29"/>
  <c r="B233" i="25"/>
  <c r="B284" i="25" s="1"/>
  <c r="H390" i="25"/>
  <c r="B183" i="25"/>
  <c r="H380" i="25"/>
  <c r="H386" i="25"/>
  <c r="H383" i="25"/>
  <c r="C398" i="25"/>
  <c r="H378" i="25"/>
  <c r="H387" i="25"/>
  <c r="H382" i="25"/>
  <c r="H379" i="25"/>
  <c r="K410" i="25"/>
  <c r="C43" i="25" s="1"/>
  <c r="K409" i="25"/>
  <c r="H375" i="25"/>
  <c r="H377" i="25"/>
  <c r="H388" i="25"/>
  <c r="K312" i="24"/>
  <c r="K313" i="24"/>
  <c r="B183" i="24"/>
  <c r="B133" i="24"/>
  <c r="F83" i="27" l="1"/>
  <c r="F100" i="25"/>
  <c r="F82" i="25"/>
  <c r="F89" i="25"/>
  <c r="F88" i="25"/>
  <c r="F91" i="25"/>
  <c r="C44" i="25"/>
  <c r="F85" i="25"/>
  <c r="F86" i="25"/>
  <c r="F99" i="25"/>
  <c r="F93" i="25"/>
  <c r="F97" i="25"/>
  <c r="F87" i="25"/>
  <c r="F81" i="25"/>
  <c r="F92" i="25"/>
  <c r="F98" i="25"/>
  <c r="F80" i="25"/>
  <c r="F79" i="25"/>
  <c r="F96" i="25"/>
  <c r="F84" i="25"/>
  <c r="F95" i="25"/>
  <c r="F90" i="25"/>
  <c r="F83" i="25"/>
  <c r="F78" i="25"/>
  <c r="F94" i="25"/>
  <c r="F101" i="25"/>
  <c r="F77" i="24"/>
  <c r="F126" i="24"/>
  <c r="I234" i="27"/>
  <c r="F178" i="27"/>
  <c r="F128" i="27"/>
  <c r="I232" i="27"/>
  <c r="D288" i="28"/>
  <c r="F82" i="27"/>
  <c r="F131" i="27"/>
  <c r="I229" i="27"/>
  <c r="F129" i="27"/>
  <c r="I235" i="27"/>
  <c r="F85" i="27"/>
  <c r="D99" i="26"/>
  <c r="D100" i="26"/>
  <c r="F133" i="27"/>
  <c r="F79" i="27"/>
  <c r="F135" i="27"/>
  <c r="F78" i="27"/>
  <c r="F130" i="27"/>
  <c r="F134" i="27"/>
  <c r="D98" i="26"/>
  <c r="D35" i="27"/>
  <c r="F80" i="27"/>
  <c r="I233" i="27"/>
  <c r="F81" i="27"/>
  <c r="C42" i="27"/>
  <c r="F84" i="27"/>
  <c r="F132" i="27"/>
  <c r="I236" i="27"/>
  <c r="F179" i="27"/>
  <c r="I230" i="27"/>
  <c r="I231" i="27"/>
  <c r="J181" i="27"/>
  <c r="F181" i="27"/>
  <c r="A123" i="27"/>
  <c r="J81" i="27"/>
  <c r="F183" i="28"/>
  <c r="J85" i="27"/>
  <c r="F180" i="27"/>
  <c r="K323" i="28"/>
  <c r="J132" i="28" s="1"/>
  <c r="J177" i="27"/>
  <c r="B180" i="27"/>
  <c r="F134" i="28"/>
  <c r="J134" i="27"/>
  <c r="J135" i="27"/>
  <c r="J130" i="27"/>
  <c r="J178" i="27"/>
  <c r="J179" i="27"/>
  <c r="J82" i="27"/>
  <c r="J128" i="27"/>
  <c r="J80" i="27"/>
  <c r="A73" i="27"/>
  <c r="J129" i="27"/>
  <c r="J180" i="27"/>
  <c r="J83" i="27"/>
  <c r="J131" i="27"/>
  <c r="C43" i="27"/>
  <c r="J133" i="27"/>
  <c r="J78" i="27"/>
  <c r="J84" i="27"/>
  <c r="J79" i="27"/>
  <c r="F187" i="28"/>
  <c r="F235" i="28"/>
  <c r="G286" i="28"/>
  <c r="D286" i="28"/>
  <c r="G291" i="28"/>
  <c r="D291" i="28"/>
  <c r="B188" i="28"/>
  <c r="F188" i="28" s="1"/>
  <c r="B86" i="28"/>
  <c r="F86" i="28" s="1"/>
  <c r="F234" i="28"/>
  <c r="J290" i="28"/>
  <c r="F231" i="28"/>
  <c r="F185" i="28"/>
  <c r="F85" i="28"/>
  <c r="J287" i="28"/>
  <c r="F181" i="28"/>
  <c r="J291" i="28"/>
  <c r="J288" i="28"/>
  <c r="F233" i="28"/>
  <c r="J285" i="28"/>
  <c r="F184" i="28"/>
  <c r="F133" i="28"/>
  <c r="F83" i="28"/>
  <c r="F186" i="28"/>
  <c r="J292" i="28"/>
  <c r="F131" i="28"/>
  <c r="F79" i="28"/>
  <c r="F132" i="28"/>
  <c r="J289" i="28"/>
  <c r="F135" i="28"/>
  <c r="J286" i="28"/>
  <c r="C43" i="28"/>
  <c r="G292" i="28"/>
  <c r="D36" i="28"/>
  <c r="D292" i="28"/>
  <c r="G289" i="28"/>
  <c r="D289" i="28"/>
  <c r="F182" i="28"/>
  <c r="F82" i="28"/>
  <c r="F137" i="28"/>
  <c r="D290" i="28"/>
  <c r="F81" i="28"/>
  <c r="F232" i="28"/>
  <c r="F80" i="28"/>
  <c r="G288" i="28"/>
  <c r="F84" i="28"/>
  <c r="F130" i="28"/>
  <c r="D285" i="28"/>
  <c r="G285" i="28"/>
  <c r="G290" i="28"/>
  <c r="G287" i="28"/>
  <c r="D287" i="28"/>
  <c r="F148" i="25"/>
  <c r="F150" i="25"/>
  <c r="F132" i="25"/>
  <c r="F147" i="25"/>
  <c r="F146" i="25"/>
  <c r="F128" i="25"/>
  <c r="F144" i="25"/>
  <c r="F143" i="25"/>
  <c r="F141" i="25"/>
  <c r="F140" i="25"/>
  <c r="F138" i="25"/>
  <c r="F137" i="25"/>
  <c r="F149" i="25"/>
  <c r="F129" i="25"/>
  <c r="F135" i="25"/>
  <c r="F134" i="25"/>
  <c r="F131" i="25"/>
  <c r="F94" i="24"/>
  <c r="F93" i="24"/>
  <c r="F79" i="24"/>
  <c r="F91" i="24"/>
  <c r="F78" i="24"/>
  <c r="F90" i="24"/>
  <c r="F88" i="24"/>
  <c r="F100" i="24"/>
  <c r="F87" i="24"/>
  <c r="F99" i="24"/>
  <c r="F85" i="24"/>
  <c r="F97" i="24"/>
  <c r="F84" i="24"/>
  <c r="F96" i="24"/>
  <c r="F82" i="24"/>
  <c r="F81" i="24"/>
  <c r="F284" i="25"/>
  <c r="F183" i="25"/>
  <c r="F233" i="25"/>
  <c r="J390" i="25"/>
  <c r="J142" i="25"/>
  <c r="J338" i="25"/>
  <c r="F282" i="25"/>
  <c r="J181" i="25"/>
  <c r="F145" i="25"/>
  <c r="J134" i="25"/>
  <c r="J101" i="25"/>
  <c r="F232" i="25"/>
  <c r="J144" i="25"/>
  <c r="F133" i="25"/>
  <c r="J336" i="25"/>
  <c r="F337" i="25"/>
  <c r="J233" i="25"/>
  <c r="J180" i="25"/>
  <c r="J133" i="25"/>
  <c r="J99" i="25"/>
  <c r="J86" i="25"/>
  <c r="J179" i="25"/>
  <c r="J85" i="25"/>
  <c r="F179" i="25"/>
  <c r="J333" i="25"/>
  <c r="F230" i="25"/>
  <c r="J178" i="25"/>
  <c r="J132" i="25"/>
  <c r="J83" i="25"/>
  <c r="J231" i="25"/>
  <c r="J97" i="25"/>
  <c r="J376" i="25"/>
  <c r="J331" i="25"/>
  <c r="J279" i="25"/>
  <c r="F229" i="25"/>
  <c r="J177" i="25"/>
  <c r="J141" i="25"/>
  <c r="J130" i="25"/>
  <c r="J95" i="25"/>
  <c r="J82" i="25"/>
  <c r="F228" i="25"/>
  <c r="J176" i="25"/>
  <c r="J140" i="25"/>
  <c r="J94" i="25"/>
  <c r="J146" i="25"/>
  <c r="J384" i="25"/>
  <c r="J330" i="25"/>
  <c r="J328" i="25"/>
  <c r="F278" i="25"/>
  <c r="F227" i="25"/>
  <c r="A171" i="25"/>
  <c r="F139" i="25"/>
  <c r="J128" i="25"/>
  <c r="J79" i="25"/>
  <c r="J150" i="25"/>
  <c r="J91" i="25"/>
  <c r="F280" i="25"/>
  <c r="J388" i="25"/>
  <c r="J327" i="25"/>
  <c r="F226" i="25"/>
  <c r="F127" i="25"/>
  <c r="J92" i="25"/>
  <c r="J138" i="25"/>
  <c r="J182" i="25"/>
  <c r="J88" i="25"/>
  <c r="J380" i="25"/>
  <c r="J283" i="25"/>
  <c r="J148" i="25"/>
  <c r="J136" i="25"/>
  <c r="A73" i="25"/>
  <c r="J98" i="25"/>
  <c r="J339" i="25"/>
  <c r="J131" i="25"/>
  <c r="F178" i="25"/>
  <c r="J277" i="25"/>
  <c r="F136" i="25"/>
  <c r="F177" i="25"/>
  <c r="J230" i="25"/>
  <c r="J325" i="25"/>
  <c r="J226" i="25"/>
  <c r="J129" i="25"/>
  <c r="I398" i="25"/>
  <c r="J145" i="25"/>
  <c r="J183" i="25"/>
  <c r="J281" i="25"/>
  <c r="J232" i="25"/>
  <c r="J278" i="25"/>
  <c r="J143" i="25"/>
  <c r="J81" i="25"/>
  <c r="J282" i="25"/>
  <c r="F181" i="25"/>
  <c r="J90" i="25"/>
  <c r="J229" i="25"/>
  <c r="J374" i="25"/>
  <c r="J78" i="25"/>
  <c r="F328" i="25"/>
  <c r="J227" i="25"/>
  <c r="J280" i="25"/>
  <c r="F325" i="25"/>
  <c r="J378" i="25"/>
  <c r="J96" i="25"/>
  <c r="F283" i="25"/>
  <c r="J326" i="25"/>
  <c r="F142" i="25"/>
  <c r="I397" i="25"/>
  <c r="F277" i="25"/>
  <c r="J87" i="25"/>
  <c r="J375" i="25"/>
  <c r="F279" i="25"/>
  <c r="F130" i="25"/>
  <c r="J284" i="25"/>
  <c r="F334" i="25"/>
  <c r="J382" i="25"/>
  <c r="J379" i="25"/>
  <c r="J137" i="25"/>
  <c r="J332" i="25"/>
  <c r="J386" i="25"/>
  <c r="J93" i="25"/>
  <c r="J127" i="25"/>
  <c r="J383" i="25"/>
  <c r="J329" i="25"/>
  <c r="F176" i="25"/>
  <c r="J377" i="25"/>
  <c r="J84" i="25"/>
  <c r="J135" i="25"/>
  <c r="J387" i="25"/>
  <c r="J337" i="25"/>
  <c r="F182" i="25"/>
  <c r="J381" i="25"/>
  <c r="J391" i="25"/>
  <c r="J80" i="25"/>
  <c r="J228" i="25"/>
  <c r="J385" i="25"/>
  <c r="J139" i="25"/>
  <c r="J334" i="25"/>
  <c r="J335" i="25"/>
  <c r="J149" i="25"/>
  <c r="J89" i="25"/>
  <c r="F331" i="25"/>
  <c r="J100" i="25"/>
  <c r="J389" i="25"/>
  <c r="J147" i="25"/>
  <c r="F231" i="25"/>
  <c r="F180" i="25"/>
  <c r="F281" i="25"/>
  <c r="J181" i="24"/>
  <c r="J233" i="24"/>
  <c r="J85" i="24"/>
  <c r="J95" i="24"/>
  <c r="J94" i="24"/>
  <c r="J91" i="24"/>
  <c r="J86" i="24"/>
  <c r="J179" i="24"/>
  <c r="J82" i="24"/>
  <c r="J178" i="24"/>
  <c r="J77" i="24"/>
  <c r="J129" i="24"/>
  <c r="J182" i="24"/>
  <c r="J92" i="24"/>
  <c r="J229" i="24"/>
  <c r="J100" i="24"/>
  <c r="J177" i="24"/>
  <c r="J128" i="24"/>
  <c r="J130" i="24"/>
  <c r="J240" i="24"/>
  <c r="J78" i="24"/>
  <c r="J228" i="24"/>
  <c r="J231" i="24"/>
  <c r="A72" i="24"/>
  <c r="J126" i="24"/>
  <c r="J87" i="24"/>
  <c r="J237" i="24"/>
  <c r="J97" i="24"/>
  <c r="J89" i="24"/>
  <c r="J232" i="24"/>
  <c r="J90" i="24"/>
  <c r="J88" i="24"/>
  <c r="J180" i="24"/>
  <c r="J98" i="24"/>
  <c r="J83" i="24"/>
  <c r="J227" i="24"/>
  <c r="J239" i="24"/>
  <c r="J84" i="24"/>
  <c r="J132" i="24"/>
  <c r="J96" i="24"/>
  <c r="J99" i="24"/>
  <c r="J93" i="24"/>
  <c r="J234" i="24"/>
  <c r="J127" i="24"/>
  <c r="J176" i="24"/>
  <c r="A121" i="24"/>
  <c r="J226" i="24"/>
  <c r="J230" i="24"/>
  <c r="J131" i="24"/>
  <c r="J235" i="24"/>
  <c r="J79" i="24"/>
  <c r="J80" i="24"/>
  <c r="J238" i="24"/>
  <c r="J183" i="24"/>
  <c r="J81" i="24"/>
  <c r="J133" i="24"/>
  <c r="J236" i="24"/>
  <c r="C43" i="24"/>
  <c r="F229" i="24"/>
  <c r="F128" i="24"/>
  <c r="I287" i="24"/>
  <c r="I280" i="24"/>
  <c r="F129" i="24"/>
  <c r="F235" i="24"/>
  <c r="I283" i="24"/>
  <c r="F98" i="24"/>
  <c r="F180" i="24"/>
  <c r="F232" i="24"/>
  <c r="F127" i="24"/>
  <c r="I289" i="24"/>
  <c r="F133" i="24"/>
  <c r="F183" i="24"/>
  <c r="I294" i="24"/>
  <c r="I285" i="24"/>
  <c r="F132" i="24"/>
  <c r="F178" i="24"/>
  <c r="I292" i="24"/>
  <c r="I279" i="24"/>
  <c r="I293" i="24"/>
  <c r="I281" i="24"/>
  <c r="F226" i="24"/>
  <c r="F131" i="24"/>
  <c r="I282" i="24"/>
  <c r="F181" i="24"/>
  <c r="I277" i="24"/>
  <c r="F130" i="24"/>
  <c r="F238" i="24"/>
  <c r="F89" i="24"/>
  <c r="F179" i="24"/>
  <c r="I288" i="24"/>
  <c r="F182" i="24"/>
  <c r="F80" i="24"/>
  <c r="F95" i="24"/>
  <c r="F177" i="24"/>
  <c r="F176" i="24"/>
  <c r="I290" i="24"/>
  <c r="F86" i="24"/>
  <c r="F92" i="24"/>
  <c r="I300" i="24"/>
  <c r="I291" i="24"/>
  <c r="I278" i="24"/>
  <c r="F83" i="24"/>
  <c r="I284" i="24"/>
  <c r="I286" i="24"/>
  <c r="J137" i="28" l="1"/>
  <c r="J80" i="28"/>
  <c r="J182" i="28"/>
  <c r="J130" i="28"/>
  <c r="J85" i="28"/>
  <c r="C44" i="28"/>
  <c r="J136" i="28"/>
  <c r="J79" i="28"/>
  <c r="J83" i="28"/>
  <c r="J131" i="28"/>
  <c r="J185" i="28"/>
  <c r="J133" i="28"/>
  <c r="J235" i="28"/>
  <c r="J234" i="28"/>
  <c r="J181" i="28"/>
  <c r="H98" i="26"/>
  <c r="H100" i="26"/>
  <c r="J81" i="28"/>
  <c r="H99" i="26"/>
  <c r="J134" i="28"/>
  <c r="J187" i="28"/>
  <c r="J232" i="28"/>
  <c r="J188" i="28"/>
  <c r="J233" i="28"/>
  <c r="J186" i="28"/>
  <c r="J183" i="28"/>
  <c r="J231" i="28"/>
  <c r="J84" i="28"/>
  <c r="J135" i="28"/>
  <c r="J86" i="28"/>
  <c r="J82" i="28"/>
  <c r="J184" i="2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tc={0970D89B-1C8B-437D-8DEF-646437462B41}</author>
  </authors>
  <commentList>
    <comment ref="E25" authorId="0" shapeId="0" xr:uid="{0970D89B-1C8B-437D-8DEF-646437462B41}">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For Avionics choose A</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tc={87131E38-98D8-4904-B5A3-6748F93C1606}</author>
  </authors>
  <commentList>
    <comment ref="E25" authorId="0" shapeId="0" xr:uid="{87131E38-98D8-4904-B5A3-6748F93C1606}">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For Avionics choose A</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tc={7090A22B-3DE9-4193-9743-0786EEF8DFA4}</author>
  </authors>
  <commentList>
    <comment ref="E25" authorId="0" shapeId="0" xr:uid="{7090A22B-3DE9-4193-9743-0786EEF8DFA4}">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For Avionics choose A</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tc={179F66C7-6745-4BDB-8561-9D6DDBDF0B6A}</author>
  </authors>
  <commentList>
    <comment ref="E25" authorId="0" shapeId="0" xr:uid="{179F66C7-6745-4BDB-8561-9D6DDBDF0B6A}">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For Avionics choose A</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tc={6656ED64-4E60-464F-86B6-B4095D7153EE}</author>
  </authors>
  <commentList>
    <comment ref="E25" authorId="0" shapeId="0" xr:uid="{6656ED64-4E60-464F-86B6-B4095D7153EE}">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For Avionics choose A</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tc={6469466B-039A-4799-AC2D-D9923B4F86A8}</author>
  </authors>
  <commentList>
    <comment ref="E25" authorId="0" shapeId="0" xr:uid="{6469466B-039A-4799-AC2D-D9923B4F86A8}">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For Avionics choose A</t>
        </r>
      </text>
    </comment>
  </commentList>
</comments>
</file>

<file path=xl/sharedStrings.xml><?xml version="1.0" encoding="utf-8"?>
<sst xmlns="http://schemas.openxmlformats.org/spreadsheetml/2006/main" count="3541" uniqueCount="511">
  <si>
    <t>CERTIFICATE OF CALIBRATION</t>
  </si>
  <si>
    <t>Certificate Number</t>
  </si>
  <si>
    <t xml:space="preserve">Certificate Number </t>
  </si>
  <si>
    <t>Unit 2 Viceroy Court</t>
  </si>
  <si>
    <t>Bedford Road</t>
  </si>
  <si>
    <t>Petersfield</t>
  </si>
  <si>
    <t>Hampshire</t>
  </si>
  <si>
    <t>GU32 3LJ</t>
  </si>
  <si>
    <t>Tel 01483 302700</t>
  </si>
  <si>
    <t>Approved Signatory</t>
  </si>
  <si>
    <t>Page 1 of 6 Pages</t>
  </si>
  <si>
    <t>Customer:</t>
  </si>
  <si>
    <t>Phase</t>
  </si>
  <si>
    <t>Setting</t>
  </si>
  <si>
    <t>Display</t>
  </si>
  <si>
    <t>Display Limits</t>
  </si>
  <si>
    <t>Measured Value</t>
  </si>
  <si>
    <t>Measured Value Limits</t>
  </si>
  <si>
    <t>(V)</t>
  </si>
  <si>
    <t>(± V)</t>
  </si>
  <si>
    <t>Customer Order No.</t>
  </si>
  <si>
    <t>Manufacturer</t>
  </si>
  <si>
    <t>Model Number</t>
  </si>
  <si>
    <t>Equipment Description</t>
  </si>
  <si>
    <t>Serial Number</t>
  </si>
  <si>
    <t>Date of Calibration</t>
  </si>
  <si>
    <t>Procedures Used</t>
  </si>
  <si>
    <t>Ambient Temperature</t>
  </si>
  <si>
    <t>Relative Humidity</t>
  </si>
  <si>
    <t>Nominal Mains Supply</t>
  </si>
  <si>
    <t>Ident/Plant Number</t>
  </si>
  <si>
    <t>Case No.</t>
  </si>
  <si>
    <t>Pacific</t>
  </si>
  <si>
    <t>AC Power Source</t>
  </si>
  <si>
    <t>23 °C ± 1 °C</t>
  </si>
  <si>
    <t>50 % rh ± 15 % rh</t>
  </si>
  <si>
    <t>230V -6%/+10%, 50 Hz ±1%</t>
  </si>
  <si>
    <t xml:space="preserve">DATE OF ISSUE: </t>
  </si>
  <si>
    <t>K. Gawlik</t>
  </si>
  <si>
    <t>I. A. Norman</t>
  </si>
  <si>
    <t>D. Holyoake</t>
  </si>
  <si>
    <t>400V -6%/+10%,  50 Hz ±1%</t>
  </si>
  <si>
    <t>Results are recorded “As Received” values.</t>
  </si>
  <si>
    <t>Calibration reference:</t>
  </si>
  <si>
    <t xml:space="preserve">Results are recorded following repair and adjustments.  </t>
  </si>
  <si>
    <t xml:space="preserve">Results are recorded following adjustments.  </t>
  </si>
  <si>
    <t>ASX</t>
  </si>
  <si>
    <t>AMX</t>
  </si>
  <si>
    <t>ACX</t>
  </si>
  <si>
    <t>AFX</t>
  </si>
  <si>
    <t>UPC1</t>
  </si>
  <si>
    <t>UPC12</t>
  </si>
  <si>
    <t>UPC31</t>
  </si>
  <si>
    <t>UPC32</t>
  </si>
  <si>
    <t>UPC3</t>
  </si>
  <si>
    <t>305AMX-UPC3</t>
  </si>
  <si>
    <t>305AMX-UPC32</t>
  </si>
  <si>
    <t>308AMX-UPC3</t>
  </si>
  <si>
    <t>308AMX-UPC32</t>
  </si>
  <si>
    <t>312AMX-UPC3</t>
  </si>
  <si>
    <t>312AMX-UPC32</t>
  </si>
  <si>
    <t>315ASX-UPC3</t>
  </si>
  <si>
    <t>315ASX-UPC32</t>
  </si>
  <si>
    <t>320AMX-UPC3</t>
  </si>
  <si>
    <t>320AMX-UPC32</t>
  </si>
  <si>
    <t>320ASX-UPC3</t>
  </si>
  <si>
    <t>320ASX-UPC32</t>
  </si>
  <si>
    <t>345AMX-UPC3</t>
  </si>
  <si>
    <t>345AMX-UPC32</t>
  </si>
  <si>
    <t>345ASX-UPC3</t>
  </si>
  <si>
    <t>345ASX-UPC32</t>
  </si>
  <si>
    <t>360AMX-UPC3</t>
  </si>
  <si>
    <t>360AMX-UPC32</t>
  </si>
  <si>
    <t>360ASX-UPC3</t>
  </si>
  <si>
    <t>360ASX-UPC32</t>
  </si>
  <si>
    <t>390AMX-UPC3</t>
  </si>
  <si>
    <t>390AMX-UPC32</t>
  </si>
  <si>
    <t>390ASX-UPC3</t>
  </si>
  <si>
    <t>390ASX-UPC32</t>
  </si>
  <si>
    <t>3120AMX-UPC3</t>
  </si>
  <si>
    <t>3120AMX-UPC32</t>
  </si>
  <si>
    <t>3120ASX-UPC3</t>
  </si>
  <si>
    <t>3120ASX-UPC32</t>
  </si>
  <si>
    <t>Model</t>
  </si>
  <si>
    <t>Unit Manual</t>
  </si>
  <si>
    <t>UPC Manual</t>
  </si>
  <si>
    <t>ASX Series operation manual, PPS part number 140050, 9th Edition, dated June 2017.</t>
  </si>
  <si>
    <t xml:space="preserve">UPC32 operation manual, part number 133620, Sixth Edition, dated April 2020. </t>
  </si>
  <si>
    <t>AMX operation manual, part number 139250, Revision B. Dated April 2012.</t>
  </si>
  <si>
    <t xml:space="preserve">UPC-3 operation manual, PPS part number 141020, Fifth Edition, dated March 2015. </t>
  </si>
  <si>
    <t>Input</t>
  </si>
  <si>
    <t>Procedure</t>
  </si>
  <si>
    <t>Measurements were made following a minimum stabilisation period of 2 hours in the Laboratory environment.</t>
  </si>
  <si>
    <t>All measurements were made using equipment traceable to National or International Standards.</t>
  </si>
  <si>
    <t>The reported expanded uncertainty is based on a standard uncertainty multiplied by a coverage factor k=2, providing a level of confidence of approximately 95%. The quoted uncertainty refers only to the measured value and does not carry any implication regarding the long term stability of the instrument.</t>
  </si>
  <si>
    <t>Standards used:</t>
  </si>
  <si>
    <t>Equipment</t>
  </si>
  <si>
    <t>A004-2</t>
  </si>
  <si>
    <t>Current 20A-100A</t>
  </si>
  <si>
    <t>A008</t>
  </si>
  <si>
    <t>Using Fluke</t>
  </si>
  <si>
    <t>A002-2</t>
  </si>
  <si>
    <t>Frequency</t>
  </si>
  <si>
    <t>Test Equipment</t>
  </si>
  <si>
    <t>Frequency via Quartzlock E8-Y GPS Frequency Reference, Serial number 17012033.</t>
  </si>
  <si>
    <t>EQU2</t>
  </si>
  <si>
    <t>EQU3</t>
  </si>
  <si>
    <t>EQU4</t>
  </si>
  <si>
    <t>Calibrated By:</t>
  </si>
  <si>
    <t>C024567</t>
  </si>
  <si>
    <t>CT125</t>
  </si>
  <si>
    <t>Caltest Instruments Ltd</t>
  </si>
  <si>
    <t>Page 2 of 6 Pages</t>
  </si>
  <si>
    <t>3 Phase Voltage Output and Metering.</t>
  </si>
  <si>
    <t>The 3 phase output and metering accuracy were calibrated by selecting the 3 Phase operation mode, the following output voltages were selected, the measured output voltage and the value of the output meter were recorded.</t>
  </si>
  <si>
    <t>Test Method:</t>
  </si>
  <si>
    <t>A-N</t>
  </si>
  <si>
    <t>B-N</t>
  </si>
  <si>
    <t>C-N</t>
  </si>
  <si>
    <t>V</t>
  </si>
  <si>
    <t>Page 3 of 6 Pages</t>
  </si>
  <si>
    <t>Page 4 of 6 Pages</t>
  </si>
  <si>
    <t>Page 5 of 6 Pages</t>
  </si>
  <si>
    <t>Page 6 of 6 Pages</t>
  </si>
  <si>
    <t>Uncertainties</t>
  </si>
  <si>
    <t>AC Voltage ± 10 mV</t>
  </si>
  <si>
    <t>2 Phase Voltage Output and Metering.</t>
  </si>
  <si>
    <t>The 2 phase output and metering accuracy were calibrated by selecting the 2 phase operation mode, the following output voltages were selected, the measured output voltage and the value of the output meter were recorded. All measurements were made between Phase A and B.</t>
  </si>
  <si>
    <t>1 Phase Voltage Output and Metering.</t>
  </si>
  <si>
    <t>A-B</t>
  </si>
  <si>
    <t>The 1 phase output and metering accuracy were calibrated by selecting the 1 phase operation mode, the following output voltages were selected, the measured output voltage and the value of the output meter were recorded. All measurements were made between Phase A and N.</t>
  </si>
  <si>
    <t>Other Checks</t>
  </si>
  <si>
    <t>Current Limit Checked</t>
  </si>
  <si>
    <t xml:space="preserve">External Sense Function Checked </t>
  </si>
  <si>
    <t>ü</t>
  </si>
  <si>
    <t>Power Meter Function Checked</t>
  </si>
  <si>
    <t>3 Phase Frequency Response.</t>
  </si>
  <si>
    <t>The 3 phase frequency response was calibrated by selecting the 3 phase operation mode, the output voltages were selected for 120V and the frequency was set to the values below, the measured output voltage and frequency were recorded.</t>
  </si>
  <si>
    <t>The UUT settings were as follows: Form 3, Int Sense, CSC On, Direct Mode, No Load applied, Sine Wave.</t>
  </si>
  <si>
    <t>(Hz)</t>
  </si>
  <si>
    <t>Measured Frequency</t>
  </si>
  <si>
    <t>(± Hz)</t>
  </si>
  <si>
    <t>Measured Voltage</t>
  </si>
  <si>
    <t>Frequency Limits</t>
  </si>
  <si>
    <t xml:space="preserve">Frequency    ± 0.001 Hz    </t>
  </si>
  <si>
    <t>Hz</t>
  </si>
  <si>
    <t>The 3 phase current metering accuracy was calibrated by selecting the 3 phase operation mode, a resistive load was connected to each phase in turn, the load was adjusted for the following currents, the displayed current readings were recorded.</t>
  </si>
  <si>
    <t>3 Phase Current Metering.</t>
  </si>
  <si>
    <t>A002-2, A008, C007</t>
  </si>
  <si>
    <t>A002-2, A004-2, A008, C007</t>
  </si>
  <si>
    <t>Displayed Current Limits</t>
  </si>
  <si>
    <t>Displayed Current</t>
  </si>
  <si>
    <t>Measured Current</t>
  </si>
  <si>
    <t>(A)</t>
  </si>
  <si>
    <t>(± A)</t>
  </si>
  <si>
    <t>1 Phase Current Metering.</t>
  </si>
  <si>
    <t>Displayed AC Current ± 1 Display Digit</t>
  </si>
  <si>
    <t>Measured AC Current ± 1 mA</t>
  </si>
  <si>
    <t>END</t>
  </si>
  <si>
    <t xml:space="preserve">ISSUED BY:                 </t>
  </si>
  <si>
    <t>The UUT settings were as follows: Form 2, Int Sense, CSC off, Direct Mode, No Load applied, Sine Wave,</t>
  </si>
  <si>
    <t>Frequency 60Hz.</t>
  </si>
  <si>
    <t>The UUT settings were as follows: Form 1, Int Sense, CSC On, Direct Mode, No Load applied, Sine Wave</t>
  </si>
  <si>
    <t xml:space="preserve">Pacific AC Power Source K Factors </t>
  </si>
  <si>
    <t>Customer</t>
  </si>
  <si>
    <t>Ser No</t>
  </si>
  <si>
    <t>Date</t>
  </si>
  <si>
    <t>(Fn 4, 3, ) K Factor display UPC,  Form 3</t>
  </si>
  <si>
    <t>Function</t>
  </si>
  <si>
    <t>K Factor Display</t>
  </si>
  <si>
    <t>Kin</t>
  </si>
  <si>
    <t>Kex</t>
  </si>
  <si>
    <t>Ko</t>
  </si>
  <si>
    <t>A:</t>
  </si>
  <si>
    <t>B:</t>
  </si>
  <si>
    <t>C:</t>
  </si>
  <si>
    <t>(Fn 4, 3, ) K Factor display UPC3,  Form 2</t>
  </si>
  <si>
    <t>(Fn 4, 3, ) K Factor display UPC3,  Form 1</t>
  </si>
  <si>
    <t>New K Factor Display = Old K Factor * (Test Equipment Value/UPC Meter Display)</t>
  </si>
  <si>
    <t>(Fn 3,3)</t>
  </si>
  <si>
    <t>GPIB PORT</t>
  </si>
  <si>
    <t>UPC STATUS:</t>
  </si>
  <si>
    <t>FIRMWARE:</t>
  </si>
  <si>
    <t>GPIB ADDRESS</t>
  </si>
  <si>
    <t>TRANSFORMER RATIO</t>
  </si>
  <si>
    <t>PAs=</t>
  </si>
  <si>
    <t>AMPS: VOLTS RATIO</t>
  </si>
  <si>
    <t>A=1 V</t>
  </si>
  <si>
    <t>SERIAL PORT</t>
  </si>
  <si>
    <t>BAUD:</t>
  </si>
  <si>
    <t>PARITY:</t>
  </si>
  <si>
    <t>PRI</t>
  </si>
  <si>
    <t>SEC</t>
  </si>
  <si>
    <t>A</t>
  </si>
  <si>
    <t>The UUT settings were as follows: Form 3, Int Sense, CSC off, Direct Mode, No Load applied, Sine Wave,</t>
  </si>
  <si>
    <t>04567</t>
  </si>
  <si>
    <t>The UUT settings were as follows: Form 3, Int sense, CSC off, Direct Mode, Sine Wave,</t>
  </si>
  <si>
    <t>Current 1</t>
  </si>
  <si>
    <t>Current 2</t>
  </si>
  <si>
    <t>Current 3</t>
  </si>
  <si>
    <t>Current 4</t>
  </si>
  <si>
    <t>Current 5</t>
  </si>
  <si>
    <t>Current 6</t>
  </si>
  <si>
    <t>Current 8</t>
  </si>
  <si>
    <t>Current Single</t>
  </si>
  <si>
    <t>Current Check</t>
  </si>
  <si>
    <r>
      <t>Cropico RS2 Standard Resistor 0.01Ω Ser No. 6577 Calibrated 08</t>
    </r>
    <r>
      <rPr>
        <vertAlign val="superscript"/>
        <sz val="10"/>
        <color theme="1"/>
        <rFont val="Times New Roman"/>
        <family val="1"/>
      </rPr>
      <t>th</t>
    </r>
    <r>
      <rPr>
        <sz val="10"/>
        <color theme="1"/>
        <rFont val="Times New Roman"/>
        <family val="1"/>
      </rPr>
      <t xml:space="preserve"> June 2020.</t>
    </r>
  </si>
  <si>
    <r>
      <t>Cropico RS2 Standard Resistor 0.1Ω Ser No.19420. Calibrated 08</t>
    </r>
    <r>
      <rPr>
        <vertAlign val="superscript"/>
        <sz val="10"/>
        <color theme="1"/>
        <rFont val="Times New Roman"/>
        <family val="1"/>
      </rPr>
      <t>th</t>
    </r>
    <r>
      <rPr>
        <sz val="10"/>
        <color theme="1"/>
        <rFont val="Times New Roman"/>
        <family val="1"/>
      </rPr>
      <t xml:space="preserve"> June 2020.</t>
    </r>
  </si>
  <si>
    <r>
      <t>Newtons 4</t>
    </r>
    <r>
      <rPr>
        <vertAlign val="superscript"/>
        <sz val="10"/>
        <color theme="1"/>
        <rFont val="Times New Roman"/>
        <family val="1"/>
      </rPr>
      <t>th</t>
    </r>
    <r>
      <rPr>
        <sz val="10"/>
        <color theme="1"/>
        <rFont val="Times New Roman"/>
        <family val="1"/>
      </rPr>
      <t xml:space="preserve"> PPA5530 Power Analyser, Serial number 165-00791. Calibrated 28</t>
    </r>
    <r>
      <rPr>
        <vertAlign val="superscript"/>
        <sz val="10"/>
        <color theme="1"/>
        <rFont val="Times New Roman"/>
        <family val="1"/>
      </rPr>
      <t>th</t>
    </r>
    <r>
      <rPr>
        <sz val="10"/>
        <color theme="1"/>
        <rFont val="Times New Roman"/>
        <family val="1"/>
      </rPr>
      <t xml:space="preserve"> January. Certificate number 165-00791.</t>
    </r>
  </si>
  <si>
    <r>
      <t>Newton’s 4th HF100 Current Shunt Serial number 911-11514. Calibrated 09</t>
    </r>
    <r>
      <rPr>
        <vertAlign val="superscript"/>
        <sz val="10"/>
        <color theme="1"/>
        <rFont val="Times New Roman"/>
        <family val="1"/>
      </rPr>
      <t>th</t>
    </r>
    <r>
      <rPr>
        <sz val="10"/>
        <color theme="1"/>
        <rFont val="Times New Roman"/>
        <family val="1"/>
      </rPr>
      <t xml:space="preserve"> June 2020.</t>
    </r>
  </si>
  <si>
    <r>
      <t>Newtons 4</t>
    </r>
    <r>
      <rPr>
        <vertAlign val="superscript"/>
        <sz val="10"/>
        <color theme="1"/>
        <rFont val="Times New Roman"/>
        <family val="1"/>
      </rPr>
      <t>th</t>
    </r>
    <r>
      <rPr>
        <sz val="10"/>
        <color theme="1"/>
        <rFont val="Times New Roman"/>
        <family val="1"/>
      </rPr>
      <t xml:space="preserve"> PPA530 Power Analyser, Serial number 115-01543. Calibrated 31</t>
    </r>
    <r>
      <rPr>
        <vertAlign val="superscript"/>
        <sz val="10"/>
        <color theme="1"/>
        <rFont val="Times New Roman"/>
        <family val="1"/>
      </rPr>
      <t>st</t>
    </r>
    <r>
      <rPr>
        <sz val="10"/>
        <color theme="1"/>
        <rFont val="Times New Roman"/>
        <family val="1"/>
      </rPr>
      <t xml:space="preserve"> January 2020. UKAS Certificate number 115-01543310120.</t>
    </r>
  </si>
  <si>
    <r>
      <t>Newton’s 4th HF500 Current Shunt Serial number 1979. Calibration certificate number 04626, Calibrated 16</t>
    </r>
    <r>
      <rPr>
        <vertAlign val="superscript"/>
        <sz val="10"/>
        <color theme="1"/>
        <rFont val="Times New Roman"/>
        <family val="1"/>
      </rPr>
      <t>th</t>
    </r>
    <r>
      <rPr>
        <sz val="10"/>
        <color theme="1"/>
        <rFont val="Times New Roman"/>
        <family val="1"/>
      </rPr>
      <t xml:space="preserve"> January 2020.</t>
    </r>
  </si>
  <si>
    <t>Fluke 8508A Digital Multimeter Serial No. 115260406 UKAS Calibration Certificate No. 0183-075669 dated 06th April 2020.</t>
  </si>
  <si>
    <t>Controller</t>
  </si>
  <si>
    <t>Controller:</t>
  </si>
  <si>
    <t>UPC1/3</t>
  </si>
  <si>
    <t>Range</t>
  </si>
  <si>
    <t>15-1200</t>
  </si>
  <si>
    <t>UPC12/32</t>
  </si>
  <si>
    <t>20-5000</t>
  </si>
  <si>
    <t>Accuracy</t>
  </si>
  <si>
    <t>0.01&amp; of full sclae</t>
  </si>
  <si>
    <t>Voltage</t>
  </si>
  <si>
    <t>0-150/341</t>
  </si>
  <si>
    <t>0-150/375</t>
  </si>
  <si>
    <t>Voltmeter</t>
  </si>
  <si>
    <t>Ammeter</t>
  </si>
  <si>
    <t>0-354Vl-n, 708Vl-l</t>
  </si>
  <si>
    <t>0.2% F.S</t>
  </si>
  <si>
    <t xml:space="preserve">0.25% of rdg </t>
  </si>
  <si>
    <t>50-500 Hz + 0.1% FS</t>
  </si>
  <si>
    <t>0.5% of full scale</t>
  </si>
  <si>
    <t>Type</t>
  </si>
  <si>
    <t>Type:</t>
  </si>
  <si>
    <t>Amps to Volts</t>
  </si>
  <si>
    <t>MAX 3 Phase</t>
  </si>
  <si>
    <t>MAX 1 Phase</t>
  </si>
  <si>
    <t>Range 3</t>
  </si>
  <si>
    <t>Range 1</t>
  </si>
  <si>
    <t>Voltage Limits</t>
  </si>
  <si>
    <t xml:space="preserve">Total Test Duration </t>
  </si>
  <si>
    <t xml:space="preserve">Test Finish Time </t>
  </si>
  <si>
    <t>Test Start Time</t>
  </si>
  <si>
    <t>Calibration Recal Date:</t>
  </si>
  <si>
    <t>Case Number:</t>
  </si>
  <si>
    <t>Certification Number:</t>
  </si>
  <si>
    <t>Serial Number:</t>
  </si>
  <si>
    <t>Model:</t>
  </si>
  <si>
    <t>PPA5500</t>
  </si>
  <si>
    <t>Company:</t>
  </si>
  <si>
    <t xml:space="preserve">N4L </t>
  </si>
  <si>
    <t>Manufacture:</t>
  </si>
  <si>
    <t>Test Date:</t>
  </si>
  <si>
    <t xml:space="preserve">Test Equipment </t>
  </si>
  <si>
    <t>Customer Details</t>
  </si>
  <si>
    <t>Page 1 of 8 Pages</t>
  </si>
  <si>
    <t>360AMXT-UPC32</t>
  </si>
  <si>
    <t>Magnetic module s/n</t>
  </si>
  <si>
    <t>Transformer ratio</t>
  </si>
  <si>
    <t>Page 2 of 8 Pages</t>
  </si>
  <si>
    <t>Page 3 of 8 Pages</t>
  </si>
  <si>
    <t>3 Phase Voltage Output and Metering Transformer Mode.</t>
  </si>
  <si>
    <t>The UUT settings were as follows: Form 3, Ext Sense, CSC On, Tx Mode, No Load applied, Sine Wave,</t>
  </si>
  <si>
    <t>Page 4 of 8 Pages</t>
  </si>
  <si>
    <t>Page 5 of 8 Pages</t>
  </si>
  <si>
    <t>Page 6 of 8 Pages</t>
  </si>
  <si>
    <t>1 Phase Voltage Output and Metering Transformer Mode.</t>
  </si>
  <si>
    <t>The UUT settings were as follows: Form 1, Ext Sense, CSC On, Tx Mode, No Load applied, Sine Wave</t>
  </si>
  <si>
    <t>Page 7 of 8 Pages</t>
  </si>
  <si>
    <t>Page 8 of 8 Pages</t>
  </si>
  <si>
    <t>Displayed Current Tx</t>
  </si>
  <si>
    <t>A-N (Direct)</t>
  </si>
  <si>
    <t>A-N (Tx)</t>
  </si>
  <si>
    <t>Page 1 of 11 Pages</t>
  </si>
  <si>
    <t>360AFX</t>
  </si>
  <si>
    <t>A002-2, A003-1, A004-2, A008, C007</t>
  </si>
  <si>
    <t>AFX Series operational manual, P/N 160620-10, Rev 1.1.7. 2018</t>
  </si>
  <si>
    <t>Page 2 of 11 Pages</t>
  </si>
  <si>
    <t>3 Phase AC Output Voltage Linearity and Metering.</t>
  </si>
  <si>
    <t>The 3 phase output and metering accuracy was calibrated by selecting the 3 Phase operation mode, the following output voltages were selected, the measured output voltage and the value of the output meter were recorded. All phases were measured with respect to Neutral.
The UUT settings were as follows: Mode AC, Form 3, Int sense, CSC on, High Range, No Load applied. Frequency 400 Hz Sine Wave * Display Limits refer to Limits between Displayed output and Measured value.</t>
  </si>
  <si>
    <t>Page 3 of 11 Pages</t>
  </si>
  <si>
    <t>3 Phase AC Output Voltage Linearity and Metering Cont:</t>
  </si>
  <si>
    <t>2 Phase AC Output Voltage Linearity and Metering Cont:</t>
  </si>
  <si>
    <t>The 2 phase output and metering direct coupled accuracy was calibrated by selecting the 2 Phase operation mode, the following output voltages were selected, the measured output voltage and the value of the output meter were recorded. All measurements were made between Phase A and Phase B.
The UUT settings were as follows: Mode AC, Form 2, Int sense, CSC on, High Range, No Load applied. Frequency 400 Hz Sine Wave. * Display Limits refer to Limits between Displayed output and Measured value.</t>
  </si>
  <si>
    <t>Page 4 of 11 Pages</t>
  </si>
  <si>
    <t xml:space="preserve">1 Phase AC Output Voltage Linearity and Metering. </t>
  </si>
  <si>
    <t>The 1 phase output and metering direct coupled accuracy was calibrated by selecting the 1 Phase operation mode, the following output voltages were selected, the measured output voltage and the value of the output meter were recorded. For single phase operation, all three phase outputs were connected in parallel configuration.
The UUT settings were as follows: Mode AC, Form 1, Int sense, CSC on, High Range, No Load applied. Frequency 400 Hz Sine Wave. * Display Limits refer to Limits between Displayed output and Measured value.</t>
  </si>
  <si>
    <t>Page 5 of 11 Pages</t>
  </si>
  <si>
    <t>The 3 phase voltage frequency response was calibrated by selecting the 3 Phase operation mode, the output voltages were selected for 115 V and the frequency was set to the values below, the measured Output Voltage and Frequency were recorded. All phases were measured with respect to Neutral.
The UUT settings were as follows: Mode AC, Form 3, Int sense, CSC on, High Range, No Load applied. Sine Wave.</t>
  </si>
  <si>
    <t>AC Voltage ± 50 mV</t>
  </si>
  <si>
    <t xml:space="preserve">Frequency   50 Hz to 1.2 kHz ± 0.001 Hz    </t>
  </si>
  <si>
    <t>Page 6 of 11 Pages</t>
  </si>
  <si>
    <t>AC 3 Phase Current Metering.</t>
  </si>
  <si>
    <t>The 3 phase Current metering accuracy was calibrated by selecting the 3 Phase operation mode, a resistive load was connected to each phase in turn, the load was adjusted for the following currents, the displayed current readings were recorded. All phases were measured with respect to Neutral.
The UUT settings were as follows: Mode AC, Form 3, Int sense, CSC off, High Range, Frequency 400 Hz Sine Wave.</t>
  </si>
  <si>
    <t xml:space="preserve">Measured AC Current Up to 20 A ± 20 mA </t>
  </si>
  <si>
    <t xml:space="preserve">20 A to 120 A ± 60 mA </t>
  </si>
  <si>
    <t>Page 7 of 11 Pages</t>
  </si>
  <si>
    <t xml:space="preserve">AC 3 Phase Load Regulation   </t>
  </si>
  <si>
    <t xml:space="preserve">The Load Regulation was calibrated by setting the Unit Under Test to supply a nominal 115 V output with a nominal current of 0 A flowing into the load, the output voltage value was recorded. </t>
  </si>
  <si>
    <t>The load was adjusted for a maximum current output and the output voltage was again recorded. The UUT settings were as follows: Mode AC, Form 3, Ext sense, CSC on, High Range, Sine Wave, 400Hz.</t>
  </si>
  <si>
    <t>Load current</t>
  </si>
  <si>
    <t>Ref</t>
  </si>
  <si>
    <t>0.023 V from Ref</t>
  </si>
  <si>
    <t>DC OUTPUT</t>
  </si>
  <si>
    <t xml:space="preserve">DC 3 Phase Load Regulation   </t>
  </si>
  <si>
    <t xml:space="preserve">The Load Regulation was calibrated by setting the Unit Under Test to supply a nominal 170 V output with a nominal current of 0 A flowing into the load, the output voltage value was recorded. </t>
  </si>
  <si>
    <t>The load was adjusted for a maximum current output and the output voltage was again recorded. The UUT settings were as follows: Mode DC, Form 3, Ext sense, CSC on, High Range.</t>
  </si>
  <si>
    <t>0.034 V from Ref</t>
  </si>
  <si>
    <t>DC Voltage ± 10 mV</t>
  </si>
  <si>
    <t>Page 8 of 11 Pages</t>
  </si>
  <si>
    <t>3 Phase DC Output Voltage Linearity and Metering.</t>
  </si>
  <si>
    <t>The 3 phase output and metering accuracy was calibrated by selecting the 3 Phase operation mode, the following output voltages were selected, the measured output voltage and the value of the output meter were recorded. All phases were measured with respect to Neutral.
The UUT settings were as follows: Mode DC, Form 3, Int sense, CSC on, High Range, No Load applied.  
* Display Limits refer to Limits between Displayed output and Measured value.</t>
  </si>
  <si>
    <t>Page 9 of 11 Pages</t>
  </si>
  <si>
    <t>2 Phase DC Output Voltage Linearity and Metering Cont:</t>
  </si>
  <si>
    <t xml:space="preserve">The 2 phase output and metering direct coupled accuracy was calibrated by selecting the 2 Phase direct coupled operation mode, the following output voltages were selected, the measured output voltage and the value of the output meter were recorded. All measurements were made between Phase A and Phase B.
The UUT settings were as follows: Mode DC, Form 2, Int sense, CSC on, High Range , No Load applied. </t>
  </si>
  <si>
    <t>* Display Limits refer to Limits between Displayed output and Measured value.</t>
  </si>
  <si>
    <t>Page 10 of 11 Pages</t>
  </si>
  <si>
    <t xml:space="preserve">1 Phase DC Output Voltage Linearity and Metering. </t>
  </si>
  <si>
    <t>The 1 phase output and metering accuracy was calibrated by selecting the 1 Phase operation mode, the following output voltages were selected, the measured output voltage and the value of the output meter were recorded. For single phase operation, all three phase outputs were connected in parallel configuration.
The UUT settings were as follows: Mode DC, Form 1, Int sense, CSC on, High Range, No Load applied.
* Display Limits refer to Limits between Displayed output and Measured value.</t>
  </si>
  <si>
    <t>Page 11 of 11 Pages</t>
  </si>
  <si>
    <t>3 DC Phase Current Metering.</t>
  </si>
  <si>
    <t xml:space="preserve">The 3 phase Current metering accuracy was calibrated by selecting the 3 Phase operation mode, a resistive load was connected to each phase in turn, the load was adjusted for the following currents, the displayed current readings were recorded. All phases were measured with respect to Neutral.
The UUT settings were as follows: Mode DC, Form 3, Int sense, CSC off, High Range.  </t>
  </si>
  <si>
    <t xml:space="preserve">Measured DC Current Up to 20 A    ± 20 mA </t>
  </si>
  <si>
    <t xml:space="preserve">20 A to 100 A ± 30 mA </t>
  </si>
  <si>
    <t>Page 1 of 5 Pages</t>
  </si>
  <si>
    <t>160AMX-UPC12</t>
  </si>
  <si>
    <t>Page 2 of 5 Pages</t>
  </si>
  <si>
    <t>Page 3 of 5 Pages</t>
  </si>
  <si>
    <t>Page 4 of 5 Pages</t>
  </si>
  <si>
    <t>Frequency Response.</t>
  </si>
  <si>
    <t>The Single phase Frequency response was calibrated by selecting the 1 Phase operation mode, the output voltages were selected for 120V and the frequency was set to the values below, The measured Output Voltage and Frequency were recorded.</t>
  </si>
  <si>
    <t>The UUT settings were as follows: Form 1, Int Sense, CSC On, Direct Mode, No Load applied, Sine Wave.</t>
  </si>
  <si>
    <t>Page 5 of 5 Pages</t>
  </si>
  <si>
    <t>Current Metering.</t>
  </si>
  <si>
    <t>The Current metering Accuracy was calibrated by selecting the 1 Phase operation then the 2 Phase operation mode, a resistive load was connected to each phase in turn, the load was adjusted for the following currents, The displayed current readings were recorded.</t>
  </si>
  <si>
    <t>The UUT settings were as follows: Form 1 or 2, Int sense, CSC off, Direct Mode, Sine Wave,</t>
  </si>
  <si>
    <t>Displayed Current 1 Phase</t>
  </si>
  <si>
    <t>Displayed Current 2 Phase</t>
  </si>
  <si>
    <t>160AMXT-UPC12</t>
  </si>
  <si>
    <t>Displayed Current 1 Phase Tx</t>
  </si>
  <si>
    <t>Page 1 of 4 Pages</t>
  </si>
  <si>
    <t>115ASX-UPC1</t>
  </si>
  <si>
    <t>Page 2 of 4 Pages</t>
  </si>
  <si>
    <t>The UUT settings were as follows: Form 1, Int Sense, CSC off, Direct Mode, No Load applied, Sine Wave</t>
  </si>
  <si>
    <t>Page 3 of 4 Pages</t>
  </si>
  <si>
    <t>Page 4 of 4 Pages</t>
  </si>
  <si>
    <t>The UUT settings were as follows: Form 1, Int sense, CSC off, Direct Mode, Sine Wave,</t>
  </si>
  <si>
    <t>115ASXT-UPC12</t>
  </si>
  <si>
    <t>The UUT settings were as follows: Form 1, Int Sense, CSC Off, Direct Mode, No Load applied, Sine Wave</t>
  </si>
  <si>
    <t>Transformer Coupled Output.</t>
  </si>
  <si>
    <t>The UUT settings were as follows: Form 1, Ext Sense, CSC on, Tx Mode, No Load applied, Sine Wave,</t>
  </si>
  <si>
    <t>Measured Current Tx mode</t>
  </si>
  <si>
    <t>Displayed Current Tx mode</t>
  </si>
  <si>
    <t>Above 20A</t>
  </si>
  <si>
    <t>Above 50A</t>
  </si>
  <si>
    <t>Manuals:</t>
  </si>
  <si>
    <t>ACX-Series operational manual, part number 150118-10, sixth edition, June 2014.</t>
  </si>
  <si>
    <t>ADX</t>
  </si>
  <si>
    <t>ADX-Series operational manual, part number 150180-10, sixth edition, February 2016.</t>
  </si>
  <si>
    <t>LMX</t>
  </si>
  <si>
    <t>LMX Series operation manual, PPS part number 143750-10, Rev 1.0.2, dated 2019.</t>
  </si>
  <si>
    <t xml:space="preserve">UPC-1/3 operation manual, PPS part number 141020, Fifth Edition, dated March 2015. </t>
  </si>
  <si>
    <t xml:space="preserve">UPC-12/32 operation manual, part number 133620, Sixth Edition, dated April 2020. </t>
  </si>
  <si>
    <t>Procedures:</t>
  </si>
  <si>
    <t>C007</t>
  </si>
  <si>
    <t>Under 20A</t>
  </si>
  <si>
    <t>DCA up 100A</t>
  </si>
  <si>
    <t>Users:</t>
  </si>
  <si>
    <t>Onsite condition</t>
  </si>
  <si>
    <t>Results:</t>
  </si>
  <si>
    <t>3ph V</t>
  </si>
  <si>
    <t>The UUT settings were as follows: Form 3, Int Sense, CSC on, Direct Mode, No Load applied, Sine Wave,</t>
  </si>
  <si>
    <t>2 ph V</t>
  </si>
  <si>
    <t>LmX</t>
  </si>
  <si>
    <t>The UUT settings were as follows: Form 2, Int Sense, CSC on, Direct Mode, No Load applied, Sine Wave,</t>
  </si>
  <si>
    <t>1p v</t>
  </si>
  <si>
    <t>Lmx</t>
  </si>
  <si>
    <t>305LMX</t>
  </si>
  <si>
    <t>308LMX</t>
  </si>
  <si>
    <t>312LMX</t>
  </si>
  <si>
    <t>320LMX</t>
  </si>
  <si>
    <t>345LMX</t>
  </si>
  <si>
    <t>360LMX</t>
  </si>
  <si>
    <t>390LMX</t>
  </si>
  <si>
    <t>3120LMX</t>
  </si>
  <si>
    <t>305AMXT-UPC3</t>
  </si>
  <si>
    <t>305AMXT-UPC32</t>
  </si>
  <si>
    <t>305LMXT</t>
  </si>
  <si>
    <t>308AMXT-UPC3</t>
  </si>
  <si>
    <t>308AMXT-UPC32</t>
  </si>
  <si>
    <t>308LMXT</t>
  </si>
  <si>
    <t>312AMXT-UPC3</t>
  </si>
  <si>
    <t>312AMXT-UPC32</t>
  </si>
  <si>
    <t>312LMXT</t>
  </si>
  <si>
    <t>315ASXT-UPC3</t>
  </si>
  <si>
    <t>315ASXT-UPC32</t>
  </si>
  <si>
    <t>320AMXT-UPC3</t>
  </si>
  <si>
    <t>320AMXT-UPC32</t>
  </si>
  <si>
    <t>320LMXT</t>
  </si>
  <si>
    <t>320ASXT-UPC3</t>
  </si>
  <si>
    <t>320ASXT-UPC32</t>
  </si>
  <si>
    <t>345AMXT-UPC3</t>
  </si>
  <si>
    <t>345AMXT-UPC32</t>
  </si>
  <si>
    <t>345LMXT</t>
  </si>
  <si>
    <t>345ASXT-UPC3</t>
  </si>
  <si>
    <t>345ASXT-UPC32</t>
  </si>
  <si>
    <t>360AMXT-UPC3</t>
  </si>
  <si>
    <t>360LMXT</t>
  </si>
  <si>
    <t>360ASXT-UPC3</t>
  </si>
  <si>
    <t>360ASXT-UPC32</t>
  </si>
  <si>
    <t>390AMXT-UPC3</t>
  </si>
  <si>
    <t>390AMXT-UPC32</t>
  </si>
  <si>
    <t>390LMXT</t>
  </si>
  <si>
    <t>390ASXT-UPC3</t>
  </si>
  <si>
    <t>390ASXT-UPC32</t>
  </si>
  <si>
    <t>3120AMXT-UPC3</t>
  </si>
  <si>
    <t>3120AMXT-UPC32</t>
  </si>
  <si>
    <t>3120LMXT</t>
  </si>
  <si>
    <t>3120ASXT-UPC3</t>
  </si>
  <si>
    <t>3120ASXT-UPC32</t>
  </si>
  <si>
    <t>AC</t>
  </si>
  <si>
    <t>DC</t>
  </si>
  <si>
    <t>VDC</t>
  </si>
  <si>
    <t>spare</t>
  </si>
  <si>
    <t>MAX 3 PAC</t>
  </si>
  <si>
    <t>MAX 1 PAC</t>
  </si>
  <si>
    <t>MAX 3 PDC</t>
  </si>
  <si>
    <t>MAX 1 PDC</t>
  </si>
  <si>
    <t>390AFX</t>
  </si>
  <si>
    <t>3120AFX</t>
  </si>
  <si>
    <t>3150AFX</t>
  </si>
  <si>
    <t>3180AFX</t>
  </si>
  <si>
    <t>3240AFX</t>
  </si>
  <si>
    <t>3300AFX</t>
  </si>
  <si>
    <t>3450AFX</t>
  </si>
  <si>
    <t>3600AFX</t>
  </si>
  <si>
    <t>3750AFX</t>
  </si>
  <si>
    <t>3900AFX</t>
  </si>
  <si>
    <t>Contr</t>
  </si>
  <si>
    <t>Current limit</t>
  </si>
  <si>
    <t>MAX 2 Phase</t>
  </si>
  <si>
    <t>105AMX-UPC1</t>
  </si>
  <si>
    <t>105AMX-UPC12</t>
  </si>
  <si>
    <t>105LMX</t>
  </si>
  <si>
    <t>108AMX-UPC1</t>
  </si>
  <si>
    <t>108AMX-UPC12</t>
  </si>
  <si>
    <t>108LMX</t>
  </si>
  <si>
    <t>110ACX-UPC1</t>
  </si>
  <si>
    <t>110ADX-UPC1</t>
  </si>
  <si>
    <t>112AMX-UPC1</t>
  </si>
  <si>
    <t>112AMX-UPC12</t>
  </si>
  <si>
    <t>112LMX</t>
  </si>
  <si>
    <t>115ACX-UPC1</t>
  </si>
  <si>
    <t>115ADX-UPC1</t>
  </si>
  <si>
    <t>118ACX-UPC1</t>
  </si>
  <si>
    <t>120ASX-UPC1</t>
  </si>
  <si>
    <t>120ASX-UPC12</t>
  </si>
  <si>
    <t>125AMX-UPC1</t>
  </si>
  <si>
    <t>125AMX-UPC12</t>
  </si>
  <si>
    <t>125LMX</t>
  </si>
  <si>
    <t>140AMX-UPC1</t>
  </si>
  <si>
    <t>140AMX-UPC12</t>
  </si>
  <si>
    <t>140LMX</t>
  </si>
  <si>
    <t>140ASX-UPC1</t>
  </si>
  <si>
    <t>140ASX-UPC12</t>
  </si>
  <si>
    <t>160AMX-UPC1</t>
  </si>
  <si>
    <t>160LMX</t>
  </si>
  <si>
    <t>160ASX-UPC1</t>
  </si>
  <si>
    <t>160ASX-UPC12</t>
  </si>
  <si>
    <t>105AMXT-UPC1</t>
  </si>
  <si>
    <t>105AMXT-UPC12</t>
  </si>
  <si>
    <t>105LMXT</t>
  </si>
  <si>
    <t>108AMXT-UPC1</t>
  </si>
  <si>
    <t>108AMXT-UPC12</t>
  </si>
  <si>
    <t>108LMXT</t>
  </si>
  <si>
    <t>112AMXT-UPC1</t>
  </si>
  <si>
    <t>112AMXT-UPC12</t>
  </si>
  <si>
    <t>112LMXT</t>
  </si>
  <si>
    <t>120ASXT-UPC1</t>
  </si>
  <si>
    <t>120ASXT-UPC12</t>
  </si>
  <si>
    <t>125AMXT-UPC1</t>
  </si>
  <si>
    <t>125AMXT-UPC12</t>
  </si>
  <si>
    <t>125LMXT</t>
  </si>
  <si>
    <t>140AMXT-UPC1</t>
  </si>
  <si>
    <t>140AMXT-UPC12</t>
  </si>
  <si>
    <t>140LMXT</t>
  </si>
  <si>
    <t>140ASXT-UPC1</t>
  </si>
  <si>
    <t>140ASXT-UPC12</t>
  </si>
  <si>
    <t>160AMXT-UPC1</t>
  </si>
  <si>
    <t>160LMXT</t>
  </si>
  <si>
    <t>160ASXT-UPC1</t>
  </si>
  <si>
    <t>160ASXT-UPC12</t>
  </si>
  <si>
    <t>115ASX-UPC12</t>
  </si>
  <si>
    <t>115ASXT-UPC1</t>
  </si>
  <si>
    <t>3ph</t>
  </si>
  <si>
    <t>3pht</t>
  </si>
  <si>
    <t>3ph AFX</t>
  </si>
  <si>
    <t>2ph</t>
  </si>
  <si>
    <t>2pht</t>
  </si>
  <si>
    <t>115ASX</t>
  </si>
  <si>
    <t>115ASXT</t>
  </si>
  <si>
    <t>2pV</t>
  </si>
  <si>
    <t>contr</t>
  </si>
  <si>
    <t>type</t>
  </si>
  <si>
    <t>Test</t>
  </si>
  <si>
    <t>Unit</t>
  </si>
  <si>
    <t>Controller type</t>
  </si>
  <si>
    <t>Frequency 50Hz.</t>
  </si>
  <si>
    <t>Ki</t>
  </si>
  <si>
    <t>Plant Number</t>
  </si>
  <si>
    <t>3 Phase DC Output Voltage Linearity and Metering Cont: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</si>
</sst>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0.0"/>
    <numFmt numFmtId="165" formatCode="0.000"/>
    <numFmt numFmtId="166" formatCode="[$-F800]dddd\,\ mmmm\ dd\,\ yyyy"/>
    <numFmt numFmtId="167" formatCode="#,##0.000"/>
    <numFmt numFmtId="168" formatCode="0.00000"/>
    <numFmt numFmtId="169" formatCode="[$-F400]h:mm:ss\ AM/PM"/>
    <numFmt numFmtId="170" formatCode="[$-409]d\-mmm\-yyyy;@"/>
    <numFmt numFmtId="171" formatCode="h:mm:ss;@"/>
  </numFmts>
  <fonts count="26" x14ac:knownFonts="1">
    <font>
      <sz val="11"/>
      <color theme="1"/>
      <name val="Calibri"/>
      <family val="2"/>
      <scheme val="minor"/>
    </font>
    <font>
      <sz val="10"/>
      <color theme="1"/>
      <name val="Calibri"/>
      <family val="2"/>
      <scheme val="minor"/>
    </font>
    <font>
      <b/>
      <sz val="16"/>
      <color theme="1"/>
      <name val="Times New Roman"/>
      <family val="1"/>
    </font>
    <font>
      <sz val="10"/>
      <color theme="1"/>
      <name val="Times New Roman"/>
      <family val="1"/>
    </font>
    <font>
      <b/>
      <sz val="10"/>
      <color theme="1"/>
      <name val="Times New Roman"/>
      <family val="1"/>
    </font>
    <font>
      <vertAlign val="superscript"/>
      <sz val="10"/>
      <color theme="1"/>
      <name val="Times New Roman"/>
      <family val="1"/>
    </font>
    <font>
      <sz val="11"/>
      <color theme="1"/>
      <name val="Times New Roman"/>
      <family val="1"/>
    </font>
    <font>
      <sz val="12"/>
      <color theme="1"/>
      <name val="Times New Roman"/>
      <family val="1"/>
    </font>
    <font>
      <b/>
      <u/>
      <sz val="11"/>
      <color theme="1"/>
      <name val="Times New Roman"/>
      <family val="1"/>
    </font>
    <font>
      <b/>
      <sz val="11"/>
      <color theme="1"/>
      <name val="Times New Roman"/>
      <family val="1"/>
    </font>
    <font>
      <sz val="11"/>
      <color rgb="FF9C0006"/>
      <name val="Calibri"/>
      <family val="2"/>
      <scheme val="minor"/>
    </font>
    <font>
      <sz val="16"/>
      <color theme="1"/>
      <name val="Times New Roman"/>
      <family val="1"/>
    </font>
    <font>
      <sz val="16"/>
      <color rgb="FFC00000"/>
      <name val="Times New Roman"/>
      <family val="1"/>
    </font>
    <font>
      <sz val="16"/>
      <name val="Times New Roman"/>
      <family val="1"/>
    </font>
    <font>
      <b/>
      <sz val="20"/>
      <color theme="0"/>
      <name val="Calibri"/>
      <family val="2"/>
      <scheme val="minor"/>
    </font>
    <font>
      <b/>
      <sz val="20"/>
      <color rgb="FF1F4D7F"/>
      <name val="Calibri"/>
      <family val="2"/>
      <scheme val="minor"/>
    </font>
    <font>
      <b/>
      <sz val="18"/>
      <color theme="1"/>
      <name val="Times New Roman"/>
      <family val="1"/>
    </font>
    <font>
      <b/>
      <sz val="20"/>
      <name val="Calibri"/>
      <family val="2"/>
      <scheme val="minor"/>
    </font>
    <font>
      <b/>
      <sz val="24"/>
      <color theme="1"/>
      <name val="Times New Roman"/>
      <family val="1"/>
    </font>
    <font>
      <b/>
      <sz val="12"/>
      <color theme="1"/>
      <name val="Times New Roman"/>
      <family val="1"/>
    </font>
    <font>
      <sz val="9"/>
      <color theme="1"/>
      <name val="Times New Roman"/>
      <family val="1"/>
    </font>
    <font>
      <b/>
      <sz val="14"/>
      <color theme="1"/>
      <name val="Times New Roman"/>
      <family val="1"/>
    </font>
    <font>
      <sz val="12"/>
      <color theme="1"/>
      <name val="Wingdings"/>
      <charset val="2"/>
    </font>
    <font>
      <sz val="11"/>
      <name val="Times New Roman"/>
      <family val="1"/>
    </font>
    <font>
      <b/>
      <sz val="22"/>
      <color theme="1"/>
      <name val="Times New Roman"/>
      <family val="1"/>
    </font>
    <font>
      <b/>
      <sz val="9"/>
      <color theme="1"/>
      <name val="Times New Roman"/>
      <family val="1"/>
    </font>
  </fonts>
  <fills count="9">
    <fill>
      <patternFill patternType="none"/>
    </fill>
    <fill>
      <patternFill patternType="gray125"/>
    </fill>
    <fill>
      <patternFill patternType="solid">
        <fgColor theme="0"/>
        <bgColor theme="0"/>
      </patternFill>
    </fill>
    <fill>
      <patternFill patternType="solid">
        <fgColor indexed="65"/>
        <bgColor indexed="64"/>
      </patternFill>
    </fill>
    <fill>
      <patternFill patternType="solid">
        <fgColor rgb="FFFFC7CE"/>
      </patternFill>
    </fill>
    <fill>
      <patternFill patternType="solid">
        <fgColor theme="0" tint="-0.14999847407452621"/>
        <bgColor indexed="64"/>
      </patternFill>
    </fill>
    <fill>
      <patternFill patternType="solid">
        <fgColor theme="3" tint="0.79995117038483843"/>
        <bgColor indexed="64"/>
      </patternFill>
    </fill>
    <fill>
      <patternFill patternType="solid">
        <fgColor theme="0"/>
        <bgColor indexed="64"/>
      </patternFill>
    </fill>
    <fill>
      <patternFill patternType="solid">
        <fgColor theme="2"/>
        <bgColor indexed="64"/>
      </patternFill>
    </fill>
  </fills>
  <borders count="17">
    <border>
      <left/>
      <right/>
      <top/>
      <bottom/>
      <diagonal/>
    </border>
    <border>
      <left/>
      <right/>
      <top style="medium">
        <color indexed="64"/>
      </top>
      <bottom/>
      <diagonal/>
    </border>
    <border>
      <left/>
      <right/>
      <top/>
      <bottom style="medium">
        <color indexed="64"/>
      </bottom>
      <diagonal/>
    </border>
    <border>
      <left/>
      <right style="thin">
        <color indexed="64"/>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s>
  <cellStyleXfs count="2">
    <xf numFmtId="0" fontId="0" fillId="0" borderId="0"/>
    <xf numFmtId="0" fontId="10" fillId="4" borderId="0" applyNumberFormat="0" applyBorder="0" applyAlignment="0" applyProtection="0"/>
  </cellStyleXfs>
  <cellXfs count="206">
    <xf numFmtId="0" fontId="0" fillId="0" borderId="0" xfId="0"/>
    <xf numFmtId="0" fontId="1" fillId="3" borderId="0" xfId="0" applyFont="1" applyFill="1"/>
    <xf numFmtId="0" fontId="2" fillId="0" borderId="0" xfId="0" applyFont="1" applyAlignment="1">
      <alignment horizontal="center" vertical="center"/>
    </xf>
    <xf numFmtId="0" fontId="4" fillId="0" borderId="0" xfId="0" applyFont="1" applyAlignment="1">
      <alignment horizontal="center" vertical="center"/>
    </xf>
    <xf numFmtId="0" fontId="3" fillId="0" borderId="0" xfId="0" applyFont="1" applyAlignment="1">
      <alignment vertical="center"/>
    </xf>
    <xf numFmtId="0" fontId="6" fillId="3" borderId="0" xfId="0" applyFont="1" applyFill="1" applyAlignment="1">
      <alignment vertical="center"/>
    </xf>
    <xf numFmtId="0" fontId="8" fillId="3" borderId="0" xfId="0" applyFont="1" applyFill="1" applyAlignment="1">
      <alignment vertical="center"/>
    </xf>
    <xf numFmtId="0" fontId="9" fillId="3" borderId="0" xfId="0" applyFont="1" applyFill="1" applyAlignment="1">
      <alignment vertical="center"/>
    </xf>
    <xf numFmtId="0" fontId="7" fillId="3" borderId="0" xfId="0" applyFont="1" applyFill="1"/>
    <xf numFmtId="0" fontId="10" fillId="4" borderId="0" xfId="1"/>
    <xf numFmtId="0" fontId="0" fillId="0" borderId="0" xfId="0" applyAlignment="1">
      <alignment horizontal="center" vertical="center"/>
    </xf>
    <xf numFmtId="164" fontId="11" fillId="0" borderId="0" xfId="0" applyNumberFormat="1" applyFont="1" applyBorder="1" applyAlignment="1">
      <alignment horizontal="center" vertical="center"/>
    </xf>
    <xf numFmtId="168" fontId="11" fillId="0" borderId="15" xfId="0" applyNumberFormat="1" applyFont="1" applyBorder="1" applyAlignment="1">
      <alignment horizontal="center" vertical="center"/>
    </xf>
    <xf numFmtId="169" fontId="11" fillId="0" borderId="15" xfId="0" applyNumberFormat="1" applyFont="1" applyBorder="1" applyAlignment="1">
      <alignment horizontal="center" vertical="center"/>
    </xf>
    <xf numFmtId="0" fontId="0" fillId="0" borderId="0" xfId="0" applyBorder="1" applyAlignment="1">
      <alignment horizontal="center" vertical="center"/>
    </xf>
    <xf numFmtId="2" fontId="11" fillId="0" borderId="0" xfId="0" applyNumberFormat="1" applyFont="1" applyBorder="1" applyAlignment="1">
      <alignment horizontal="center" vertical="center"/>
    </xf>
    <xf numFmtId="165" fontId="13" fillId="0" borderId="0" xfId="0" applyNumberFormat="1" applyFont="1" applyBorder="1" applyAlignment="1">
      <alignment horizontal="center" vertical="center" shrinkToFit="1"/>
    </xf>
    <xf numFmtId="0" fontId="0" fillId="0" borderId="0" xfId="0" applyBorder="1" applyAlignment="1">
      <alignment vertical="center"/>
    </xf>
    <xf numFmtId="0" fontId="17" fillId="0" borderId="0" xfId="0" applyFont="1" applyFill="1" applyAlignment="1">
      <alignment horizontal="center" vertical="center"/>
    </xf>
    <xf numFmtId="0" fontId="14" fillId="0" borderId="0" xfId="0" applyFont="1" applyFill="1" applyAlignment="1">
      <alignment horizontal="center" vertical="center"/>
    </xf>
    <xf numFmtId="0" fontId="6" fillId="0" borderId="0" xfId="0" applyFont="1"/>
    <xf numFmtId="0" fontId="18" fillId="3" borderId="9" xfId="0" applyFont="1" applyFill="1" applyBorder="1" applyAlignment="1">
      <alignment horizontal="center" vertical="top"/>
    </xf>
    <xf numFmtId="0" fontId="18" fillId="3" borderId="3" xfId="0" applyFont="1" applyFill="1" applyBorder="1" applyAlignment="1">
      <alignment horizontal="center" vertical="top"/>
    </xf>
    <xf numFmtId="0" fontId="7" fillId="2" borderId="9" xfId="0" applyFont="1" applyFill="1" applyBorder="1" applyAlignment="1">
      <alignment vertical="top"/>
    </xf>
    <xf numFmtId="0" fontId="7" fillId="2" borderId="3" xfId="0" applyFont="1" applyFill="1" applyBorder="1"/>
    <xf numFmtId="0" fontId="7" fillId="2" borderId="4" xfId="0" applyFont="1" applyFill="1" applyBorder="1" applyAlignment="1">
      <alignment vertical="top"/>
    </xf>
    <xf numFmtId="0" fontId="7" fillId="2" borderId="4" xfId="0" applyFont="1" applyFill="1" applyBorder="1"/>
    <xf numFmtId="0" fontId="7" fillId="2" borderId="11" xfId="0" applyFont="1" applyFill="1" applyBorder="1"/>
    <xf numFmtId="0" fontId="6" fillId="3" borderId="0" xfId="0" applyFont="1" applyFill="1"/>
    <xf numFmtId="0" fontId="20" fillId="3" borderId="0" xfId="0" applyFont="1" applyFill="1" applyAlignment="1">
      <alignment vertical="top"/>
    </xf>
    <xf numFmtId="0" fontId="6" fillId="3" borderId="0" xfId="0" applyFont="1" applyFill="1" applyAlignment="1">
      <alignment vertical="top"/>
    </xf>
    <xf numFmtId="0" fontId="20" fillId="3" borderId="0" xfId="0" applyFont="1" applyFill="1"/>
    <xf numFmtId="0" fontId="6" fillId="3" borderId="2" xfId="0" applyFont="1" applyFill="1" applyBorder="1"/>
    <xf numFmtId="0" fontId="3" fillId="3" borderId="0" xfId="0" applyFont="1" applyFill="1"/>
    <xf numFmtId="0" fontId="3" fillId="3" borderId="0" xfId="0" applyFont="1" applyFill="1" applyAlignment="1">
      <alignment vertical="top"/>
    </xf>
    <xf numFmtId="0" fontId="3" fillId="3" borderId="0" xfId="0" applyFont="1" applyFill="1" applyAlignment="1">
      <alignment horizontal="center"/>
    </xf>
    <xf numFmtId="0" fontId="3" fillId="3" borderId="4" xfId="0" applyFont="1" applyFill="1" applyBorder="1"/>
    <xf numFmtId="0" fontId="6" fillId="3" borderId="4" xfId="0" applyFont="1" applyFill="1" applyBorder="1"/>
    <xf numFmtId="0" fontId="6" fillId="0" borderId="5" xfId="0" applyFont="1" applyBorder="1" applyAlignment="1">
      <alignment horizontal="center" vertical="center"/>
    </xf>
    <xf numFmtId="0" fontId="6" fillId="3" borderId="5" xfId="0" applyFont="1" applyFill="1" applyBorder="1"/>
    <xf numFmtId="0" fontId="22" fillId="0" borderId="0" xfId="0" applyFont="1"/>
    <xf numFmtId="0" fontId="11" fillId="0" borderId="16" xfId="0" applyFont="1" applyBorder="1" applyAlignment="1">
      <alignment horizontal="center" vertical="center" wrapText="1"/>
    </xf>
    <xf numFmtId="0" fontId="11" fillId="0" borderId="16" xfId="0" applyFont="1" applyBorder="1" applyAlignment="1">
      <alignment horizontal="center" vertical="center"/>
    </xf>
    <xf numFmtId="0" fontId="13" fillId="6" borderId="5" xfId="0" applyFont="1" applyFill="1" applyBorder="1" applyAlignment="1">
      <alignment horizontal="left" vertical="center"/>
    </xf>
    <xf numFmtId="164" fontId="12" fillId="0" borderId="0" xfId="0" applyNumberFormat="1" applyFont="1" applyBorder="1" applyAlignment="1">
      <alignment horizontal="center" vertical="center" shrinkToFit="1"/>
    </xf>
    <xf numFmtId="165" fontId="12" fillId="0" borderId="0" xfId="0" applyNumberFormat="1" applyFont="1" applyBorder="1" applyAlignment="1">
      <alignment horizontal="center" vertical="center" shrinkToFit="1"/>
    </xf>
    <xf numFmtId="165" fontId="11" fillId="0" borderId="0" xfId="0" applyNumberFormat="1" applyFont="1" applyBorder="1" applyAlignment="1">
      <alignment horizontal="center" vertical="center"/>
    </xf>
    <xf numFmtId="2" fontId="11" fillId="0" borderId="0" xfId="0" applyNumberFormat="1" applyFont="1" applyFill="1" applyBorder="1" applyAlignment="1">
      <alignment horizontal="center" vertical="center"/>
    </xf>
    <xf numFmtId="0" fontId="9" fillId="3" borderId="5" xfId="0" applyFont="1" applyFill="1" applyBorder="1" applyAlignment="1">
      <alignment horizontal="center" vertical="center" wrapText="1"/>
    </xf>
    <xf numFmtId="0" fontId="6" fillId="3" borderId="0" xfId="0" applyFont="1" applyFill="1" applyAlignment="1">
      <alignment horizontal="center"/>
    </xf>
    <xf numFmtId="0" fontId="6" fillId="3" borderId="5" xfId="0" applyFont="1" applyFill="1" applyBorder="1" applyAlignment="1">
      <alignment horizontal="left"/>
    </xf>
    <xf numFmtId="0" fontId="6" fillId="3" borderId="5" xfId="0" applyFont="1" applyFill="1" applyBorder="1" applyAlignment="1">
      <alignment horizontal="center" vertical="center"/>
    </xf>
    <xf numFmtId="2" fontId="6" fillId="3" borderId="5" xfId="0" applyNumberFormat="1" applyFont="1" applyFill="1" applyBorder="1" applyAlignment="1">
      <alignment horizontal="center" vertical="center"/>
    </xf>
    <xf numFmtId="0" fontId="9" fillId="0" borderId="5" xfId="0" applyFont="1" applyBorder="1" applyAlignment="1">
      <alignment horizontal="center" vertical="center" wrapText="1"/>
    </xf>
    <xf numFmtId="0" fontId="6" fillId="3" borderId="0" xfId="0" applyFont="1" applyFill="1" applyAlignment="1">
      <alignment horizontal="left"/>
    </xf>
    <xf numFmtId="0" fontId="3" fillId="3" borderId="0" xfId="0" applyFont="1" applyFill="1" applyAlignment="1">
      <alignment horizontal="left"/>
    </xf>
    <xf numFmtId="0" fontId="13" fillId="6" borderId="5" xfId="0" applyFont="1" applyFill="1" applyBorder="1" applyAlignment="1">
      <alignment horizontal="left" vertical="center"/>
    </xf>
    <xf numFmtId="0" fontId="18" fillId="3" borderId="0" xfId="0" applyFont="1" applyFill="1" applyAlignment="1">
      <alignment horizontal="center" vertical="top"/>
    </xf>
    <xf numFmtId="0" fontId="7" fillId="2" borderId="0" xfId="0" applyFont="1" applyFill="1" applyAlignment="1">
      <alignment vertical="top"/>
    </xf>
    <xf numFmtId="0" fontId="7" fillId="2" borderId="0" xfId="0" applyFont="1" applyFill="1"/>
    <xf numFmtId="49" fontId="19" fillId="2" borderId="0" xfId="0" applyNumberFormat="1" applyFont="1" applyFill="1"/>
    <xf numFmtId="0" fontId="23" fillId="3" borderId="0" xfId="0" applyFont="1" applyFill="1"/>
    <xf numFmtId="0" fontId="7" fillId="7" borderId="0" xfId="0" applyFont="1" applyFill="1" applyAlignment="1">
      <alignment vertical="center"/>
    </xf>
    <xf numFmtId="0" fontId="0" fillId="7" borderId="0" xfId="0" applyFill="1"/>
    <xf numFmtId="0" fontId="6" fillId="3" borderId="0" xfId="0" applyFont="1" applyFill="1" applyAlignment="1">
      <alignment horizontal="center" vertical="center"/>
    </xf>
    <xf numFmtId="164" fontId="6" fillId="3" borderId="0" xfId="0" applyNumberFormat="1" applyFont="1" applyFill="1" applyAlignment="1">
      <alignment horizontal="center" vertical="center"/>
    </xf>
    <xf numFmtId="164" fontId="6" fillId="7" borderId="0" xfId="0" applyNumberFormat="1" applyFont="1" applyFill="1" applyAlignment="1">
      <alignment horizontal="center" vertical="center"/>
    </xf>
    <xf numFmtId="2" fontId="6" fillId="7" borderId="0" xfId="0" applyNumberFormat="1" applyFont="1" applyFill="1" applyAlignment="1">
      <alignment horizontal="center" vertical="center"/>
    </xf>
    <xf numFmtId="165" fontId="6" fillId="7" borderId="0" xfId="0" applyNumberFormat="1" applyFont="1" applyFill="1" applyAlignment="1">
      <alignment horizontal="center" vertical="center"/>
    </xf>
    <xf numFmtId="0" fontId="6" fillId="7" borderId="0" xfId="0" applyFont="1" applyFill="1" applyAlignment="1">
      <alignment horizontal="center" vertical="center"/>
    </xf>
    <xf numFmtId="0" fontId="6" fillId="7" borderId="0" xfId="0" applyFont="1" applyFill="1"/>
    <xf numFmtId="0" fontId="25" fillId="3" borderId="5" xfId="0" applyFont="1" applyFill="1" applyBorder="1" applyAlignment="1">
      <alignment horizontal="center" vertical="center" wrapText="1"/>
    </xf>
    <xf numFmtId="0" fontId="22" fillId="3" borderId="0" xfId="0" applyFont="1" applyFill="1"/>
    <xf numFmtId="0" fontId="0" fillId="3" borderId="0" xfId="0" applyFill="1"/>
    <xf numFmtId="0" fontId="0" fillId="0" borderId="5" xfId="0" applyBorder="1" applyAlignment="1">
      <alignment horizontal="center" vertical="center"/>
    </xf>
    <xf numFmtId="0" fontId="0" fillId="8" borderId="5" xfId="0" applyFill="1" applyBorder="1" applyAlignment="1">
      <alignment horizontal="center" vertical="center"/>
    </xf>
    <xf numFmtId="171" fontId="11" fillId="0" borderId="15" xfId="0" applyNumberFormat="1" applyFont="1" applyBorder="1" applyAlignment="1">
      <alignment horizontal="center" vertical="center"/>
    </xf>
    <xf numFmtId="0" fontId="11" fillId="0" borderId="5" xfId="0" applyFont="1" applyBorder="1" applyAlignment="1">
      <alignment horizontal="center" vertical="center"/>
    </xf>
    <xf numFmtId="0" fontId="13" fillId="6" borderId="5" xfId="0" applyFont="1" applyFill="1" applyBorder="1" applyAlignment="1">
      <alignment horizontal="left" vertical="center"/>
    </xf>
    <xf numFmtId="15" fontId="11" fillId="0" borderId="5" xfId="0" applyNumberFormat="1" applyFont="1" applyBorder="1" applyAlignment="1">
      <alignment horizontal="center" vertical="center"/>
    </xf>
    <xf numFmtId="49" fontId="11" fillId="0" borderId="5" xfId="0" applyNumberFormat="1" applyFont="1" applyBorder="1" applyAlignment="1">
      <alignment horizontal="center" vertical="center"/>
    </xf>
    <xf numFmtId="0" fontId="15" fillId="0" borderId="0" xfId="0" applyFont="1" applyFill="1" applyBorder="1" applyAlignment="1">
      <alignment horizontal="center" vertical="center"/>
    </xf>
    <xf numFmtId="0" fontId="14" fillId="0" borderId="0" xfId="0" applyFont="1" applyFill="1" applyBorder="1" applyAlignment="1">
      <alignment horizontal="center" vertical="center"/>
    </xf>
    <xf numFmtId="0" fontId="16" fillId="5" borderId="5" xfId="0" applyFont="1" applyFill="1" applyBorder="1" applyAlignment="1">
      <alignment horizontal="center" vertical="center"/>
    </xf>
    <xf numFmtId="170" fontId="11" fillId="0" borderId="5" xfId="0" applyNumberFormat="1" applyFont="1" applyBorder="1" applyAlignment="1">
      <alignment horizontal="center" vertical="center"/>
    </xf>
    <xf numFmtId="0" fontId="3" fillId="3" borderId="0" xfId="0" applyFont="1" applyFill="1" applyAlignment="1">
      <alignment horizontal="left"/>
    </xf>
    <xf numFmtId="0" fontId="18" fillId="0" borderId="6" xfId="0" applyFont="1" applyBorder="1" applyAlignment="1">
      <alignment horizontal="center" vertical="top"/>
    </xf>
    <xf numFmtId="0" fontId="18" fillId="0" borderId="7" xfId="0" applyFont="1" applyBorder="1" applyAlignment="1">
      <alignment horizontal="center" vertical="top"/>
    </xf>
    <xf numFmtId="0" fontId="18" fillId="0" borderId="8" xfId="0" applyFont="1" applyBorder="1" applyAlignment="1">
      <alignment horizontal="center" vertical="top"/>
    </xf>
    <xf numFmtId="0" fontId="18" fillId="0" borderId="9" xfId="0" applyFont="1" applyBorder="1" applyAlignment="1">
      <alignment horizontal="center" vertical="top"/>
    </xf>
    <xf numFmtId="0" fontId="18" fillId="0" borderId="0" xfId="0" applyFont="1" applyAlignment="1">
      <alignment horizontal="center" vertical="top"/>
    </xf>
    <xf numFmtId="0" fontId="18" fillId="0" borderId="3" xfId="0" applyFont="1" applyBorder="1" applyAlignment="1">
      <alignment horizontal="center" vertical="top"/>
    </xf>
    <xf numFmtId="0" fontId="7" fillId="2" borderId="9" xfId="0" applyFont="1" applyFill="1" applyBorder="1" applyAlignment="1">
      <alignment horizontal="left" vertical="top"/>
    </xf>
    <xf numFmtId="0" fontId="7" fillId="2" borderId="0" xfId="0" applyFont="1" applyFill="1" applyAlignment="1">
      <alignment horizontal="left" vertical="top"/>
    </xf>
    <xf numFmtId="0" fontId="7" fillId="2" borderId="10" xfId="0" applyFont="1" applyFill="1" applyBorder="1" applyAlignment="1">
      <alignment horizontal="left" vertical="top"/>
    </xf>
    <xf numFmtId="0" fontId="7" fillId="2" borderId="4" xfId="0" applyFont="1" applyFill="1" applyBorder="1" applyAlignment="1">
      <alignment horizontal="left" vertical="top"/>
    </xf>
    <xf numFmtId="166" fontId="7" fillId="2" borderId="0" xfId="0" applyNumberFormat="1" applyFont="1" applyFill="1" applyAlignment="1">
      <alignment horizontal="left" vertical="top"/>
    </xf>
    <xf numFmtId="0" fontId="7" fillId="2" borderId="0" xfId="0" applyFont="1" applyFill="1" applyAlignment="1">
      <alignment horizontal="center"/>
    </xf>
    <xf numFmtId="0" fontId="6" fillId="3" borderId="1" xfId="0" applyFont="1" applyFill="1" applyBorder="1" applyAlignment="1">
      <alignment horizontal="center"/>
    </xf>
    <xf numFmtId="0" fontId="3" fillId="3" borderId="0" xfId="0" applyFont="1" applyFill="1" applyAlignment="1">
      <alignment horizontal="left" wrapText="1"/>
    </xf>
    <xf numFmtId="166" fontId="3" fillId="3" borderId="0" xfId="0" applyNumberFormat="1" applyFont="1" applyFill="1" applyAlignment="1">
      <alignment horizontal="left" vertical="center"/>
    </xf>
    <xf numFmtId="0" fontId="19" fillId="3" borderId="0" xfId="0" applyFont="1" applyFill="1" applyAlignment="1">
      <alignment horizontal="center"/>
    </xf>
    <xf numFmtId="0" fontId="9" fillId="3" borderId="0" xfId="0" applyFont="1" applyFill="1" applyAlignment="1">
      <alignment horizontal="left"/>
    </xf>
    <xf numFmtId="0" fontId="6" fillId="3" borderId="0" xfId="0" applyFont="1" applyFill="1" applyAlignment="1">
      <alignment horizontal="left" wrapText="1"/>
    </xf>
    <xf numFmtId="0" fontId="6" fillId="3" borderId="0" xfId="0" applyFont="1" applyFill="1" applyAlignment="1">
      <alignment horizontal="left"/>
    </xf>
    <xf numFmtId="0" fontId="6" fillId="3" borderId="4" xfId="0" applyFont="1" applyFill="1" applyBorder="1" applyAlignment="1">
      <alignment horizontal="center"/>
    </xf>
    <xf numFmtId="0" fontId="6" fillId="3" borderId="0" xfId="0" applyFont="1" applyFill="1" applyAlignment="1">
      <alignment horizontal="center"/>
    </xf>
    <xf numFmtId="0" fontId="16" fillId="0" borderId="6" xfId="0" applyFont="1" applyBorder="1" applyAlignment="1">
      <alignment horizontal="center" vertical="top"/>
    </xf>
    <xf numFmtId="0" fontId="16" fillId="0" borderId="7" xfId="0" applyFont="1" applyBorder="1" applyAlignment="1">
      <alignment horizontal="center" vertical="top"/>
    </xf>
    <xf numFmtId="0" fontId="16" fillId="0" borderId="8" xfId="0" applyFont="1" applyBorder="1" applyAlignment="1">
      <alignment horizontal="center" vertical="top"/>
    </xf>
    <xf numFmtId="0" fontId="16" fillId="0" borderId="9" xfId="0" applyFont="1" applyBorder="1" applyAlignment="1">
      <alignment horizontal="center" vertical="top"/>
    </xf>
    <xf numFmtId="0" fontId="16" fillId="0" borderId="0" xfId="0" applyFont="1" applyAlignment="1">
      <alignment horizontal="center" vertical="top"/>
    </xf>
    <xf numFmtId="0" fontId="16" fillId="0" borderId="3" xfId="0" applyFont="1" applyBorder="1" applyAlignment="1">
      <alignment horizontal="center" vertical="top"/>
    </xf>
    <xf numFmtId="0" fontId="16" fillId="0" borderId="10" xfId="0" applyFont="1" applyBorder="1" applyAlignment="1">
      <alignment horizontal="center" vertical="top"/>
    </xf>
    <xf numFmtId="0" fontId="16" fillId="0" borderId="4" xfId="0" applyFont="1" applyBorder="1" applyAlignment="1">
      <alignment horizontal="center" vertical="top"/>
    </xf>
    <xf numFmtId="0" fontId="16" fillId="0" borderId="11" xfId="0" applyFont="1" applyBorder="1" applyAlignment="1">
      <alignment horizontal="center" vertical="top"/>
    </xf>
    <xf numFmtId="0" fontId="20" fillId="3" borderId="6" xfId="0" applyFont="1" applyFill="1" applyBorder="1" applyAlignment="1">
      <alignment horizontal="left" wrapText="1"/>
    </xf>
    <xf numFmtId="0" fontId="20" fillId="3" borderId="10" xfId="0" applyFont="1" applyFill="1" applyBorder="1" applyAlignment="1">
      <alignment horizontal="left" wrapText="1"/>
    </xf>
    <xf numFmtId="164" fontId="9" fillId="3" borderId="7" xfId="0" applyNumberFormat="1" applyFont="1" applyFill="1" applyBorder="1" applyAlignment="1">
      <alignment horizontal="center" vertical="center"/>
    </xf>
    <xf numFmtId="0" fontId="9" fillId="3" borderId="8" xfId="0" applyFont="1" applyFill="1" applyBorder="1" applyAlignment="1">
      <alignment horizontal="center" vertical="center"/>
    </xf>
    <xf numFmtId="0" fontId="9" fillId="3" borderId="4" xfId="0" applyFont="1" applyFill="1" applyBorder="1" applyAlignment="1">
      <alignment horizontal="center" vertical="center"/>
    </xf>
    <xf numFmtId="0" fontId="9" fillId="3" borderId="11" xfId="0" applyFont="1" applyFill="1" applyBorder="1" applyAlignment="1">
      <alignment horizontal="center" vertical="center"/>
    </xf>
    <xf numFmtId="0" fontId="6" fillId="0" borderId="6" xfId="0" applyFont="1" applyBorder="1" applyAlignment="1">
      <alignment horizontal="center" vertical="center"/>
    </xf>
    <xf numFmtId="0" fontId="6" fillId="0" borderId="7" xfId="0" applyFont="1" applyBorder="1" applyAlignment="1">
      <alignment horizontal="center" vertical="center"/>
    </xf>
    <xf numFmtId="0" fontId="6" fillId="0" borderId="8" xfId="0" applyFont="1" applyBorder="1" applyAlignment="1">
      <alignment horizontal="center" vertical="center"/>
    </xf>
    <xf numFmtId="0" fontId="6" fillId="0" borderId="10" xfId="0" applyFont="1" applyBorder="1" applyAlignment="1">
      <alignment horizontal="center" vertical="center"/>
    </xf>
    <xf numFmtId="0" fontId="6" fillId="0" borderId="4" xfId="0" applyFont="1" applyBorder="1" applyAlignment="1">
      <alignment horizontal="center" vertical="center"/>
    </xf>
    <xf numFmtId="0" fontId="6" fillId="0" borderId="11" xfId="0" applyFont="1" applyBorder="1" applyAlignment="1">
      <alignment horizontal="center" vertical="center"/>
    </xf>
    <xf numFmtId="0" fontId="9" fillId="0" borderId="12" xfId="0" applyFont="1" applyBorder="1" applyAlignment="1">
      <alignment horizontal="center" vertical="center" wrapText="1"/>
    </xf>
    <xf numFmtId="0" fontId="9" fillId="0" borderId="13" xfId="0" applyFont="1" applyBorder="1" applyAlignment="1">
      <alignment horizontal="center" vertical="center" wrapText="1"/>
    </xf>
    <xf numFmtId="0" fontId="9" fillId="0" borderId="5" xfId="0" applyFont="1" applyBorder="1" applyAlignment="1">
      <alignment horizontal="center" vertical="center" wrapText="1"/>
    </xf>
    <xf numFmtId="0" fontId="9" fillId="0" borderId="6" xfId="0" applyFont="1" applyBorder="1" applyAlignment="1">
      <alignment horizontal="center" vertical="center" wrapText="1"/>
    </xf>
    <xf numFmtId="0" fontId="9" fillId="0" borderId="8" xfId="0" applyFont="1" applyBorder="1" applyAlignment="1">
      <alignment horizontal="center" vertical="center" wrapText="1"/>
    </xf>
    <xf numFmtId="0" fontId="6" fillId="0" borderId="12" xfId="0" applyFont="1" applyBorder="1" applyAlignment="1">
      <alignment horizontal="center" vertical="center"/>
    </xf>
    <xf numFmtId="0" fontId="6" fillId="0" borderId="13" xfId="0" applyFont="1" applyBorder="1" applyAlignment="1">
      <alignment horizontal="center" vertical="center"/>
    </xf>
    <xf numFmtId="164" fontId="6" fillId="0" borderId="5" xfId="0" applyNumberFormat="1" applyFont="1" applyBorder="1" applyAlignment="1">
      <alignment horizontal="center" vertical="center"/>
    </xf>
    <xf numFmtId="2" fontId="6" fillId="0" borderId="5" xfId="0" applyNumberFormat="1" applyFont="1" applyBorder="1" applyAlignment="1">
      <alignment horizontal="center" vertical="center"/>
    </xf>
    <xf numFmtId="165" fontId="6" fillId="0" borderId="12" xfId="0" applyNumberFormat="1" applyFont="1" applyBorder="1" applyAlignment="1">
      <alignment horizontal="center" vertical="center"/>
    </xf>
    <xf numFmtId="165" fontId="6" fillId="0" borderId="13" xfId="0" applyNumberFormat="1" applyFont="1" applyBorder="1" applyAlignment="1">
      <alignment horizontal="center" vertical="center"/>
    </xf>
    <xf numFmtId="0" fontId="16" fillId="3" borderId="6" xfId="0" applyFont="1" applyFill="1" applyBorder="1" applyAlignment="1">
      <alignment horizontal="center" vertical="top"/>
    </xf>
    <xf numFmtId="0" fontId="16" fillId="3" borderId="7" xfId="0" applyFont="1" applyFill="1" applyBorder="1" applyAlignment="1">
      <alignment horizontal="center" vertical="top"/>
    </xf>
    <xf numFmtId="0" fontId="16" fillId="3" borderId="8" xfId="0" applyFont="1" applyFill="1" applyBorder="1" applyAlignment="1">
      <alignment horizontal="center" vertical="top"/>
    </xf>
    <xf numFmtId="0" fontId="16" fillId="3" borderId="9" xfId="0" applyFont="1" applyFill="1" applyBorder="1" applyAlignment="1">
      <alignment horizontal="center" vertical="top"/>
    </xf>
    <xf numFmtId="0" fontId="16" fillId="3" borderId="0" xfId="0" applyFont="1" applyFill="1" applyAlignment="1">
      <alignment horizontal="center" vertical="top"/>
    </xf>
    <xf numFmtId="0" fontId="16" fillId="3" borderId="3" xfId="0" applyFont="1" applyFill="1" applyBorder="1" applyAlignment="1">
      <alignment horizontal="center" vertical="top"/>
    </xf>
    <xf numFmtId="0" fontId="16" fillId="3" borderId="10" xfId="0" applyFont="1" applyFill="1" applyBorder="1" applyAlignment="1">
      <alignment horizontal="center" vertical="top"/>
    </xf>
    <xf numFmtId="0" fontId="16" fillId="3" borderId="4" xfId="0" applyFont="1" applyFill="1" applyBorder="1" applyAlignment="1">
      <alignment horizontal="center" vertical="top"/>
    </xf>
    <xf numFmtId="0" fontId="16" fillId="3" borderId="11" xfId="0" applyFont="1" applyFill="1" applyBorder="1" applyAlignment="1">
      <alignment horizontal="center" vertical="top"/>
    </xf>
    <xf numFmtId="165" fontId="9" fillId="3" borderId="7" xfId="0" applyNumberFormat="1" applyFont="1" applyFill="1" applyBorder="1" applyAlignment="1">
      <alignment horizontal="center" vertical="center"/>
    </xf>
    <xf numFmtId="0" fontId="6" fillId="3" borderId="6" xfId="0" applyFont="1" applyFill="1" applyBorder="1" applyAlignment="1">
      <alignment horizontal="center" vertical="center"/>
    </xf>
    <xf numFmtId="0" fontId="6" fillId="3" borderId="7" xfId="0" applyFont="1" applyFill="1" applyBorder="1" applyAlignment="1">
      <alignment horizontal="center" vertical="center"/>
    </xf>
    <xf numFmtId="0" fontId="6" fillId="3" borderId="8" xfId="0" applyFont="1" applyFill="1" applyBorder="1" applyAlignment="1">
      <alignment horizontal="center" vertical="center"/>
    </xf>
    <xf numFmtId="0" fontId="6" fillId="3" borderId="10" xfId="0" applyFont="1" applyFill="1" applyBorder="1" applyAlignment="1">
      <alignment horizontal="center" vertical="center"/>
    </xf>
    <xf numFmtId="0" fontId="6" fillId="3" borderId="4" xfId="0" applyFont="1" applyFill="1" applyBorder="1" applyAlignment="1">
      <alignment horizontal="center" vertical="center"/>
    </xf>
    <xf numFmtId="0" fontId="6" fillId="3" borderId="11" xfId="0" applyFont="1" applyFill="1" applyBorder="1" applyAlignment="1">
      <alignment horizontal="center" vertical="center"/>
    </xf>
    <xf numFmtId="164" fontId="6" fillId="0" borderId="12" xfId="0" applyNumberFormat="1" applyFont="1" applyBorder="1" applyAlignment="1">
      <alignment horizontal="center" vertical="center"/>
    </xf>
    <xf numFmtId="164" fontId="6" fillId="0" borderId="13" xfId="0" applyNumberFormat="1" applyFont="1" applyBorder="1" applyAlignment="1">
      <alignment horizontal="center" vertical="center"/>
    </xf>
    <xf numFmtId="0" fontId="6" fillId="3" borderId="0" xfId="0" applyFont="1" applyFill="1" applyAlignment="1">
      <alignment horizontal="left" vertical="center" wrapText="1"/>
    </xf>
    <xf numFmtId="2" fontId="6" fillId="0" borderId="12" xfId="0" applyNumberFormat="1" applyFont="1" applyBorder="1" applyAlignment="1">
      <alignment horizontal="center" vertical="center"/>
    </xf>
    <xf numFmtId="2" fontId="6" fillId="0" borderId="13" xfId="0" applyNumberFormat="1" applyFont="1" applyBorder="1" applyAlignment="1">
      <alignment horizontal="center" vertical="center"/>
    </xf>
    <xf numFmtId="0" fontId="9" fillId="3" borderId="5" xfId="0" applyFont="1" applyFill="1" applyBorder="1" applyAlignment="1">
      <alignment horizontal="center" vertical="center" wrapText="1"/>
    </xf>
    <xf numFmtId="164" fontId="6" fillId="3" borderId="5" xfId="0" applyNumberFormat="1" applyFont="1" applyFill="1" applyBorder="1" applyAlignment="1">
      <alignment horizontal="center" vertical="center"/>
    </xf>
    <xf numFmtId="2" fontId="6" fillId="3" borderId="5" xfId="0" applyNumberFormat="1" applyFont="1" applyFill="1" applyBorder="1" applyAlignment="1">
      <alignment horizontal="center" vertical="center"/>
    </xf>
    <xf numFmtId="165" fontId="6" fillId="3" borderId="6" xfId="0" applyNumberFormat="1" applyFont="1" applyFill="1" applyBorder="1" applyAlignment="1">
      <alignment horizontal="center" vertical="center"/>
    </xf>
    <xf numFmtId="165" fontId="6" fillId="3" borderId="8" xfId="0" applyNumberFormat="1" applyFont="1" applyFill="1" applyBorder="1" applyAlignment="1">
      <alignment horizontal="center" vertical="center"/>
    </xf>
    <xf numFmtId="165" fontId="6" fillId="3" borderId="9" xfId="0" applyNumberFormat="1" applyFont="1" applyFill="1" applyBorder="1" applyAlignment="1">
      <alignment horizontal="center" vertical="center"/>
    </xf>
    <xf numFmtId="165" fontId="6" fillId="3" borderId="3" xfId="0" applyNumberFormat="1" applyFont="1" applyFill="1" applyBorder="1" applyAlignment="1">
      <alignment horizontal="center" vertical="center"/>
    </xf>
    <xf numFmtId="165" fontId="6" fillId="3" borderId="10" xfId="0" applyNumberFormat="1" applyFont="1" applyFill="1" applyBorder="1" applyAlignment="1">
      <alignment horizontal="center" vertical="center"/>
    </xf>
    <xf numFmtId="165" fontId="6" fillId="3" borderId="11" xfId="0" applyNumberFormat="1" applyFont="1" applyFill="1" applyBorder="1" applyAlignment="1">
      <alignment horizontal="center" vertical="center"/>
    </xf>
    <xf numFmtId="165" fontId="6" fillId="3" borderId="5" xfId="0" applyNumberFormat="1" applyFont="1" applyFill="1" applyBorder="1" applyAlignment="1">
      <alignment horizontal="center" vertical="center"/>
    </xf>
    <xf numFmtId="0" fontId="6" fillId="3" borderId="5" xfId="0" applyFont="1" applyFill="1" applyBorder="1" applyAlignment="1">
      <alignment horizontal="center" vertical="center"/>
    </xf>
    <xf numFmtId="165" fontId="6" fillId="3" borderId="12" xfId="0" applyNumberFormat="1" applyFont="1" applyFill="1" applyBorder="1" applyAlignment="1">
      <alignment horizontal="center" vertical="center"/>
    </xf>
    <xf numFmtId="165" fontId="6" fillId="3" borderId="14" xfId="0" applyNumberFormat="1" applyFont="1" applyFill="1" applyBorder="1" applyAlignment="1">
      <alignment horizontal="center" vertical="center"/>
    </xf>
    <xf numFmtId="165" fontId="6" fillId="3" borderId="13" xfId="0" applyNumberFormat="1" applyFont="1" applyFill="1" applyBorder="1" applyAlignment="1">
      <alignment horizontal="center" vertical="center"/>
    </xf>
    <xf numFmtId="167" fontId="6" fillId="3" borderId="5" xfId="0" applyNumberFormat="1" applyFont="1" applyFill="1" applyBorder="1" applyAlignment="1">
      <alignment horizontal="center" vertical="center"/>
    </xf>
    <xf numFmtId="0" fontId="9" fillId="3" borderId="5" xfId="0" applyFont="1" applyFill="1" applyBorder="1" applyAlignment="1">
      <alignment horizontal="center"/>
    </xf>
    <xf numFmtId="0" fontId="6" fillId="3" borderId="5" xfId="0" applyFont="1" applyFill="1" applyBorder="1" applyAlignment="1">
      <alignment horizontal="center"/>
    </xf>
    <xf numFmtId="0" fontId="21" fillId="3" borderId="0" xfId="0" applyFont="1" applyFill="1" applyAlignment="1">
      <alignment horizontal="center" vertical="center"/>
    </xf>
    <xf numFmtId="0" fontId="6" fillId="3" borderId="5" xfId="0" applyFont="1" applyFill="1" applyBorder="1" applyAlignment="1">
      <alignment horizontal="left"/>
    </xf>
    <xf numFmtId="14" fontId="6" fillId="3" borderId="5" xfId="0" applyNumberFormat="1" applyFont="1" applyFill="1" applyBorder="1" applyAlignment="1">
      <alignment horizontal="left"/>
    </xf>
    <xf numFmtId="0" fontId="6" fillId="3" borderId="12" xfId="0" applyFont="1" applyFill="1" applyBorder="1" applyAlignment="1">
      <alignment horizontal="left"/>
    </xf>
    <xf numFmtId="0" fontId="6" fillId="3" borderId="13" xfId="0" applyFont="1" applyFill="1" applyBorder="1" applyAlignment="1">
      <alignment horizontal="left"/>
    </xf>
    <xf numFmtId="0" fontId="6" fillId="3" borderId="12" xfId="0" applyFont="1" applyFill="1" applyBorder="1" applyAlignment="1">
      <alignment horizontal="center"/>
    </xf>
    <xf numFmtId="0" fontId="6" fillId="3" borderId="14" xfId="0" applyFont="1" applyFill="1" applyBorder="1" applyAlignment="1">
      <alignment horizontal="center"/>
    </xf>
    <xf numFmtId="0" fontId="6" fillId="3" borderId="13" xfId="0" applyFont="1" applyFill="1" applyBorder="1" applyAlignment="1">
      <alignment horizontal="center"/>
    </xf>
    <xf numFmtId="0" fontId="6" fillId="3" borderId="14" xfId="0" applyFont="1" applyFill="1" applyBorder="1" applyAlignment="1">
      <alignment horizontal="left"/>
    </xf>
    <xf numFmtId="165" fontId="6" fillId="0" borderId="5" xfId="0" applyNumberFormat="1" applyFont="1" applyBorder="1" applyAlignment="1">
      <alignment horizontal="center" vertical="center"/>
    </xf>
    <xf numFmtId="0" fontId="9" fillId="3" borderId="12" xfId="0" applyFont="1" applyFill="1" applyBorder="1" applyAlignment="1">
      <alignment horizontal="center" vertical="center" wrapText="1"/>
    </xf>
    <xf numFmtId="0" fontId="9" fillId="3" borderId="14" xfId="0" applyFont="1" applyFill="1" applyBorder="1" applyAlignment="1">
      <alignment horizontal="center" vertical="center" wrapText="1"/>
    </xf>
    <xf numFmtId="0" fontId="9" fillId="3" borderId="13" xfId="0" applyFont="1" applyFill="1" applyBorder="1" applyAlignment="1">
      <alignment horizontal="center" vertical="center" wrapText="1"/>
    </xf>
    <xf numFmtId="2" fontId="6" fillId="3" borderId="12" xfId="0" applyNumberFormat="1" applyFont="1" applyFill="1" applyBorder="1" applyAlignment="1">
      <alignment horizontal="center" vertical="center"/>
    </xf>
    <xf numFmtId="2" fontId="6" fillId="3" borderId="13" xfId="0" applyNumberFormat="1" applyFont="1" applyFill="1" applyBorder="1" applyAlignment="1">
      <alignment horizontal="center" vertical="center"/>
    </xf>
    <xf numFmtId="0" fontId="6" fillId="3" borderId="12" xfId="0" applyFont="1" applyFill="1" applyBorder="1" applyAlignment="1">
      <alignment horizontal="center" vertical="center"/>
    </xf>
    <xf numFmtId="0" fontId="6" fillId="3" borderId="13" xfId="0" applyFont="1" applyFill="1" applyBorder="1" applyAlignment="1">
      <alignment horizontal="center" vertical="center"/>
    </xf>
    <xf numFmtId="0" fontId="24" fillId="3" borderId="0" xfId="0" applyFont="1" applyFill="1" applyAlignment="1">
      <alignment horizontal="center"/>
    </xf>
    <xf numFmtId="1" fontId="6" fillId="3" borderId="5" xfId="0" applyNumberFormat="1" applyFont="1" applyFill="1" applyBorder="1" applyAlignment="1">
      <alignment horizontal="center" vertical="center"/>
    </xf>
    <xf numFmtId="0" fontId="25" fillId="3" borderId="12" xfId="0" applyFont="1" applyFill="1" applyBorder="1" applyAlignment="1">
      <alignment horizontal="center" vertical="center" wrapText="1"/>
    </xf>
    <xf numFmtId="0" fontId="25" fillId="3" borderId="13" xfId="0" applyFont="1" applyFill="1" applyBorder="1" applyAlignment="1">
      <alignment horizontal="center" vertical="center" wrapText="1"/>
    </xf>
    <xf numFmtId="2" fontId="6" fillId="3" borderId="14" xfId="0" applyNumberFormat="1" applyFont="1" applyFill="1" applyBorder="1" applyAlignment="1">
      <alignment horizontal="center" vertical="center"/>
    </xf>
    <xf numFmtId="167" fontId="6" fillId="3" borderId="12" xfId="0" applyNumberFormat="1" applyFont="1" applyFill="1" applyBorder="1" applyAlignment="1">
      <alignment horizontal="center" vertical="center"/>
    </xf>
    <xf numFmtId="167" fontId="6" fillId="3" borderId="14" xfId="0" applyNumberFormat="1" applyFont="1" applyFill="1" applyBorder="1" applyAlignment="1">
      <alignment horizontal="center" vertical="center"/>
    </xf>
    <xf numFmtId="167" fontId="6" fillId="3" borderId="13" xfId="0" applyNumberFormat="1" applyFont="1" applyFill="1" applyBorder="1" applyAlignment="1">
      <alignment horizontal="center" vertical="center"/>
    </xf>
    <xf numFmtId="165" fontId="9" fillId="3" borderId="8" xfId="0" applyNumberFormat="1" applyFont="1" applyFill="1" applyBorder="1" applyAlignment="1">
      <alignment horizontal="center" vertical="center"/>
    </xf>
    <xf numFmtId="165" fontId="9" fillId="3" borderId="4" xfId="0" applyNumberFormat="1" applyFont="1" applyFill="1" applyBorder="1" applyAlignment="1">
      <alignment horizontal="center" vertical="center"/>
    </xf>
    <xf numFmtId="165" fontId="9" fillId="3" borderId="11" xfId="0" applyNumberFormat="1" applyFont="1" applyFill="1" applyBorder="1" applyAlignment="1">
      <alignment horizontal="center" vertical="center"/>
    </xf>
    <xf numFmtId="0" fontId="0" fillId="0" borderId="0" xfId="0" applyAlignment="1">
      <alignment horizontal="center"/>
    </xf>
  </cellXfs>
  <cellStyles count="2">
    <cellStyle name="Bad" xfId="1" builtinId="27"/>
    <cellStyle name="Normal" xfId="0" builtinId="0"/>
  </cellStyles>
  <dxfs count="53">
    <dxf>
      <numFmt numFmtId="165" formatCode="0.000"/>
    </dxf>
    <dxf>
      <numFmt numFmtId="165" formatCode="0.000"/>
    </dxf>
    <dxf>
      <numFmt numFmtId="165" formatCode="0.000"/>
    </dxf>
    <dxf>
      <numFmt numFmtId="165" formatCode="0.000"/>
    </dxf>
    <dxf>
      <numFmt numFmtId="165" formatCode="0.000"/>
    </dxf>
    <dxf>
      <numFmt numFmtId="165" formatCode="0.000"/>
    </dxf>
    <dxf>
      <numFmt numFmtId="165" formatCode="0.000"/>
    </dxf>
    <dxf>
      <numFmt numFmtId="165" formatCode="0.000"/>
    </dxf>
    <dxf>
      <numFmt numFmtId="165" formatCode="0.000"/>
    </dxf>
    <dxf>
      <numFmt numFmtId="165" formatCode="0.000"/>
    </dxf>
    <dxf>
      <numFmt numFmtId="165" formatCode="0.000"/>
    </dxf>
    <dxf>
      <numFmt numFmtId="165" formatCode="0.000"/>
    </dxf>
    <dxf>
      <numFmt numFmtId="165" formatCode="0.000"/>
    </dxf>
    <dxf>
      <numFmt numFmtId="165" formatCode="0.000"/>
    </dxf>
    <dxf>
      <numFmt numFmtId="165" formatCode="0.000"/>
    </dxf>
    <dxf>
      <numFmt numFmtId="165" formatCode="0.000"/>
    </dxf>
    <dxf>
      <numFmt numFmtId="165" formatCode="0.000"/>
    </dxf>
    <dxf>
      <font>
        <color rgb="FF9C0006"/>
      </font>
    </dxf>
    <dxf>
      <font>
        <color rgb="FF006100"/>
      </font>
      <fill>
        <patternFill>
          <bgColor rgb="FFC6EFCE"/>
        </patternFill>
      </fill>
    </dxf>
    <dxf>
      <font>
        <color rgb="FF9C0006"/>
      </font>
      <fill>
        <patternFill>
          <bgColor rgb="FFFFC7CE"/>
        </patternFill>
      </fill>
    </dxf>
    <dxf>
      <font>
        <color rgb="FF9C0006"/>
      </font>
    </dxf>
    <dxf>
      <font>
        <color rgb="FF006100"/>
      </font>
      <fill>
        <patternFill>
          <bgColor rgb="FFC6EFCE"/>
        </patternFill>
      </fill>
    </dxf>
    <dxf>
      <font>
        <color rgb="FF9C0006"/>
      </font>
      <fill>
        <patternFill>
          <bgColor rgb="FFFFC7CE"/>
        </patternFill>
      </fill>
    </dxf>
    <dxf>
      <font>
        <color rgb="FF9C0006"/>
      </font>
    </dxf>
    <dxf>
      <font>
        <color rgb="FF006100"/>
      </font>
      <fill>
        <patternFill>
          <bgColor rgb="FFC6EFCE"/>
        </patternFill>
      </fill>
    </dxf>
    <dxf>
      <font>
        <color rgb="FF9C0006"/>
      </font>
      <fill>
        <patternFill>
          <bgColor rgb="FFFFC7CE"/>
        </patternFill>
      </fill>
    </dxf>
    <dxf>
      <font>
        <color rgb="FF9C0006"/>
      </font>
    </dxf>
    <dxf>
      <font>
        <color rgb="FF006100"/>
      </font>
      <fill>
        <patternFill>
          <bgColor rgb="FFC6EFCE"/>
        </patternFill>
      </fill>
    </dxf>
    <dxf>
      <font>
        <color rgb="FF9C0006"/>
      </font>
      <fill>
        <patternFill>
          <bgColor rgb="FFFFC7CE"/>
        </patternFill>
      </fill>
    </dxf>
    <dxf>
      <font>
        <color rgb="FF9C0006"/>
      </font>
    </dxf>
    <dxf>
      <font>
        <color rgb="FF006100"/>
      </font>
      <fill>
        <patternFill>
          <bgColor rgb="FFC6EFCE"/>
        </patternFill>
      </fill>
    </dxf>
    <dxf>
      <font>
        <color rgb="FF9C0006"/>
      </font>
      <fill>
        <patternFill>
          <bgColor rgb="FFFFC7CE"/>
        </patternFill>
      </fill>
    </dxf>
    <dxf>
      <font>
        <color rgb="FF9C0006"/>
      </font>
    </dxf>
    <dxf>
      <font>
        <color rgb="FF006100"/>
      </font>
      <fill>
        <patternFill>
          <bgColor rgb="FFC6EFCE"/>
        </patternFill>
      </fill>
    </dxf>
    <dxf>
      <font>
        <color rgb="FF9C0006"/>
      </font>
      <fill>
        <patternFill>
          <bgColor rgb="FFFFC7CE"/>
        </patternFill>
      </fill>
    </dxf>
    <dxf>
      <font>
        <color rgb="FF9C0006"/>
      </font>
    </dxf>
    <dxf>
      <font>
        <color rgb="FF006100"/>
      </font>
      <fill>
        <patternFill>
          <bgColor rgb="FFC6EFCE"/>
        </patternFill>
      </fill>
    </dxf>
    <dxf>
      <font>
        <color rgb="FF9C0006"/>
      </font>
      <fill>
        <patternFill>
          <bgColor rgb="FFFFC7CE"/>
        </patternFill>
      </fill>
    </dxf>
    <dxf>
      <font>
        <color rgb="FF9C0006"/>
      </font>
    </dxf>
    <dxf>
      <font>
        <color rgb="FF006100"/>
      </font>
      <fill>
        <patternFill>
          <bgColor rgb="FFC6EFCE"/>
        </patternFill>
      </fill>
    </dxf>
    <dxf>
      <font>
        <color rgb="FF9C0006"/>
      </font>
      <fill>
        <patternFill>
          <bgColor rgb="FFFFC7CE"/>
        </patternFill>
      </fill>
    </dxf>
    <dxf>
      <font>
        <color rgb="FF9C0006"/>
      </font>
    </dxf>
    <dxf>
      <font>
        <color rgb="FF006100"/>
      </font>
      <fill>
        <patternFill>
          <bgColor rgb="FFC6EFCE"/>
        </patternFill>
      </fill>
    </dxf>
    <dxf>
      <font>
        <color rgb="FF9C0006"/>
      </font>
      <fill>
        <patternFill>
          <bgColor rgb="FFFFC7CE"/>
        </patternFill>
      </fill>
    </dxf>
    <dxf>
      <font>
        <color rgb="FF9C0006"/>
      </font>
    </dxf>
    <dxf>
      <font>
        <color rgb="FF006100"/>
      </font>
      <fill>
        <patternFill>
          <bgColor rgb="FFC6EFCE"/>
        </patternFill>
      </fill>
    </dxf>
    <dxf>
      <font>
        <color rgb="FF9C0006"/>
      </font>
      <fill>
        <patternFill>
          <bgColor rgb="FFFFC7CE"/>
        </patternFill>
      </fill>
    </dxf>
    <dxf>
      <font>
        <color rgb="FF9C0006"/>
      </font>
    </dxf>
    <dxf>
      <font>
        <color rgb="FF006100"/>
      </font>
      <fill>
        <patternFill>
          <bgColor rgb="FFC6EFCE"/>
        </patternFill>
      </fill>
    </dxf>
    <dxf>
      <font>
        <color rgb="FF9C0006"/>
      </font>
      <fill>
        <patternFill>
          <bgColor rgb="FFFFC7CE"/>
        </patternFill>
      </fill>
    </dxf>
    <dxf>
      <font>
        <color rgb="FF9C0006"/>
      </font>
    </dxf>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4.xml.rels><?xml version="1.0" encoding="UTF-8" standalone="yes"?>
<Relationships xmlns="http://schemas.openxmlformats.org/package/2006/relationships"><Relationship Id="rId1" Type="http://schemas.openxmlformats.org/officeDocument/2006/relationships/image" Target="../media/image2.jpeg"/></Relationships>
</file>

<file path=xl/drawings/_rels/drawing5.xml.rels><?xml version="1.0" encoding="UTF-8" standalone="yes"?>
<Relationships xmlns="http://schemas.openxmlformats.org/package/2006/relationships"><Relationship Id="rId1" Type="http://schemas.openxmlformats.org/officeDocument/2006/relationships/image" Target="../media/image2.jpeg"/></Relationships>
</file>

<file path=xl/drawings/_rels/drawing6.xml.rels><?xml version="1.0" encoding="UTF-8" standalone="yes"?>
<Relationships xmlns="http://schemas.openxmlformats.org/package/2006/relationships"><Relationship Id="rId1" Type="http://schemas.openxmlformats.org/officeDocument/2006/relationships/image" Target="../media/image2.jpeg"/></Relationships>
</file>

<file path=xl/drawings/_rels/drawing7.xml.rels><?xml version="1.0" encoding="UTF-8" standalone="yes"?>
<Relationships xmlns="http://schemas.openxmlformats.org/package/2006/relationships"><Relationship Id="rId1" Type="http://schemas.openxmlformats.org/officeDocument/2006/relationships/image" Target="../media/image2.jpeg"/></Relationships>
</file>

<file path=xl/drawings/_rels/drawing8.xml.rels><?xml version="1.0" encoding="UTF-8" standalone="yes"?>
<Relationships xmlns="http://schemas.openxmlformats.org/package/2006/relationships"><Relationship Id="rId1" Type="http://schemas.openxmlformats.org/officeDocument/2006/relationships/image" Target="../media/image2.jpeg"/></Relationships>
</file>

<file path=xl/drawings/_rels/drawing9.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oneCellAnchor>
    <xdr:from>
      <xdr:col>1</xdr:col>
      <xdr:colOff>9524</xdr:colOff>
      <xdr:row>0</xdr:row>
      <xdr:rowOff>0</xdr:rowOff>
    </xdr:from>
    <xdr:ext cx="5746297" cy="2266954"/>
    <xdr:pic>
      <xdr:nvPicPr>
        <xdr:cNvPr id="2" name="Picture 1" descr="Caltest logo PM294 POS with strapline.jpg">
          <a:extLst>
            <a:ext uri="{FF2B5EF4-FFF2-40B4-BE49-F238E27FC236}">
              <a16:creationId xmlns:a16="http://schemas.microsoft.com/office/drawing/2014/main" id="{E36CCDE9-50EC-40CE-B3B2-7B54A6B3EA53}"/>
            </a:ext>
          </a:extLst>
        </xdr:cNvPr>
        <xdr:cNvPicPr>
          <a:picLocks noChangeAspect="1"/>
        </xdr:cNvPicPr>
      </xdr:nvPicPr>
      <xdr:blipFill>
        <a:blip xmlns:r="http://schemas.openxmlformats.org/officeDocument/2006/relationships" r:embed="rId1"/>
        <a:stretch>
          <a:fillRect/>
        </a:stretch>
      </xdr:blipFill>
      <xdr:spPr>
        <a:xfrm>
          <a:off x="180974" y="0"/>
          <a:ext cx="5746297" cy="2266954"/>
        </a:xfrm>
        <a:prstGeom prst="rect">
          <a:avLst/>
        </a:prstGeom>
        <a:ln>
          <a:noFill/>
        </a:ln>
      </xdr:spPr>
    </xdr:pic>
    <xdr:clientData/>
  </xdr:oneCellAnchor>
  <xdr:twoCellAnchor>
    <xdr:from>
      <xdr:col>1</xdr:col>
      <xdr:colOff>9524</xdr:colOff>
      <xdr:row>8</xdr:row>
      <xdr:rowOff>168089</xdr:rowOff>
    </xdr:from>
    <xdr:to>
      <xdr:col>4</xdr:col>
      <xdr:colOff>481852</xdr:colOff>
      <xdr:row>14</xdr:row>
      <xdr:rowOff>44824</xdr:rowOff>
    </xdr:to>
    <xdr:sp macro="" textlink="">
      <xdr:nvSpPr>
        <xdr:cNvPr id="3" name="LT">
          <a:extLst>
            <a:ext uri="{FF2B5EF4-FFF2-40B4-BE49-F238E27FC236}">
              <a16:creationId xmlns:a16="http://schemas.microsoft.com/office/drawing/2014/main" id="{AAEA6A4B-6584-4BA2-8EC8-781691B73CC2}"/>
            </a:ext>
          </a:extLst>
        </xdr:cNvPr>
        <xdr:cNvSpPr txBox="1"/>
      </xdr:nvSpPr>
      <xdr:spPr>
        <a:xfrm>
          <a:off x="180974" y="2454089"/>
          <a:ext cx="5558678" cy="1591235"/>
        </a:xfrm>
        <a:prstGeom prst="rect">
          <a:avLst/>
        </a:prstGeom>
        <a:solidFill>
          <a:srgbClr val="FFFFFF">
            <a:alpha val="100000"/>
          </a:srgbClr>
        </a:solidFill>
        <a:ln w="1" cmpd="sng">
          <a:noFill/>
        </a:ln>
      </xdr:spPr>
      <xdr:txBody>
        <a:bodyPr wrap="square" lIns="0" tIns="22860" rIns="27432" bIns="0"/>
        <a:lstStyle/>
        <a:p>
          <a:r>
            <a:rPr lang="en-US" sz="1600" b="0" i="0" baseline="0">
              <a:effectLst/>
              <a:latin typeface="Arial" panose="020B0604020202020204" pitchFamily="34" charset="0"/>
              <a:ea typeface="+mn-ea"/>
              <a:cs typeface="Arial" panose="020B0604020202020204" pitchFamily="34" charset="0"/>
            </a:rPr>
            <a:t>Unit 2 Viceroy Court</a:t>
          </a:r>
          <a:br>
            <a:rPr lang="en-US" sz="1600" b="0" i="0" baseline="0">
              <a:effectLst/>
              <a:latin typeface="Arial" panose="020B0604020202020204" pitchFamily="34" charset="0"/>
              <a:ea typeface="+mn-ea"/>
              <a:cs typeface="Arial" panose="020B0604020202020204" pitchFamily="34" charset="0"/>
            </a:rPr>
          </a:br>
          <a:r>
            <a:rPr lang="en-US" sz="1600" b="0" i="0" baseline="0">
              <a:effectLst/>
              <a:latin typeface="Arial" panose="020B0604020202020204" pitchFamily="34" charset="0"/>
              <a:ea typeface="+mn-ea"/>
              <a:cs typeface="Arial" panose="020B0604020202020204" pitchFamily="34" charset="0"/>
            </a:rPr>
            <a:t>Bedford Road, </a:t>
          </a:r>
          <a:endParaRPr lang="en-GB" sz="1600">
            <a:effectLst/>
            <a:latin typeface="Arial" panose="020B0604020202020204" pitchFamily="34" charset="0"/>
            <a:cs typeface="Arial" panose="020B0604020202020204" pitchFamily="34" charset="0"/>
          </a:endParaRPr>
        </a:p>
        <a:p>
          <a:r>
            <a:rPr lang="en-US" sz="1600" b="0" i="0" baseline="0">
              <a:effectLst/>
              <a:latin typeface="Arial" panose="020B0604020202020204" pitchFamily="34" charset="0"/>
              <a:ea typeface="+mn-ea"/>
              <a:cs typeface="Arial" panose="020B0604020202020204" pitchFamily="34" charset="0"/>
            </a:rPr>
            <a:t>Petersfield, Hampshire</a:t>
          </a:r>
          <a:br>
            <a:rPr lang="en-US" sz="1600" b="0" i="0" baseline="0">
              <a:effectLst/>
              <a:latin typeface="Arial" panose="020B0604020202020204" pitchFamily="34" charset="0"/>
              <a:ea typeface="+mn-ea"/>
              <a:cs typeface="Arial" panose="020B0604020202020204" pitchFamily="34" charset="0"/>
            </a:rPr>
          </a:br>
          <a:r>
            <a:rPr lang="en-US" sz="1600" b="0" i="0" baseline="0">
              <a:effectLst/>
              <a:latin typeface="Arial" panose="020B0604020202020204" pitchFamily="34" charset="0"/>
              <a:ea typeface="+mn-ea"/>
              <a:cs typeface="Arial" panose="020B0604020202020204" pitchFamily="34" charset="0"/>
            </a:rPr>
            <a:t>GU32 3LJ</a:t>
          </a:r>
          <a:br>
            <a:rPr lang="en-US" sz="1600" b="0" i="0" baseline="0">
              <a:effectLst/>
              <a:latin typeface="Arial" panose="020B0604020202020204" pitchFamily="34" charset="0"/>
              <a:ea typeface="+mn-ea"/>
              <a:cs typeface="Arial" panose="020B0604020202020204" pitchFamily="34" charset="0"/>
            </a:rPr>
          </a:br>
          <a:r>
            <a:rPr lang="en-US" sz="1600" b="0" i="0" baseline="0">
              <a:effectLst/>
              <a:latin typeface="Arial" panose="020B0604020202020204" pitchFamily="34" charset="0"/>
              <a:ea typeface="+mn-ea"/>
              <a:cs typeface="Arial" panose="020B0604020202020204" pitchFamily="34" charset="0"/>
            </a:rPr>
            <a:t>T: 01483 302700</a:t>
          </a:r>
          <a:br>
            <a:rPr lang="en-US" sz="1600" b="0" i="0" baseline="0">
              <a:effectLst/>
              <a:latin typeface="Arial" panose="020B0604020202020204" pitchFamily="34" charset="0"/>
              <a:ea typeface="+mn-ea"/>
              <a:cs typeface="Arial" panose="020B0604020202020204" pitchFamily="34" charset="0"/>
            </a:rPr>
          </a:br>
          <a:r>
            <a:rPr lang="en-US" sz="1600" b="0" i="0" baseline="0">
              <a:effectLst/>
              <a:latin typeface="Arial" panose="020B0604020202020204" pitchFamily="34" charset="0"/>
              <a:ea typeface="+mn-ea"/>
              <a:cs typeface="Arial" panose="020B0604020202020204" pitchFamily="34" charset="0"/>
            </a:rPr>
            <a:t>E: info@caltest.co.uk  www.caltest.co.uk</a:t>
          </a:r>
          <a:endParaRPr lang="en-GB" sz="1600">
            <a:effectLst/>
            <a:latin typeface="Arial" panose="020B0604020202020204" pitchFamily="34" charset="0"/>
            <a:cs typeface="Arial" panose="020B0604020202020204" pitchFamily="34" charset="0"/>
          </a:endParaRPr>
        </a:p>
      </xdr:txBody>
    </xdr:sp>
    <xdr:clientData/>
  </xdr:twoCellAnchor>
  <xdr:twoCellAnchor>
    <xdr:from>
      <xdr:col>4</xdr:col>
      <xdr:colOff>1378322</xdr:colOff>
      <xdr:row>1</xdr:row>
      <xdr:rowOff>123264</xdr:rowOff>
    </xdr:from>
    <xdr:to>
      <xdr:col>7</xdr:col>
      <xdr:colOff>874058</xdr:colOff>
      <xdr:row>7</xdr:row>
      <xdr:rowOff>100852</xdr:rowOff>
    </xdr:to>
    <xdr:sp macro="" textlink="">
      <xdr:nvSpPr>
        <xdr:cNvPr id="4" name="TextBox 3">
          <a:extLst>
            <a:ext uri="{FF2B5EF4-FFF2-40B4-BE49-F238E27FC236}">
              <a16:creationId xmlns:a16="http://schemas.microsoft.com/office/drawing/2014/main" id="{D2C34DE4-F129-4761-A733-818F61D968A4}"/>
            </a:ext>
          </a:extLst>
        </xdr:cNvPr>
        <xdr:cNvSpPr txBox="1"/>
      </xdr:nvSpPr>
      <xdr:spPr>
        <a:xfrm>
          <a:off x="6636122" y="409014"/>
          <a:ext cx="4963086" cy="169208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3600" b="1">
              <a:solidFill>
                <a:srgbClr val="1F4D7F"/>
              </a:solidFill>
              <a:latin typeface="Times New Roman" panose="02020603050405020304" pitchFamily="18" charset="0"/>
              <a:cs typeface="Times New Roman" panose="02020603050405020304" pitchFamily="18" charset="0"/>
            </a:rPr>
            <a:t>Pacific Unit Automated</a:t>
          </a:r>
          <a:r>
            <a:rPr lang="en-GB" sz="3600" b="1" baseline="0">
              <a:solidFill>
                <a:srgbClr val="1F4D7F"/>
              </a:solidFill>
              <a:latin typeface="Times New Roman" panose="02020603050405020304" pitchFamily="18" charset="0"/>
              <a:cs typeface="Times New Roman" panose="02020603050405020304" pitchFamily="18" charset="0"/>
            </a:rPr>
            <a:t> </a:t>
          </a:r>
          <a:r>
            <a:rPr lang="en-GB" sz="3600" b="1">
              <a:solidFill>
                <a:srgbClr val="1F4D7F"/>
              </a:solidFill>
              <a:latin typeface="Times New Roman" panose="02020603050405020304" pitchFamily="18" charset="0"/>
              <a:cs typeface="Times New Roman" panose="02020603050405020304" pitchFamily="18" charset="0"/>
            </a:rPr>
            <a:t>Test</a:t>
          </a:r>
        </a:p>
      </xdr:txBody>
    </xdr:sp>
    <xdr:clientData/>
  </xdr:twoCellAnchor>
</xdr:wsDr>
</file>

<file path=xl/drawings/drawing2.xml><?xml version="1.0" encoding="utf-8"?>
<xdr:wsDr xmlns:xdr="http://schemas.openxmlformats.org/drawingml/2006/spreadsheetDrawing" xmlns:a="http://schemas.openxmlformats.org/drawingml/2006/main">
  <xdr:oneCellAnchor>
    <xdr:from>
      <xdr:col>1</xdr:col>
      <xdr:colOff>9524</xdr:colOff>
      <xdr:row>0</xdr:row>
      <xdr:rowOff>0</xdr:rowOff>
    </xdr:from>
    <xdr:ext cx="5746297" cy="2266954"/>
    <xdr:pic>
      <xdr:nvPicPr>
        <xdr:cNvPr id="2" name="Picture 1" descr="Caltest logo PM294 POS with strapline.jpg">
          <a:extLst>
            <a:ext uri="{FF2B5EF4-FFF2-40B4-BE49-F238E27FC236}">
              <a16:creationId xmlns:a16="http://schemas.microsoft.com/office/drawing/2014/main" id="{12B13F88-FF60-42ED-A9B3-B4A635E2EC8C}"/>
            </a:ext>
          </a:extLst>
        </xdr:cNvPr>
        <xdr:cNvPicPr>
          <a:picLocks noChangeAspect="1"/>
        </xdr:cNvPicPr>
      </xdr:nvPicPr>
      <xdr:blipFill>
        <a:blip xmlns:r="http://schemas.openxmlformats.org/officeDocument/2006/relationships" r:embed="rId1"/>
        <a:stretch>
          <a:fillRect/>
        </a:stretch>
      </xdr:blipFill>
      <xdr:spPr>
        <a:xfrm>
          <a:off x="180974" y="0"/>
          <a:ext cx="5746297" cy="2266954"/>
        </a:xfrm>
        <a:prstGeom prst="rect">
          <a:avLst/>
        </a:prstGeom>
        <a:ln>
          <a:noFill/>
        </a:ln>
      </xdr:spPr>
    </xdr:pic>
    <xdr:clientData/>
  </xdr:oneCellAnchor>
  <xdr:twoCellAnchor>
    <xdr:from>
      <xdr:col>1</xdr:col>
      <xdr:colOff>9524</xdr:colOff>
      <xdr:row>8</xdr:row>
      <xdr:rowOff>168089</xdr:rowOff>
    </xdr:from>
    <xdr:to>
      <xdr:col>4</xdr:col>
      <xdr:colOff>481852</xdr:colOff>
      <xdr:row>14</xdr:row>
      <xdr:rowOff>44824</xdr:rowOff>
    </xdr:to>
    <xdr:sp macro="" textlink="">
      <xdr:nvSpPr>
        <xdr:cNvPr id="3" name="LT">
          <a:extLst>
            <a:ext uri="{FF2B5EF4-FFF2-40B4-BE49-F238E27FC236}">
              <a16:creationId xmlns:a16="http://schemas.microsoft.com/office/drawing/2014/main" id="{8A5D8B0C-EB7D-4C66-A9B1-F51E02DD2378}"/>
            </a:ext>
          </a:extLst>
        </xdr:cNvPr>
        <xdr:cNvSpPr txBox="1"/>
      </xdr:nvSpPr>
      <xdr:spPr>
        <a:xfrm>
          <a:off x="180974" y="2454089"/>
          <a:ext cx="5558678" cy="1591235"/>
        </a:xfrm>
        <a:prstGeom prst="rect">
          <a:avLst/>
        </a:prstGeom>
        <a:solidFill>
          <a:srgbClr val="FFFFFF">
            <a:alpha val="100000"/>
          </a:srgbClr>
        </a:solidFill>
        <a:ln w="1" cmpd="sng">
          <a:noFill/>
        </a:ln>
      </xdr:spPr>
      <xdr:txBody>
        <a:bodyPr wrap="square" lIns="0" tIns="22860" rIns="27432" bIns="0"/>
        <a:lstStyle/>
        <a:p>
          <a:r>
            <a:rPr lang="en-US" sz="1600" b="0" i="0" baseline="0">
              <a:effectLst/>
              <a:latin typeface="Arial" panose="020B0604020202020204" pitchFamily="34" charset="0"/>
              <a:ea typeface="+mn-ea"/>
              <a:cs typeface="Arial" panose="020B0604020202020204" pitchFamily="34" charset="0"/>
            </a:rPr>
            <a:t>Unit 2 Viceroy Court</a:t>
          </a:r>
          <a:br>
            <a:rPr lang="en-US" sz="1600" b="0" i="0" baseline="0">
              <a:effectLst/>
              <a:latin typeface="Arial" panose="020B0604020202020204" pitchFamily="34" charset="0"/>
              <a:ea typeface="+mn-ea"/>
              <a:cs typeface="Arial" panose="020B0604020202020204" pitchFamily="34" charset="0"/>
            </a:rPr>
          </a:br>
          <a:r>
            <a:rPr lang="en-US" sz="1600" b="0" i="0" baseline="0">
              <a:effectLst/>
              <a:latin typeface="Arial" panose="020B0604020202020204" pitchFamily="34" charset="0"/>
              <a:ea typeface="+mn-ea"/>
              <a:cs typeface="Arial" panose="020B0604020202020204" pitchFamily="34" charset="0"/>
            </a:rPr>
            <a:t>Bedford Road, </a:t>
          </a:r>
          <a:endParaRPr lang="en-GB" sz="1600">
            <a:effectLst/>
            <a:latin typeface="Arial" panose="020B0604020202020204" pitchFamily="34" charset="0"/>
            <a:cs typeface="Arial" panose="020B0604020202020204" pitchFamily="34" charset="0"/>
          </a:endParaRPr>
        </a:p>
        <a:p>
          <a:r>
            <a:rPr lang="en-US" sz="1600" b="0" i="0" baseline="0">
              <a:effectLst/>
              <a:latin typeface="Arial" panose="020B0604020202020204" pitchFamily="34" charset="0"/>
              <a:ea typeface="+mn-ea"/>
              <a:cs typeface="Arial" panose="020B0604020202020204" pitchFamily="34" charset="0"/>
            </a:rPr>
            <a:t>Petersfield, Hampshire</a:t>
          </a:r>
          <a:br>
            <a:rPr lang="en-US" sz="1600" b="0" i="0" baseline="0">
              <a:effectLst/>
              <a:latin typeface="Arial" panose="020B0604020202020204" pitchFamily="34" charset="0"/>
              <a:ea typeface="+mn-ea"/>
              <a:cs typeface="Arial" panose="020B0604020202020204" pitchFamily="34" charset="0"/>
            </a:rPr>
          </a:br>
          <a:r>
            <a:rPr lang="en-US" sz="1600" b="0" i="0" baseline="0">
              <a:effectLst/>
              <a:latin typeface="Arial" panose="020B0604020202020204" pitchFamily="34" charset="0"/>
              <a:ea typeface="+mn-ea"/>
              <a:cs typeface="Arial" panose="020B0604020202020204" pitchFamily="34" charset="0"/>
            </a:rPr>
            <a:t>GU32 3LJ</a:t>
          </a:r>
          <a:br>
            <a:rPr lang="en-US" sz="1600" b="0" i="0" baseline="0">
              <a:effectLst/>
              <a:latin typeface="Arial" panose="020B0604020202020204" pitchFamily="34" charset="0"/>
              <a:ea typeface="+mn-ea"/>
              <a:cs typeface="Arial" panose="020B0604020202020204" pitchFamily="34" charset="0"/>
            </a:rPr>
          </a:br>
          <a:r>
            <a:rPr lang="en-US" sz="1600" b="0" i="0" baseline="0">
              <a:effectLst/>
              <a:latin typeface="Arial" panose="020B0604020202020204" pitchFamily="34" charset="0"/>
              <a:ea typeface="+mn-ea"/>
              <a:cs typeface="Arial" panose="020B0604020202020204" pitchFamily="34" charset="0"/>
            </a:rPr>
            <a:t>T: 01483 302700</a:t>
          </a:r>
          <a:br>
            <a:rPr lang="en-US" sz="1600" b="0" i="0" baseline="0">
              <a:effectLst/>
              <a:latin typeface="Arial" panose="020B0604020202020204" pitchFamily="34" charset="0"/>
              <a:ea typeface="+mn-ea"/>
              <a:cs typeface="Arial" panose="020B0604020202020204" pitchFamily="34" charset="0"/>
            </a:rPr>
          </a:br>
          <a:r>
            <a:rPr lang="en-US" sz="1600" b="0" i="0" baseline="0">
              <a:effectLst/>
              <a:latin typeface="Arial" panose="020B0604020202020204" pitchFamily="34" charset="0"/>
              <a:ea typeface="+mn-ea"/>
              <a:cs typeface="Arial" panose="020B0604020202020204" pitchFamily="34" charset="0"/>
            </a:rPr>
            <a:t>E: info@caltest.co.uk  www.caltest.co.uk</a:t>
          </a:r>
          <a:endParaRPr lang="en-GB" sz="1600">
            <a:effectLst/>
            <a:latin typeface="Arial" panose="020B0604020202020204" pitchFamily="34" charset="0"/>
            <a:cs typeface="Arial" panose="020B0604020202020204" pitchFamily="34" charset="0"/>
          </a:endParaRPr>
        </a:p>
      </xdr:txBody>
    </xdr:sp>
    <xdr:clientData/>
  </xdr:twoCellAnchor>
  <xdr:twoCellAnchor>
    <xdr:from>
      <xdr:col>4</xdr:col>
      <xdr:colOff>1378322</xdr:colOff>
      <xdr:row>1</xdr:row>
      <xdr:rowOff>123264</xdr:rowOff>
    </xdr:from>
    <xdr:to>
      <xdr:col>7</xdr:col>
      <xdr:colOff>874058</xdr:colOff>
      <xdr:row>7</xdr:row>
      <xdr:rowOff>100852</xdr:rowOff>
    </xdr:to>
    <xdr:sp macro="" textlink="">
      <xdr:nvSpPr>
        <xdr:cNvPr id="4" name="TextBox 3">
          <a:extLst>
            <a:ext uri="{FF2B5EF4-FFF2-40B4-BE49-F238E27FC236}">
              <a16:creationId xmlns:a16="http://schemas.microsoft.com/office/drawing/2014/main" id="{B8EAD130-F50C-4E2E-914B-A78017759BE5}"/>
            </a:ext>
          </a:extLst>
        </xdr:cNvPr>
        <xdr:cNvSpPr txBox="1"/>
      </xdr:nvSpPr>
      <xdr:spPr>
        <a:xfrm>
          <a:off x="6636122" y="409014"/>
          <a:ext cx="4963086" cy="169208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3600" b="1">
              <a:solidFill>
                <a:srgbClr val="1F4D7F"/>
              </a:solidFill>
              <a:latin typeface="Times New Roman" panose="02020603050405020304" pitchFamily="18" charset="0"/>
              <a:cs typeface="Times New Roman" panose="02020603050405020304" pitchFamily="18" charset="0"/>
            </a:rPr>
            <a:t>Pacific Unit Automated</a:t>
          </a:r>
          <a:r>
            <a:rPr lang="en-GB" sz="3600" b="1" baseline="0">
              <a:solidFill>
                <a:srgbClr val="1F4D7F"/>
              </a:solidFill>
              <a:latin typeface="Times New Roman" panose="02020603050405020304" pitchFamily="18" charset="0"/>
              <a:cs typeface="Times New Roman" panose="02020603050405020304" pitchFamily="18" charset="0"/>
            </a:rPr>
            <a:t> </a:t>
          </a:r>
          <a:r>
            <a:rPr lang="en-GB" sz="3600" b="1">
              <a:solidFill>
                <a:srgbClr val="1F4D7F"/>
              </a:solidFill>
              <a:latin typeface="Times New Roman" panose="02020603050405020304" pitchFamily="18" charset="0"/>
              <a:cs typeface="Times New Roman" panose="02020603050405020304" pitchFamily="18" charset="0"/>
            </a:rPr>
            <a:t>Test</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20375</xdr:colOff>
      <xdr:row>8</xdr:row>
      <xdr:rowOff>59718</xdr:rowOff>
    </xdr:from>
    <xdr:to>
      <xdr:col>4</xdr:col>
      <xdr:colOff>405848</xdr:colOff>
      <xdr:row>13</xdr:row>
      <xdr:rowOff>153559</xdr:rowOff>
    </xdr:to>
    <xdr:pic>
      <xdr:nvPicPr>
        <xdr:cNvPr id="2" name="Picture 1">
          <a:extLst>
            <a:ext uri="{FF2B5EF4-FFF2-40B4-BE49-F238E27FC236}">
              <a16:creationId xmlns:a16="http://schemas.microsoft.com/office/drawing/2014/main" id="{974DC9EC-6D8B-498B-BB50-DD63363AD90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75" y="1202718"/>
          <a:ext cx="2747673" cy="104634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20375</xdr:colOff>
      <xdr:row>8</xdr:row>
      <xdr:rowOff>59718</xdr:rowOff>
    </xdr:from>
    <xdr:to>
      <xdr:col>4</xdr:col>
      <xdr:colOff>405848</xdr:colOff>
      <xdr:row>13</xdr:row>
      <xdr:rowOff>153559</xdr:rowOff>
    </xdr:to>
    <xdr:pic>
      <xdr:nvPicPr>
        <xdr:cNvPr id="2" name="Picture 1">
          <a:extLst>
            <a:ext uri="{FF2B5EF4-FFF2-40B4-BE49-F238E27FC236}">
              <a16:creationId xmlns:a16="http://schemas.microsoft.com/office/drawing/2014/main" id="{6928CA0F-4AE6-47EF-B6C4-E050DA239E2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75" y="1202718"/>
          <a:ext cx="2747673" cy="104634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20375</xdr:colOff>
      <xdr:row>8</xdr:row>
      <xdr:rowOff>59718</xdr:rowOff>
    </xdr:from>
    <xdr:to>
      <xdr:col>4</xdr:col>
      <xdr:colOff>405848</xdr:colOff>
      <xdr:row>13</xdr:row>
      <xdr:rowOff>153559</xdr:rowOff>
    </xdr:to>
    <xdr:pic>
      <xdr:nvPicPr>
        <xdr:cNvPr id="2" name="Picture 1">
          <a:extLst>
            <a:ext uri="{FF2B5EF4-FFF2-40B4-BE49-F238E27FC236}">
              <a16:creationId xmlns:a16="http://schemas.microsoft.com/office/drawing/2014/main" id="{B14F1CA8-3A01-403C-BB61-040C64D5B3B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75" y="1202718"/>
          <a:ext cx="2747673" cy="104634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20375</xdr:colOff>
      <xdr:row>8</xdr:row>
      <xdr:rowOff>59718</xdr:rowOff>
    </xdr:from>
    <xdr:to>
      <xdr:col>4</xdr:col>
      <xdr:colOff>405848</xdr:colOff>
      <xdr:row>13</xdr:row>
      <xdr:rowOff>153559</xdr:rowOff>
    </xdr:to>
    <xdr:pic>
      <xdr:nvPicPr>
        <xdr:cNvPr id="2" name="Picture 1">
          <a:extLst>
            <a:ext uri="{FF2B5EF4-FFF2-40B4-BE49-F238E27FC236}">
              <a16:creationId xmlns:a16="http://schemas.microsoft.com/office/drawing/2014/main" id="{EC5B7082-528C-41AB-A168-2C67BED6A24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75" y="1202718"/>
          <a:ext cx="2747673" cy="104634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20375</xdr:colOff>
      <xdr:row>8</xdr:row>
      <xdr:rowOff>59718</xdr:rowOff>
    </xdr:from>
    <xdr:to>
      <xdr:col>4</xdr:col>
      <xdr:colOff>405848</xdr:colOff>
      <xdr:row>13</xdr:row>
      <xdr:rowOff>153559</xdr:rowOff>
    </xdr:to>
    <xdr:pic>
      <xdr:nvPicPr>
        <xdr:cNvPr id="2" name="Picture 1">
          <a:extLst>
            <a:ext uri="{FF2B5EF4-FFF2-40B4-BE49-F238E27FC236}">
              <a16:creationId xmlns:a16="http://schemas.microsoft.com/office/drawing/2014/main" id="{D7134921-0E3A-476F-9B7D-31A22AB8F85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75" y="1202718"/>
          <a:ext cx="2747673" cy="104634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0</xdr:col>
      <xdr:colOff>20375</xdr:colOff>
      <xdr:row>8</xdr:row>
      <xdr:rowOff>59718</xdr:rowOff>
    </xdr:from>
    <xdr:to>
      <xdr:col>4</xdr:col>
      <xdr:colOff>405848</xdr:colOff>
      <xdr:row>13</xdr:row>
      <xdr:rowOff>153559</xdr:rowOff>
    </xdr:to>
    <xdr:pic>
      <xdr:nvPicPr>
        <xdr:cNvPr id="2" name="Picture 1">
          <a:extLst>
            <a:ext uri="{FF2B5EF4-FFF2-40B4-BE49-F238E27FC236}">
              <a16:creationId xmlns:a16="http://schemas.microsoft.com/office/drawing/2014/main" id="{13055316-51BB-4418-A833-41C22C04745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75" y="1202718"/>
          <a:ext cx="2747673" cy="104634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xdr:from>
      <xdr:col>0</xdr:col>
      <xdr:colOff>20375</xdr:colOff>
      <xdr:row>8</xdr:row>
      <xdr:rowOff>59718</xdr:rowOff>
    </xdr:from>
    <xdr:to>
      <xdr:col>4</xdr:col>
      <xdr:colOff>405848</xdr:colOff>
      <xdr:row>13</xdr:row>
      <xdr:rowOff>153559</xdr:rowOff>
    </xdr:to>
    <xdr:pic>
      <xdr:nvPicPr>
        <xdr:cNvPr id="2" name="Picture 1">
          <a:extLst>
            <a:ext uri="{FF2B5EF4-FFF2-40B4-BE49-F238E27FC236}">
              <a16:creationId xmlns:a16="http://schemas.microsoft.com/office/drawing/2014/main" id="{DAC270FD-DAB5-453A-BCB0-7582F1F999C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75" y="1202718"/>
          <a:ext cx="2747673" cy="104634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persons/person.xml><?xml version="1.0" encoding="utf-8"?>
<personList xmlns="http://schemas.microsoft.com/office/spreadsheetml/2018/threadedcomments" xmlns:x="http://schemas.openxmlformats.org/spreadsheetml/2006/main">
  <person displayName="Krzysztof Gawlik" id="{E412618F-ADC4-4340-9397-656B7DA28C8D}" userId="S::krzysztof.gawlik@gui.ppstinc.net::8a4b4f5f-732d-4a98-9d6a-e32862e235aa"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E25" dT="2020-12-11T12:22:40.66" personId="{E412618F-ADC4-4340-9397-656B7DA28C8D}" id="{0970D89B-1C8B-437D-8DEF-646437462B41}">
    <text>For Avionics choose A</text>
  </threadedComment>
</ThreadedComments>
</file>

<file path=xl/threadedComments/threadedComment2.xml><?xml version="1.0" encoding="utf-8"?>
<ThreadedComments xmlns="http://schemas.microsoft.com/office/spreadsheetml/2018/threadedcomments" xmlns:x="http://schemas.openxmlformats.org/spreadsheetml/2006/main">
  <threadedComment ref="E25" dT="2020-12-11T12:22:40.66" personId="{E412618F-ADC4-4340-9397-656B7DA28C8D}" id="{87131E38-98D8-4904-B5A3-6748F93C1606}">
    <text>For Avionics choose A</text>
  </threadedComment>
</ThreadedComments>
</file>

<file path=xl/threadedComments/threadedComment3.xml><?xml version="1.0" encoding="utf-8"?>
<ThreadedComments xmlns="http://schemas.microsoft.com/office/spreadsheetml/2018/threadedcomments" xmlns:x="http://schemas.openxmlformats.org/spreadsheetml/2006/main">
  <threadedComment ref="E25" dT="2020-12-11T12:22:40.66" personId="{E412618F-ADC4-4340-9397-656B7DA28C8D}" id="{7090A22B-3DE9-4193-9743-0786EEF8DFA4}">
    <text>For Avionics choose A</text>
  </threadedComment>
</ThreadedComments>
</file>

<file path=xl/threadedComments/threadedComment4.xml><?xml version="1.0" encoding="utf-8"?>
<ThreadedComments xmlns="http://schemas.microsoft.com/office/spreadsheetml/2018/threadedcomments" xmlns:x="http://schemas.openxmlformats.org/spreadsheetml/2006/main">
  <threadedComment ref="E25" dT="2020-12-11T12:22:40.66" personId="{E412618F-ADC4-4340-9397-656B7DA28C8D}" id="{179F66C7-6745-4BDB-8561-9D6DDBDF0B6A}">
    <text>For Avionics choose A</text>
  </threadedComment>
</ThreadedComments>
</file>

<file path=xl/threadedComments/threadedComment5.xml><?xml version="1.0" encoding="utf-8"?>
<ThreadedComments xmlns="http://schemas.microsoft.com/office/spreadsheetml/2018/threadedcomments" xmlns:x="http://schemas.openxmlformats.org/spreadsheetml/2006/main">
  <threadedComment ref="E25" dT="2020-12-11T12:22:40.66" personId="{E412618F-ADC4-4340-9397-656B7DA28C8D}" id="{6656ED64-4E60-464F-86B6-B4095D7153EE}">
    <text>For Avionics choose A</text>
  </threadedComment>
</ThreadedComments>
</file>

<file path=xl/threadedComments/threadedComment6.xml><?xml version="1.0" encoding="utf-8"?>
<ThreadedComments xmlns="http://schemas.microsoft.com/office/spreadsheetml/2018/threadedcomments" xmlns:x="http://schemas.openxmlformats.org/spreadsheetml/2006/main">
  <threadedComment ref="E25" dT="2020-12-11T12:22:40.66" personId="{E412618F-ADC4-4340-9397-656B7DA28C8D}" id="{6469466B-039A-4799-AC2D-D9923B4F86A8}">
    <text>For Avionics choose A</text>
  </threadedComment>
</ThreadedComments>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3.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4.xml"/><Relationship Id="rId1" Type="http://schemas.openxmlformats.org/officeDocument/2006/relationships/printerSettings" Target="../printerSettings/printerSettings4.bin"/><Relationship Id="rId5" Type="http://schemas.microsoft.com/office/2017/10/relationships/threadedComment" Target="../threadedComments/threadedComment2.xml"/><Relationship Id="rId4" Type="http://schemas.openxmlformats.org/officeDocument/2006/relationships/comments" Target="../comments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6.xml"/><Relationship Id="rId1" Type="http://schemas.openxmlformats.org/officeDocument/2006/relationships/printerSettings" Target="../printerSettings/printerSettings6.bin"/><Relationship Id="rId5" Type="http://schemas.microsoft.com/office/2017/10/relationships/threadedComment" Target="../threadedComments/threadedComment3.xml"/><Relationship Id="rId4" Type="http://schemas.openxmlformats.org/officeDocument/2006/relationships/comments" Target="../comments3.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7.xml"/><Relationship Id="rId1" Type="http://schemas.openxmlformats.org/officeDocument/2006/relationships/printerSettings" Target="../printerSettings/printerSettings7.bin"/><Relationship Id="rId5" Type="http://schemas.microsoft.com/office/2017/10/relationships/threadedComment" Target="../threadedComments/threadedComment4.xml"/><Relationship Id="rId4" Type="http://schemas.openxmlformats.org/officeDocument/2006/relationships/comments" Target="../comments4.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8.xml"/><Relationship Id="rId1" Type="http://schemas.openxmlformats.org/officeDocument/2006/relationships/printerSettings" Target="../printerSettings/printerSettings8.bin"/><Relationship Id="rId5" Type="http://schemas.microsoft.com/office/2017/10/relationships/threadedComment" Target="../threadedComments/threadedComment5.xml"/><Relationship Id="rId4" Type="http://schemas.openxmlformats.org/officeDocument/2006/relationships/comments" Target="../comments5.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9.xml"/><Relationship Id="rId1" Type="http://schemas.openxmlformats.org/officeDocument/2006/relationships/printerSettings" Target="../printerSettings/printerSettings9.bin"/><Relationship Id="rId5" Type="http://schemas.microsoft.com/office/2017/10/relationships/threadedComment" Target="../threadedComments/threadedComment6.xml"/><Relationship Id="rId4" Type="http://schemas.openxmlformats.org/officeDocument/2006/relationships/comments" Target="../comments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5C3E01-5C82-40EE-98BC-2EE7F5BAE1ED}">
  <sheetPr>
    <pageSetUpPr fitToPage="1"/>
  </sheetPr>
  <dimension ref="A1:H39"/>
  <sheetViews>
    <sheetView showGridLines="0" tabSelected="1" view="pageLayout" zoomScale="60" zoomScaleNormal="70" zoomScalePageLayoutView="60" workbookViewId="0">
      <selection activeCell="H11" sqref="H11"/>
    </sheetView>
  </sheetViews>
  <sheetFormatPr defaultRowHeight="22.5" customHeight="1" x14ac:dyDescent="0.25"/>
  <cols>
    <col min="1" max="1" width="2.42578125" style="10" customWidth="1"/>
    <col min="2" max="2" width="22.85546875" style="10" customWidth="1"/>
    <col min="3" max="3" width="21.85546875" style="10" customWidth="1"/>
    <col min="4" max="4" width="26.28515625" style="10" customWidth="1"/>
    <col min="5" max="5" width="24.42578125" style="10" customWidth="1"/>
    <col min="6" max="6" width="25.28515625" style="10" customWidth="1"/>
    <col min="7" max="7" width="26.5703125" style="10" customWidth="1"/>
    <col min="8" max="8" width="20.7109375" style="10" customWidth="1"/>
    <col min="9" max="9" width="2.5703125" customWidth="1"/>
  </cols>
  <sheetData>
    <row r="1" spans="1:8" ht="22.5" customHeight="1" x14ac:dyDescent="0.25">
      <c r="A1" s="81"/>
      <c r="B1" s="81"/>
      <c r="C1" s="81"/>
      <c r="D1" s="81"/>
      <c r="E1" s="81"/>
      <c r="F1" s="81"/>
      <c r="G1" s="81"/>
      <c r="H1" s="81"/>
    </row>
    <row r="2" spans="1:8" ht="22.5" customHeight="1" x14ac:dyDescent="0.25">
      <c r="A2" s="81"/>
      <c r="B2" s="81"/>
      <c r="C2" s="81"/>
      <c r="D2" s="81"/>
      <c r="E2" s="81"/>
      <c r="F2" s="81"/>
      <c r="G2" s="81"/>
      <c r="H2" s="81"/>
    </row>
    <row r="3" spans="1:8" ht="22.5" customHeight="1" x14ac:dyDescent="0.25">
      <c r="A3" s="81"/>
      <c r="B3" s="81"/>
      <c r="C3" s="81"/>
      <c r="D3" s="81"/>
      <c r="E3" s="81"/>
      <c r="F3" s="81"/>
      <c r="G3" s="81"/>
      <c r="H3" s="81"/>
    </row>
    <row r="4" spans="1:8" ht="22.5" customHeight="1" x14ac:dyDescent="0.25">
      <c r="A4" s="81"/>
      <c r="B4" s="81"/>
      <c r="C4" s="81"/>
      <c r="D4" s="81"/>
      <c r="E4" s="81"/>
      <c r="F4" s="81"/>
      <c r="G4" s="81"/>
      <c r="H4" s="81"/>
    </row>
    <row r="5" spans="1:8" ht="22.5" customHeight="1" x14ac:dyDescent="0.25">
      <c r="A5" s="81"/>
      <c r="B5" s="81"/>
      <c r="C5" s="81"/>
      <c r="D5" s="81"/>
      <c r="E5" s="81"/>
      <c r="F5" s="81"/>
      <c r="G5" s="81"/>
      <c r="H5" s="81"/>
    </row>
    <row r="6" spans="1:8" ht="22.5" customHeight="1" x14ac:dyDescent="0.25">
      <c r="A6" s="81"/>
      <c r="B6" s="81"/>
      <c r="C6" s="81"/>
      <c r="D6" s="81"/>
      <c r="E6" s="81"/>
      <c r="F6" s="81"/>
      <c r="G6" s="81"/>
      <c r="H6" s="81"/>
    </row>
    <row r="7" spans="1:8" ht="22.5" customHeight="1" x14ac:dyDescent="0.25">
      <c r="A7" s="82"/>
      <c r="B7" s="82"/>
      <c r="C7" s="82"/>
      <c r="D7" s="82"/>
      <c r="E7" s="82"/>
      <c r="F7" s="82"/>
      <c r="G7" s="82"/>
      <c r="H7" s="82"/>
    </row>
    <row r="8" spans="1:8" ht="22.5" customHeight="1" x14ac:dyDescent="0.25">
      <c r="A8" s="19"/>
      <c r="B8" s="19"/>
      <c r="C8" s="19"/>
      <c r="D8" s="18"/>
      <c r="E8" s="18"/>
      <c r="F8" s="18"/>
      <c r="G8" s="18"/>
      <c r="H8" s="18"/>
    </row>
    <row r="9" spans="1:8" ht="22.5" customHeight="1" x14ac:dyDescent="0.25">
      <c r="A9" s="19"/>
      <c r="B9" s="19"/>
      <c r="C9" s="19"/>
      <c r="D9" s="18"/>
      <c r="E9" s="18"/>
      <c r="F9" s="18"/>
      <c r="G9" s="18"/>
      <c r="H9" s="18"/>
    </row>
    <row r="10" spans="1:8" ht="22.5" customHeight="1" thickBot="1" x14ac:dyDescent="0.3">
      <c r="A10" s="19"/>
      <c r="B10" s="19"/>
      <c r="C10" s="19"/>
      <c r="D10" s="18"/>
      <c r="E10" s="18"/>
      <c r="H10" s="18"/>
    </row>
    <row r="11" spans="1:8" ht="22.5" customHeight="1" thickBot="1" x14ac:dyDescent="0.3">
      <c r="G11" s="41" t="s">
        <v>242</v>
      </c>
      <c r="H11" s="13"/>
    </row>
    <row r="12" spans="1:8" ht="22.5" customHeight="1" thickBot="1" x14ac:dyDescent="0.3">
      <c r="G12" s="41" t="s">
        <v>241</v>
      </c>
      <c r="H12" s="13"/>
    </row>
    <row r="13" spans="1:8" ht="22.5" customHeight="1" thickBot="1" x14ac:dyDescent="0.3">
      <c r="G13" s="42" t="s">
        <v>240</v>
      </c>
      <c r="H13" s="76">
        <f>H12-H11</f>
        <v>0</v>
      </c>
    </row>
    <row r="16" spans="1:8" ht="22.5" customHeight="1" x14ac:dyDescent="0.25">
      <c r="B16" s="83" t="s">
        <v>254</v>
      </c>
      <c r="C16" s="83"/>
      <c r="D16" s="83"/>
      <c r="E16" s="83"/>
      <c r="F16" s="83"/>
      <c r="G16" s="83"/>
      <c r="H16" s="83"/>
    </row>
    <row r="17" spans="1:8" ht="22.5" customHeight="1" x14ac:dyDescent="0.25">
      <c r="B17" s="43" t="s">
        <v>252</v>
      </c>
      <c r="C17" s="84"/>
      <c r="D17" s="84"/>
      <c r="E17" s="78" t="s">
        <v>245</v>
      </c>
      <c r="F17" s="78"/>
      <c r="G17" s="80"/>
      <c r="H17" s="80"/>
    </row>
    <row r="18" spans="1:8" ht="22.5" customHeight="1" x14ac:dyDescent="0.25">
      <c r="B18" s="43" t="s">
        <v>249</v>
      </c>
      <c r="C18" s="77"/>
      <c r="D18" s="77"/>
      <c r="E18" s="78" t="s">
        <v>509</v>
      </c>
      <c r="F18" s="78"/>
      <c r="G18" s="80"/>
      <c r="H18" s="80"/>
    </row>
    <row r="19" spans="1:8" ht="22.5" customHeight="1" x14ac:dyDescent="0.25">
      <c r="B19" s="43" t="s">
        <v>247</v>
      </c>
      <c r="C19" s="77"/>
      <c r="D19" s="77"/>
      <c r="E19" s="78"/>
      <c r="F19" s="78"/>
      <c r="G19" s="77"/>
      <c r="H19" s="77"/>
    </row>
    <row r="20" spans="1:8" ht="22.5" customHeight="1" x14ac:dyDescent="0.25">
      <c r="A20" s="17"/>
      <c r="B20" s="43" t="s">
        <v>246</v>
      </c>
      <c r="C20" s="77"/>
      <c r="D20" s="77"/>
      <c r="E20" s="78"/>
      <c r="F20" s="78"/>
      <c r="G20" s="77"/>
      <c r="H20" s="77"/>
    </row>
    <row r="21" spans="1:8" ht="22.5" customHeight="1" x14ac:dyDescent="0.25">
      <c r="B21" s="43" t="s">
        <v>244</v>
      </c>
      <c r="C21" s="77"/>
      <c r="D21" s="77"/>
      <c r="E21" s="78"/>
      <c r="F21" s="78"/>
      <c r="G21" s="79"/>
      <c r="H21" s="79"/>
    </row>
    <row r="34" spans="2:8" ht="22.5" customHeight="1" x14ac:dyDescent="0.25">
      <c r="B34" s="15"/>
      <c r="C34" s="11"/>
      <c r="D34" s="44"/>
      <c r="E34" s="16"/>
      <c r="F34" s="45"/>
      <c r="G34" s="46"/>
      <c r="H34" s="47"/>
    </row>
    <row r="35" spans="2:8" ht="22.5" customHeight="1" x14ac:dyDescent="0.25">
      <c r="B35" s="15"/>
      <c r="C35" s="11"/>
      <c r="D35" s="44"/>
      <c r="E35" s="16"/>
      <c r="F35" s="45"/>
      <c r="G35" s="46"/>
      <c r="H35" s="47"/>
    </row>
    <row r="36" spans="2:8" ht="22.5" customHeight="1" x14ac:dyDescent="0.25">
      <c r="B36" s="15"/>
      <c r="C36" s="11"/>
      <c r="D36" s="44"/>
      <c r="E36" s="16"/>
      <c r="F36" s="45"/>
      <c r="G36" s="46"/>
      <c r="H36" s="47"/>
    </row>
    <row r="37" spans="2:8" ht="22.5" customHeight="1" x14ac:dyDescent="0.25">
      <c r="B37" s="15"/>
      <c r="C37" s="11"/>
      <c r="D37" s="44"/>
      <c r="E37" s="16"/>
      <c r="F37" s="45"/>
      <c r="G37" s="46"/>
      <c r="H37" s="47"/>
    </row>
    <row r="38" spans="2:8" ht="22.5" customHeight="1" x14ac:dyDescent="0.25">
      <c r="B38" s="15"/>
      <c r="C38" s="11"/>
      <c r="D38" s="44"/>
      <c r="E38" s="16"/>
      <c r="F38" s="45"/>
      <c r="G38" s="46"/>
      <c r="H38" s="47"/>
    </row>
    <row r="39" spans="2:8" ht="22.5" customHeight="1" x14ac:dyDescent="0.25">
      <c r="B39" s="15"/>
      <c r="C39" s="11"/>
      <c r="D39" s="44"/>
      <c r="E39" s="16"/>
      <c r="F39" s="45"/>
      <c r="G39" s="46"/>
      <c r="H39" s="47"/>
    </row>
  </sheetData>
  <sheetProtection formatCells="0" formatColumns="0" formatRows="0" insertColumns="0" insertRows="0" insertHyperlinks="0" deleteColumns="0" deleteRows="0" sort="0" autoFilter="0" pivotTables="0"/>
  <mergeCells count="19">
    <mergeCell ref="A1:H6"/>
    <mergeCell ref="A7:H7"/>
    <mergeCell ref="B16:D16"/>
    <mergeCell ref="E16:H16"/>
    <mergeCell ref="C17:D17"/>
    <mergeCell ref="G17:H17"/>
    <mergeCell ref="C20:D20"/>
    <mergeCell ref="E17:F17"/>
    <mergeCell ref="G20:H20"/>
    <mergeCell ref="C21:D21"/>
    <mergeCell ref="E21:F21"/>
    <mergeCell ref="G21:H21"/>
    <mergeCell ref="E20:F20"/>
    <mergeCell ref="C18:D18"/>
    <mergeCell ref="E18:F18"/>
    <mergeCell ref="G18:H18"/>
    <mergeCell ref="C19:D19"/>
    <mergeCell ref="E19:F19"/>
    <mergeCell ref="G19:H19"/>
  </mergeCells>
  <conditionalFormatting sqref="H35:H36">
    <cfRule type="containsText" dxfId="52" priority="132" operator="containsText" text="fail">
      <formula>NOT(ISERROR(SEARCH("fail",H35)))</formula>
    </cfRule>
    <cfRule type="containsText" dxfId="51" priority="133" operator="containsText" text="Pass">
      <formula>NOT(ISERROR(SEARCH("Pass",H35)))</formula>
    </cfRule>
    <cfRule type="containsText" dxfId="50" priority="134" operator="containsText" text="Fail">
      <formula>NOT(ISERROR(SEARCH("Fail",H35)))</formula>
    </cfRule>
  </conditionalFormatting>
  <conditionalFormatting sqref="H34:H36">
    <cfRule type="colorScale" priority="130">
      <colorScale>
        <cfvo type="formula" val="&quot;Pass&quot;"/>
        <cfvo type="formula" val="&quot;Fail&quot;"/>
        <color rgb="FF00B050"/>
        <color rgb="FFFF0000"/>
      </colorScale>
    </cfRule>
    <cfRule type="colorScale" priority="131">
      <colorScale>
        <cfvo type="min"/>
        <cfvo type="percentile" val="50"/>
        <cfvo type="max"/>
        <color rgb="FFF8696B"/>
        <color rgb="FFFFEB84"/>
        <color rgb="FF63BE7B"/>
      </colorScale>
    </cfRule>
  </conditionalFormatting>
  <conditionalFormatting sqref="H34:H36">
    <cfRule type="containsText" dxfId="49" priority="127" operator="containsText" text="fail">
      <formula>NOT(ISERROR(SEARCH("fail",H34)))</formula>
    </cfRule>
    <cfRule type="containsText" dxfId="48" priority="128" operator="containsText" text="Pass">
      <formula>NOT(ISERROR(SEARCH("Pass",H34)))</formula>
    </cfRule>
    <cfRule type="containsText" dxfId="47" priority="129" operator="containsText" text="Fail">
      <formula>NOT(ISERROR(SEARCH("Fail",H34)))</formula>
    </cfRule>
  </conditionalFormatting>
  <conditionalFormatting sqref="H34:H36">
    <cfRule type="colorScale" priority="125">
      <colorScale>
        <cfvo type="formula" val="&quot;Pass&quot;"/>
        <cfvo type="formula" val="&quot;Fail&quot;"/>
        <color rgb="FF00B050"/>
        <color rgb="FFFF0000"/>
      </colorScale>
    </cfRule>
    <cfRule type="colorScale" priority="126">
      <colorScale>
        <cfvo type="min"/>
        <cfvo type="percentile" val="50"/>
        <cfvo type="max"/>
        <color rgb="FFF8696B"/>
        <color rgb="FFFFEB84"/>
        <color rgb="FF63BE7B"/>
      </colorScale>
    </cfRule>
  </conditionalFormatting>
  <conditionalFormatting sqref="H34:H36">
    <cfRule type="colorScale" priority="123">
      <colorScale>
        <cfvo type="formula" val="&quot;Pass&quot;"/>
        <cfvo type="formula" val="&quot;Fail&quot;"/>
        <color rgb="FF00B050"/>
        <color rgb="FFFF0000"/>
      </colorScale>
    </cfRule>
    <cfRule type="colorScale" priority="124">
      <colorScale>
        <cfvo type="min"/>
        <cfvo type="percentile" val="50"/>
        <cfvo type="max"/>
        <color rgb="FFF8696B"/>
        <color rgb="FFFFEB84"/>
        <color rgb="FF63BE7B"/>
      </colorScale>
    </cfRule>
  </conditionalFormatting>
  <conditionalFormatting sqref="H34:H36">
    <cfRule type="colorScale" priority="121">
      <colorScale>
        <cfvo type="formula" val="&quot;Pass&quot;"/>
        <cfvo type="formula" val="&quot;Fail&quot;"/>
        <color rgb="FF00B050"/>
        <color rgb="FFFF0000"/>
      </colorScale>
    </cfRule>
    <cfRule type="colorScale" priority="122">
      <colorScale>
        <cfvo type="min"/>
        <cfvo type="percentile" val="50"/>
        <cfvo type="max"/>
        <color rgb="FFF8696B"/>
        <color rgb="FFFFEB84"/>
        <color rgb="FF63BE7B"/>
      </colorScale>
    </cfRule>
  </conditionalFormatting>
  <conditionalFormatting sqref="H34:H36">
    <cfRule type="colorScale" priority="119">
      <colorScale>
        <cfvo type="formula" val="&quot;Pass&quot;"/>
        <cfvo type="formula" val="&quot;Fail&quot;"/>
        <color rgb="FF00B050"/>
        <color rgb="FFFF0000"/>
      </colorScale>
    </cfRule>
    <cfRule type="colorScale" priority="120">
      <colorScale>
        <cfvo type="min"/>
        <cfvo type="percentile" val="50"/>
        <cfvo type="max"/>
        <color rgb="FFF8696B"/>
        <color rgb="FFFFEB84"/>
        <color rgb="FF63BE7B"/>
      </colorScale>
    </cfRule>
  </conditionalFormatting>
  <conditionalFormatting sqref="H34:H36">
    <cfRule type="colorScale" priority="117">
      <colorScale>
        <cfvo type="formula" val="&quot;Pass&quot;"/>
        <cfvo type="formula" val="&quot;Fail&quot;"/>
        <color rgb="FF00B050"/>
        <color rgb="FFFF0000"/>
      </colorScale>
    </cfRule>
    <cfRule type="colorScale" priority="118">
      <colorScale>
        <cfvo type="min"/>
        <cfvo type="percentile" val="50"/>
        <cfvo type="max"/>
        <color rgb="FFF8696B"/>
        <color rgb="FFFFEB84"/>
        <color rgb="FF63BE7B"/>
      </colorScale>
    </cfRule>
  </conditionalFormatting>
  <conditionalFormatting sqref="H34:H36">
    <cfRule type="colorScale" priority="115">
      <colorScale>
        <cfvo type="formula" val="&quot;Pass&quot;"/>
        <cfvo type="formula" val="&quot;Fail&quot;"/>
        <color rgb="FF00B050"/>
        <color rgb="FFFF0000"/>
      </colorScale>
    </cfRule>
    <cfRule type="colorScale" priority="116">
      <colorScale>
        <cfvo type="min"/>
        <cfvo type="percentile" val="50"/>
        <cfvo type="max"/>
        <color rgb="FFF8696B"/>
        <color rgb="FFFFEB84"/>
        <color rgb="FF63BE7B"/>
      </colorScale>
    </cfRule>
  </conditionalFormatting>
  <conditionalFormatting sqref="H34:H36">
    <cfRule type="colorScale" priority="113">
      <colorScale>
        <cfvo type="formula" val="&quot;Pass&quot;"/>
        <cfvo type="formula" val="&quot;Fail&quot;"/>
        <color rgb="FF00B050"/>
        <color rgb="FFFF0000"/>
      </colorScale>
    </cfRule>
    <cfRule type="colorScale" priority="114">
      <colorScale>
        <cfvo type="min"/>
        <cfvo type="percentile" val="50"/>
        <cfvo type="max"/>
        <color rgb="FFF8696B"/>
        <color rgb="FFFFEB84"/>
        <color rgb="FF63BE7B"/>
      </colorScale>
    </cfRule>
  </conditionalFormatting>
  <conditionalFormatting sqref="H34:H36">
    <cfRule type="colorScale" priority="111">
      <colorScale>
        <cfvo type="formula" val="&quot;Pass&quot;"/>
        <cfvo type="formula" val="&quot;Fail&quot;"/>
        <color rgb="FF00B050"/>
        <color rgb="FFFF0000"/>
      </colorScale>
    </cfRule>
    <cfRule type="colorScale" priority="112">
      <colorScale>
        <cfvo type="min"/>
        <cfvo type="percentile" val="50"/>
        <cfvo type="max"/>
        <color rgb="FFF8696B"/>
        <color rgb="FFFFEB84"/>
        <color rgb="FF63BE7B"/>
      </colorScale>
    </cfRule>
  </conditionalFormatting>
  <conditionalFormatting sqref="H34:H36">
    <cfRule type="colorScale" priority="109">
      <colorScale>
        <cfvo type="formula" val="&quot;Pass&quot;"/>
        <cfvo type="formula" val="&quot;Fail&quot;"/>
        <color rgb="FF00B050"/>
        <color rgb="FFFF0000"/>
      </colorScale>
    </cfRule>
    <cfRule type="colorScale" priority="110">
      <colorScale>
        <cfvo type="min"/>
        <cfvo type="percentile" val="50"/>
        <cfvo type="max"/>
        <color rgb="FFF8696B"/>
        <color rgb="FFFFEB84"/>
        <color rgb="FF63BE7B"/>
      </colorScale>
    </cfRule>
  </conditionalFormatting>
  <conditionalFormatting sqref="H34:H36">
    <cfRule type="colorScale" priority="107">
      <colorScale>
        <cfvo type="formula" val="&quot;Pass&quot;"/>
        <cfvo type="formula" val="&quot;Fail&quot;"/>
        <color rgb="FF00B050"/>
        <color rgb="FFFF0000"/>
      </colorScale>
    </cfRule>
    <cfRule type="colorScale" priority="108">
      <colorScale>
        <cfvo type="min"/>
        <cfvo type="percentile" val="50"/>
        <cfvo type="max"/>
        <color rgb="FFF8696B"/>
        <color rgb="FFFFEB84"/>
        <color rgb="FF63BE7B"/>
      </colorScale>
    </cfRule>
  </conditionalFormatting>
  <conditionalFormatting sqref="H34:H36">
    <cfRule type="colorScale" priority="105">
      <colorScale>
        <cfvo type="formula" val="&quot;Pass&quot;"/>
        <cfvo type="formula" val="&quot;Fail&quot;"/>
        <color rgb="FF00B050"/>
        <color rgb="FFFF0000"/>
      </colorScale>
    </cfRule>
    <cfRule type="colorScale" priority="106">
      <colorScale>
        <cfvo type="min"/>
        <cfvo type="percentile" val="50"/>
        <cfvo type="max"/>
        <color rgb="FFF8696B"/>
        <color rgb="FFFFEB84"/>
        <color rgb="FF63BE7B"/>
      </colorScale>
    </cfRule>
  </conditionalFormatting>
  <conditionalFormatting sqref="H34:H36">
    <cfRule type="colorScale" priority="103">
      <colorScale>
        <cfvo type="formula" val="&quot;Pass&quot;"/>
        <cfvo type="formula" val="&quot;Fail&quot;"/>
        <color rgb="FF00B050"/>
        <color rgb="FFFF0000"/>
      </colorScale>
    </cfRule>
    <cfRule type="colorScale" priority="104">
      <colorScale>
        <cfvo type="min"/>
        <cfvo type="percentile" val="50"/>
        <cfvo type="max"/>
        <color rgb="FFF8696B"/>
        <color rgb="FFFFEB84"/>
        <color rgb="FF63BE7B"/>
      </colorScale>
    </cfRule>
  </conditionalFormatting>
  <conditionalFormatting sqref="H34:H36">
    <cfRule type="colorScale" priority="101">
      <colorScale>
        <cfvo type="formula" val="&quot;Pass&quot;"/>
        <cfvo type="formula" val="&quot;Fail&quot;"/>
        <color rgb="FF00B050"/>
        <color rgb="FFFF0000"/>
      </colorScale>
    </cfRule>
    <cfRule type="colorScale" priority="102">
      <colorScale>
        <cfvo type="min"/>
        <cfvo type="percentile" val="50"/>
        <cfvo type="max"/>
        <color rgb="FFF8696B"/>
        <color rgb="FFFFEB84"/>
        <color rgb="FF63BE7B"/>
      </colorScale>
    </cfRule>
  </conditionalFormatting>
  <conditionalFormatting sqref="H34:H36">
    <cfRule type="colorScale" priority="99">
      <colorScale>
        <cfvo type="formula" val="&quot;Pass&quot;"/>
        <cfvo type="formula" val="&quot;Fail&quot;"/>
        <color rgb="FF00B050"/>
        <color rgb="FFFF0000"/>
      </colorScale>
    </cfRule>
    <cfRule type="colorScale" priority="100">
      <colorScale>
        <cfvo type="min"/>
        <cfvo type="percentile" val="50"/>
        <cfvo type="max"/>
        <color rgb="FFF8696B"/>
        <color rgb="FFFFEB84"/>
        <color rgb="FF63BE7B"/>
      </colorScale>
    </cfRule>
  </conditionalFormatting>
  <conditionalFormatting sqref="H34:H36">
    <cfRule type="colorScale" priority="97">
      <colorScale>
        <cfvo type="formula" val="&quot;Pass&quot;"/>
        <cfvo type="formula" val="&quot;Fail&quot;"/>
        <color rgb="FF00B050"/>
        <color rgb="FFFF0000"/>
      </colorScale>
    </cfRule>
    <cfRule type="colorScale" priority="98">
      <colorScale>
        <cfvo type="min"/>
        <cfvo type="percentile" val="50"/>
        <cfvo type="max"/>
        <color rgb="FFF8696B"/>
        <color rgb="FFFFEB84"/>
        <color rgb="FF63BE7B"/>
      </colorScale>
    </cfRule>
  </conditionalFormatting>
  <conditionalFormatting sqref="H34:H36">
    <cfRule type="colorScale" priority="95">
      <colorScale>
        <cfvo type="formula" val="&quot;Pass&quot;"/>
        <cfvo type="formula" val="&quot;Fail&quot;"/>
        <color rgb="FF00B050"/>
        <color rgb="FFFF0000"/>
      </colorScale>
    </cfRule>
    <cfRule type="colorScale" priority="96">
      <colorScale>
        <cfvo type="min"/>
        <cfvo type="percentile" val="50"/>
        <cfvo type="max"/>
        <color rgb="FFF8696B"/>
        <color rgb="FFFFEB84"/>
        <color rgb="FF63BE7B"/>
      </colorScale>
    </cfRule>
  </conditionalFormatting>
  <conditionalFormatting sqref="H34:H36">
    <cfRule type="colorScale" priority="93">
      <colorScale>
        <cfvo type="formula" val="&quot;Pass&quot;"/>
        <cfvo type="formula" val="&quot;Fail&quot;"/>
        <color rgb="FF00B050"/>
        <color rgb="FFFF0000"/>
      </colorScale>
    </cfRule>
    <cfRule type="colorScale" priority="94">
      <colorScale>
        <cfvo type="min"/>
        <cfvo type="percentile" val="50"/>
        <cfvo type="max"/>
        <color rgb="FFF8696B"/>
        <color rgb="FFFFEB84"/>
        <color rgb="FF63BE7B"/>
      </colorScale>
    </cfRule>
  </conditionalFormatting>
  <conditionalFormatting sqref="H34:H36">
    <cfRule type="colorScale" priority="91">
      <colorScale>
        <cfvo type="formula" val="&quot;Pass&quot;"/>
        <cfvo type="formula" val="&quot;Fail&quot;"/>
        <color rgb="FF00B050"/>
        <color rgb="FFFF0000"/>
      </colorScale>
    </cfRule>
    <cfRule type="colorScale" priority="92">
      <colorScale>
        <cfvo type="min"/>
        <cfvo type="percentile" val="50"/>
        <cfvo type="max"/>
        <color rgb="FFF8696B"/>
        <color rgb="FFFFEB84"/>
        <color rgb="FF63BE7B"/>
      </colorScale>
    </cfRule>
  </conditionalFormatting>
  <conditionalFormatting sqref="H34:H36">
    <cfRule type="colorScale" priority="89">
      <colorScale>
        <cfvo type="formula" val="&quot;Pass&quot;"/>
        <cfvo type="formula" val="&quot;Fail&quot;"/>
        <color rgb="FF00B050"/>
        <color rgb="FFFF0000"/>
      </colorScale>
    </cfRule>
    <cfRule type="colorScale" priority="90">
      <colorScale>
        <cfvo type="min"/>
        <cfvo type="percentile" val="50"/>
        <cfvo type="max"/>
        <color rgb="FFF8696B"/>
        <color rgb="FFFFEB84"/>
        <color rgb="FF63BE7B"/>
      </colorScale>
    </cfRule>
  </conditionalFormatting>
  <conditionalFormatting sqref="H34:H36">
    <cfRule type="colorScale" priority="87">
      <colorScale>
        <cfvo type="formula" val="&quot;Pass&quot;"/>
        <cfvo type="formula" val="&quot;Fail&quot;"/>
        <color rgb="FF00B050"/>
        <color rgb="FFFF0000"/>
      </colorScale>
    </cfRule>
    <cfRule type="colorScale" priority="88">
      <colorScale>
        <cfvo type="min"/>
        <cfvo type="percentile" val="50"/>
        <cfvo type="max"/>
        <color rgb="FFF8696B"/>
        <color rgb="FFFFEB84"/>
        <color rgb="FF63BE7B"/>
      </colorScale>
    </cfRule>
  </conditionalFormatting>
  <conditionalFormatting sqref="H34:H36">
    <cfRule type="colorScale" priority="85">
      <colorScale>
        <cfvo type="formula" val="&quot;Pass&quot;"/>
        <cfvo type="formula" val="&quot;Fail&quot;"/>
        <color rgb="FF00B050"/>
        <color rgb="FFFF0000"/>
      </colorScale>
    </cfRule>
    <cfRule type="colorScale" priority="86">
      <colorScale>
        <cfvo type="min"/>
        <cfvo type="percentile" val="50"/>
        <cfvo type="max"/>
        <color rgb="FFF8696B"/>
        <color rgb="FFFFEB84"/>
        <color rgb="FF63BE7B"/>
      </colorScale>
    </cfRule>
  </conditionalFormatting>
  <conditionalFormatting sqref="H34:H36">
    <cfRule type="colorScale" priority="83">
      <colorScale>
        <cfvo type="formula" val="&quot;Pass&quot;"/>
        <cfvo type="formula" val="&quot;Fail&quot;"/>
        <color rgb="FF00B050"/>
        <color rgb="FFFF0000"/>
      </colorScale>
    </cfRule>
    <cfRule type="colorScale" priority="84">
      <colorScale>
        <cfvo type="min"/>
        <cfvo type="percentile" val="50"/>
        <cfvo type="max"/>
        <color rgb="FFF8696B"/>
        <color rgb="FFFFEB84"/>
        <color rgb="FF63BE7B"/>
      </colorScale>
    </cfRule>
  </conditionalFormatting>
  <conditionalFormatting sqref="H34:H36">
    <cfRule type="colorScale" priority="81">
      <colorScale>
        <cfvo type="formula" val="&quot;Pass&quot;"/>
        <cfvo type="formula" val="&quot;Fail&quot;"/>
        <color rgb="FF00B050"/>
        <color rgb="FFFF0000"/>
      </colorScale>
    </cfRule>
    <cfRule type="colorScale" priority="82">
      <colorScale>
        <cfvo type="min"/>
        <cfvo type="percentile" val="50"/>
        <cfvo type="max"/>
        <color rgb="FFF8696B"/>
        <color rgb="FFFFEB84"/>
        <color rgb="FF63BE7B"/>
      </colorScale>
    </cfRule>
  </conditionalFormatting>
  <conditionalFormatting sqref="H34:H36">
    <cfRule type="colorScale" priority="79">
      <colorScale>
        <cfvo type="formula" val="&quot;Pass&quot;"/>
        <cfvo type="formula" val="&quot;Fail&quot;"/>
        <color rgb="FF00B050"/>
        <color rgb="FFFF0000"/>
      </colorScale>
    </cfRule>
    <cfRule type="colorScale" priority="80">
      <colorScale>
        <cfvo type="min"/>
        <cfvo type="percentile" val="50"/>
        <cfvo type="max"/>
        <color rgb="FFF8696B"/>
        <color rgb="FFFFEB84"/>
        <color rgb="FF63BE7B"/>
      </colorScale>
    </cfRule>
  </conditionalFormatting>
  <conditionalFormatting sqref="H34:H36">
    <cfRule type="colorScale" priority="77">
      <colorScale>
        <cfvo type="formula" val="&quot;Pass&quot;"/>
        <cfvo type="formula" val="&quot;Fail&quot;"/>
        <color rgb="FF00B050"/>
        <color rgb="FFFF0000"/>
      </colorScale>
    </cfRule>
    <cfRule type="colorScale" priority="78">
      <colorScale>
        <cfvo type="min"/>
        <cfvo type="percentile" val="50"/>
        <cfvo type="max"/>
        <color rgb="FFF8696B"/>
        <color rgb="FFFFEB84"/>
        <color rgb="FF63BE7B"/>
      </colorScale>
    </cfRule>
  </conditionalFormatting>
  <conditionalFormatting sqref="H34:H36">
    <cfRule type="colorScale" priority="75">
      <colorScale>
        <cfvo type="formula" val="&quot;Pass&quot;"/>
        <cfvo type="formula" val="&quot;Fail&quot;"/>
        <color rgb="FF00B050"/>
        <color rgb="FFFF0000"/>
      </colorScale>
    </cfRule>
    <cfRule type="colorScale" priority="76">
      <colorScale>
        <cfvo type="min"/>
        <cfvo type="percentile" val="50"/>
        <cfvo type="max"/>
        <color rgb="FFF8696B"/>
        <color rgb="FFFFEB84"/>
        <color rgb="FF63BE7B"/>
      </colorScale>
    </cfRule>
  </conditionalFormatting>
  <conditionalFormatting sqref="H34:H36">
    <cfRule type="colorScale" priority="73">
      <colorScale>
        <cfvo type="formula" val="&quot;Pass&quot;"/>
        <cfvo type="formula" val="&quot;Fail&quot;"/>
        <color rgb="FF00B050"/>
        <color rgb="FFFF0000"/>
      </colorScale>
    </cfRule>
    <cfRule type="colorScale" priority="74">
      <colorScale>
        <cfvo type="min"/>
        <cfvo type="percentile" val="50"/>
        <cfvo type="max"/>
        <color rgb="FFF8696B"/>
        <color rgb="FFFFEB84"/>
        <color rgb="FF63BE7B"/>
      </colorScale>
    </cfRule>
  </conditionalFormatting>
  <conditionalFormatting sqref="H34:H36">
    <cfRule type="colorScale" priority="71">
      <colorScale>
        <cfvo type="formula" val="&quot;Pass&quot;"/>
        <cfvo type="formula" val="&quot;Fail&quot;"/>
        <color rgb="FF00B050"/>
        <color rgb="FFFF0000"/>
      </colorScale>
    </cfRule>
    <cfRule type="colorScale" priority="72">
      <colorScale>
        <cfvo type="min"/>
        <cfvo type="percentile" val="50"/>
        <cfvo type="max"/>
        <color rgb="FFF8696B"/>
        <color rgb="FFFFEB84"/>
        <color rgb="FF63BE7B"/>
      </colorScale>
    </cfRule>
  </conditionalFormatting>
  <conditionalFormatting sqref="H34:H36">
    <cfRule type="containsText" dxfId="46" priority="68" operator="containsText" text="fail">
      <formula>NOT(ISERROR(SEARCH("fail",H34)))</formula>
    </cfRule>
    <cfRule type="containsText" dxfId="45" priority="69" operator="containsText" text="Pass">
      <formula>NOT(ISERROR(SEARCH("Pass",H34)))</formula>
    </cfRule>
    <cfRule type="containsText" dxfId="44" priority="70" operator="containsText" text="Fail">
      <formula>NOT(ISERROR(SEARCH("Fail",H34)))</formula>
    </cfRule>
  </conditionalFormatting>
  <conditionalFormatting sqref="H38:H39">
    <cfRule type="containsText" dxfId="43" priority="65" operator="containsText" text="fail">
      <formula>NOT(ISERROR(SEARCH("fail",H38)))</formula>
    </cfRule>
    <cfRule type="containsText" dxfId="42" priority="66" operator="containsText" text="Pass">
      <formula>NOT(ISERROR(SEARCH("Pass",H38)))</formula>
    </cfRule>
    <cfRule type="containsText" dxfId="41" priority="67" operator="containsText" text="Fail">
      <formula>NOT(ISERROR(SEARCH("Fail",H38)))</formula>
    </cfRule>
  </conditionalFormatting>
  <conditionalFormatting sqref="H37:H39">
    <cfRule type="colorScale" priority="63">
      <colorScale>
        <cfvo type="formula" val="&quot;Pass&quot;"/>
        <cfvo type="formula" val="&quot;Fail&quot;"/>
        <color rgb="FF00B050"/>
        <color rgb="FFFF0000"/>
      </colorScale>
    </cfRule>
    <cfRule type="colorScale" priority="64">
      <colorScale>
        <cfvo type="min"/>
        <cfvo type="percentile" val="50"/>
        <cfvo type="max"/>
        <color rgb="FFF8696B"/>
        <color rgb="FFFFEB84"/>
        <color rgb="FF63BE7B"/>
      </colorScale>
    </cfRule>
  </conditionalFormatting>
  <conditionalFormatting sqref="H37:H39">
    <cfRule type="containsText" dxfId="40" priority="60" operator="containsText" text="fail">
      <formula>NOT(ISERROR(SEARCH("fail",H37)))</formula>
    </cfRule>
    <cfRule type="containsText" dxfId="39" priority="61" operator="containsText" text="Pass">
      <formula>NOT(ISERROR(SEARCH("Pass",H37)))</formula>
    </cfRule>
    <cfRule type="containsText" dxfId="38" priority="62" operator="containsText" text="Fail">
      <formula>NOT(ISERROR(SEARCH("Fail",H37)))</formula>
    </cfRule>
  </conditionalFormatting>
  <conditionalFormatting sqref="H37:H39">
    <cfRule type="colorScale" priority="58">
      <colorScale>
        <cfvo type="formula" val="&quot;Pass&quot;"/>
        <cfvo type="formula" val="&quot;Fail&quot;"/>
        <color rgb="FF00B050"/>
        <color rgb="FFFF0000"/>
      </colorScale>
    </cfRule>
    <cfRule type="colorScale" priority="59">
      <colorScale>
        <cfvo type="min"/>
        <cfvo type="percentile" val="50"/>
        <cfvo type="max"/>
        <color rgb="FFF8696B"/>
        <color rgb="FFFFEB84"/>
        <color rgb="FF63BE7B"/>
      </colorScale>
    </cfRule>
  </conditionalFormatting>
  <conditionalFormatting sqref="H37:H39">
    <cfRule type="colorScale" priority="56">
      <colorScale>
        <cfvo type="formula" val="&quot;Pass&quot;"/>
        <cfvo type="formula" val="&quot;Fail&quot;"/>
        <color rgb="FF00B050"/>
        <color rgb="FFFF0000"/>
      </colorScale>
    </cfRule>
    <cfRule type="colorScale" priority="57">
      <colorScale>
        <cfvo type="min"/>
        <cfvo type="percentile" val="50"/>
        <cfvo type="max"/>
        <color rgb="FFF8696B"/>
        <color rgb="FFFFEB84"/>
        <color rgb="FF63BE7B"/>
      </colorScale>
    </cfRule>
  </conditionalFormatting>
  <conditionalFormatting sqref="H37:H39">
    <cfRule type="colorScale" priority="54">
      <colorScale>
        <cfvo type="formula" val="&quot;Pass&quot;"/>
        <cfvo type="formula" val="&quot;Fail&quot;"/>
        <color rgb="FF00B050"/>
        <color rgb="FFFF0000"/>
      </colorScale>
    </cfRule>
    <cfRule type="colorScale" priority="55">
      <colorScale>
        <cfvo type="min"/>
        <cfvo type="percentile" val="50"/>
        <cfvo type="max"/>
        <color rgb="FFF8696B"/>
        <color rgb="FFFFEB84"/>
        <color rgb="FF63BE7B"/>
      </colorScale>
    </cfRule>
  </conditionalFormatting>
  <conditionalFormatting sqref="H37:H39">
    <cfRule type="colorScale" priority="52">
      <colorScale>
        <cfvo type="formula" val="&quot;Pass&quot;"/>
        <cfvo type="formula" val="&quot;Fail&quot;"/>
        <color rgb="FF00B050"/>
        <color rgb="FFFF0000"/>
      </colorScale>
    </cfRule>
    <cfRule type="colorScale" priority="53">
      <colorScale>
        <cfvo type="min"/>
        <cfvo type="percentile" val="50"/>
        <cfvo type="max"/>
        <color rgb="FFF8696B"/>
        <color rgb="FFFFEB84"/>
        <color rgb="FF63BE7B"/>
      </colorScale>
    </cfRule>
  </conditionalFormatting>
  <conditionalFormatting sqref="H37:H39">
    <cfRule type="colorScale" priority="50">
      <colorScale>
        <cfvo type="formula" val="&quot;Pass&quot;"/>
        <cfvo type="formula" val="&quot;Fail&quot;"/>
        <color rgb="FF00B050"/>
        <color rgb="FFFF0000"/>
      </colorScale>
    </cfRule>
    <cfRule type="colorScale" priority="51">
      <colorScale>
        <cfvo type="min"/>
        <cfvo type="percentile" val="50"/>
        <cfvo type="max"/>
        <color rgb="FFF8696B"/>
        <color rgb="FFFFEB84"/>
        <color rgb="FF63BE7B"/>
      </colorScale>
    </cfRule>
  </conditionalFormatting>
  <conditionalFormatting sqref="H37:H39">
    <cfRule type="colorScale" priority="48">
      <colorScale>
        <cfvo type="formula" val="&quot;Pass&quot;"/>
        <cfvo type="formula" val="&quot;Fail&quot;"/>
        <color rgb="FF00B050"/>
        <color rgb="FFFF0000"/>
      </colorScale>
    </cfRule>
    <cfRule type="colorScale" priority="49">
      <colorScale>
        <cfvo type="min"/>
        <cfvo type="percentile" val="50"/>
        <cfvo type="max"/>
        <color rgb="FFF8696B"/>
        <color rgb="FFFFEB84"/>
        <color rgb="FF63BE7B"/>
      </colorScale>
    </cfRule>
  </conditionalFormatting>
  <conditionalFormatting sqref="H37:H39">
    <cfRule type="colorScale" priority="46">
      <colorScale>
        <cfvo type="formula" val="&quot;Pass&quot;"/>
        <cfvo type="formula" val="&quot;Fail&quot;"/>
        <color rgb="FF00B050"/>
        <color rgb="FFFF0000"/>
      </colorScale>
    </cfRule>
    <cfRule type="colorScale" priority="47">
      <colorScale>
        <cfvo type="min"/>
        <cfvo type="percentile" val="50"/>
        <cfvo type="max"/>
        <color rgb="FFF8696B"/>
        <color rgb="FFFFEB84"/>
        <color rgb="FF63BE7B"/>
      </colorScale>
    </cfRule>
  </conditionalFormatting>
  <conditionalFormatting sqref="H37:H39">
    <cfRule type="colorScale" priority="44">
      <colorScale>
        <cfvo type="formula" val="&quot;Pass&quot;"/>
        <cfvo type="formula" val="&quot;Fail&quot;"/>
        <color rgb="FF00B050"/>
        <color rgb="FFFF0000"/>
      </colorScale>
    </cfRule>
    <cfRule type="colorScale" priority="45">
      <colorScale>
        <cfvo type="min"/>
        <cfvo type="percentile" val="50"/>
        <cfvo type="max"/>
        <color rgb="FFF8696B"/>
        <color rgb="FFFFEB84"/>
        <color rgb="FF63BE7B"/>
      </colorScale>
    </cfRule>
  </conditionalFormatting>
  <conditionalFormatting sqref="H37:H39">
    <cfRule type="colorScale" priority="42">
      <colorScale>
        <cfvo type="formula" val="&quot;Pass&quot;"/>
        <cfvo type="formula" val="&quot;Fail&quot;"/>
        <color rgb="FF00B050"/>
        <color rgb="FFFF0000"/>
      </colorScale>
    </cfRule>
    <cfRule type="colorScale" priority="43">
      <colorScale>
        <cfvo type="min"/>
        <cfvo type="percentile" val="50"/>
        <cfvo type="max"/>
        <color rgb="FFF8696B"/>
        <color rgb="FFFFEB84"/>
        <color rgb="FF63BE7B"/>
      </colorScale>
    </cfRule>
  </conditionalFormatting>
  <conditionalFormatting sqref="H37:H39">
    <cfRule type="colorScale" priority="40">
      <colorScale>
        <cfvo type="formula" val="&quot;Pass&quot;"/>
        <cfvo type="formula" val="&quot;Fail&quot;"/>
        <color rgb="FF00B050"/>
        <color rgb="FFFF0000"/>
      </colorScale>
    </cfRule>
    <cfRule type="colorScale" priority="41">
      <colorScale>
        <cfvo type="min"/>
        <cfvo type="percentile" val="50"/>
        <cfvo type="max"/>
        <color rgb="FFF8696B"/>
        <color rgb="FFFFEB84"/>
        <color rgb="FF63BE7B"/>
      </colorScale>
    </cfRule>
  </conditionalFormatting>
  <conditionalFormatting sqref="H37:H39">
    <cfRule type="colorScale" priority="38">
      <colorScale>
        <cfvo type="formula" val="&quot;Pass&quot;"/>
        <cfvo type="formula" val="&quot;Fail&quot;"/>
        <color rgb="FF00B050"/>
        <color rgb="FFFF0000"/>
      </colorScale>
    </cfRule>
    <cfRule type="colorScale" priority="39">
      <colorScale>
        <cfvo type="min"/>
        <cfvo type="percentile" val="50"/>
        <cfvo type="max"/>
        <color rgb="FFF8696B"/>
        <color rgb="FFFFEB84"/>
        <color rgb="FF63BE7B"/>
      </colorScale>
    </cfRule>
  </conditionalFormatting>
  <conditionalFormatting sqref="H37:H39">
    <cfRule type="colorScale" priority="36">
      <colorScale>
        <cfvo type="formula" val="&quot;Pass&quot;"/>
        <cfvo type="formula" val="&quot;Fail&quot;"/>
        <color rgb="FF00B050"/>
        <color rgb="FFFF0000"/>
      </colorScale>
    </cfRule>
    <cfRule type="colorScale" priority="37">
      <colorScale>
        <cfvo type="min"/>
        <cfvo type="percentile" val="50"/>
        <cfvo type="max"/>
        <color rgb="FFF8696B"/>
        <color rgb="FFFFEB84"/>
        <color rgb="FF63BE7B"/>
      </colorScale>
    </cfRule>
  </conditionalFormatting>
  <conditionalFormatting sqref="H37:H39">
    <cfRule type="colorScale" priority="34">
      <colorScale>
        <cfvo type="formula" val="&quot;Pass&quot;"/>
        <cfvo type="formula" val="&quot;Fail&quot;"/>
        <color rgb="FF00B050"/>
        <color rgb="FFFF0000"/>
      </colorScale>
    </cfRule>
    <cfRule type="colorScale" priority="35">
      <colorScale>
        <cfvo type="min"/>
        <cfvo type="percentile" val="50"/>
        <cfvo type="max"/>
        <color rgb="FFF8696B"/>
        <color rgb="FFFFEB84"/>
        <color rgb="FF63BE7B"/>
      </colorScale>
    </cfRule>
  </conditionalFormatting>
  <conditionalFormatting sqref="H37:H39">
    <cfRule type="colorScale" priority="32">
      <colorScale>
        <cfvo type="formula" val="&quot;Pass&quot;"/>
        <cfvo type="formula" val="&quot;Fail&quot;"/>
        <color rgb="FF00B050"/>
        <color rgb="FFFF0000"/>
      </colorScale>
    </cfRule>
    <cfRule type="colorScale" priority="33">
      <colorScale>
        <cfvo type="min"/>
        <cfvo type="percentile" val="50"/>
        <cfvo type="max"/>
        <color rgb="FFF8696B"/>
        <color rgb="FFFFEB84"/>
        <color rgb="FF63BE7B"/>
      </colorScale>
    </cfRule>
  </conditionalFormatting>
  <conditionalFormatting sqref="H37:H39">
    <cfRule type="colorScale" priority="30">
      <colorScale>
        <cfvo type="formula" val="&quot;Pass&quot;"/>
        <cfvo type="formula" val="&quot;Fail&quot;"/>
        <color rgb="FF00B050"/>
        <color rgb="FFFF0000"/>
      </colorScale>
    </cfRule>
    <cfRule type="colorScale" priority="31">
      <colorScale>
        <cfvo type="min"/>
        <cfvo type="percentile" val="50"/>
        <cfvo type="max"/>
        <color rgb="FFF8696B"/>
        <color rgb="FFFFEB84"/>
        <color rgb="FF63BE7B"/>
      </colorScale>
    </cfRule>
  </conditionalFormatting>
  <conditionalFormatting sqref="H37:H39">
    <cfRule type="colorScale" priority="28">
      <colorScale>
        <cfvo type="formula" val="&quot;Pass&quot;"/>
        <cfvo type="formula" val="&quot;Fail&quot;"/>
        <color rgb="FF00B050"/>
        <color rgb="FFFF0000"/>
      </colorScale>
    </cfRule>
    <cfRule type="colorScale" priority="29">
      <colorScale>
        <cfvo type="min"/>
        <cfvo type="percentile" val="50"/>
        <cfvo type="max"/>
        <color rgb="FFF8696B"/>
        <color rgb="FFFFEB84"/>
        <color rgb="FF63BE7B"/>
      </colorScale>
    </cfRule>
  </conditionalFormatting>
  <conditionalFormatting sqref="H37:H39">
    <cfRule type="colorScale" priority="26">
      <colorScale>
        <cfvo type="formula" val="&quot;Pass&quot;"/>
        <cfvo type="formula" val="&quot;Fail&quot;"/>
        <color rgb="FF00B050"/>
        <color rgb="FFFF0000"/>
      </colorScale>
    </cfRule>
    <cfRule type="colorScale" priority="27">
      <colorScale>
        <cfvo type="min"/>
        <cfvo type="percentile" val="50"/>
        <cfvo type="max"/>
        <color rgb="FFF8696B"/>
        <color rgb="FFFFEB84"/>
        <color rgb="FF63BE7B"/>
      </colorScale>
    </cfRule>
  </conditionalFormatting>
  <conditionalFormatting sqref="H37:H39">
    <cfRule type="colorScale" priority="24">
      <colorScale>
        <cfvo type="formula" val="&quot;Pass&quot;"/>
        <cfvo type="formula" val="&quot;Fail&quot;"/>
        <color rgb="FF00B050"/>
        <color rgb="FFFF0000"/>
      </colorScale>
    </cfRule>
    <cfRule type="colorScale" priority="25">
      <colorScale>
        <cfvo type="min"/>
        <cfvo type="percentile" val="50"/>
        <cfvo type="max"/>
        <color rgb="FFF8696B"/>
        <color rgb="FFFFEB84"/>
        <color rgb="FF63BE7B"/>
      </colorScale>
    </cfRule>
  </conditionalFormatting>
  <conditionalFormatting sqref="H37:H39">
    <cfRule type="colorScale" priority="22">
      <colorScale>
        <cfvo type="formula" val="&quot;Pass&quot;"/>
        <cfvo type="formula" val="&quot;Fail&quot;"/>
        <color rgb="FF00B050"/>
        <color rgb="FFFF0000"/>
      </colorScale>
    </cfRule>
    <cfRule type="colorScale" priority="23">
      <colorScale>
        <cfvo type="min"/>
        <cfvo type="percentile" val="50"/>
        <cfvo type="max"/>
        <color rgb="FFF8696B"/>
        <color rgb="FFFFEB84"/>
        <color rgb="FF63BE7B"/>
      </colorScale>
    </cfRule>
  </conditionalFormatting>
  <conditionalFormatting sqref="H37:H39">
    <cfRule type="colorScale" priority="20">
      <colorScale>
        <cfvo type="formula" val="&quot;Pass&quot;"/>
        <cfvo type="formula" val="&quot;Fail&quot;"/>
        <color rgb="FF00B050"/>
        <color rgb="FFFF0000"/>
      </colorScale>
    </cfRule>
    <cfRule type="colorScale" priority="21">
      <colorScale>
        <cfvo type="min"/>
        <cfvo type="percentile" val="50"/>
        <cfvo type="max"/>
        <color rgb="FFF8696B"/>
        <color rgb="FFFFEB84"/>
        <color rgb="FF63BE7B"/>
      </colorScale>
    </cfRule>
  </conditionalFormatting>
  <conditionalFormatting sqref="H37:H39">
    <cfRule type="colorScale" priority="18">
      <colorScale>
        <cfvo type="formula" val="&quot;Pass&quot;"/>
        <cfvo type="formula" val="&quot;Fail&quot;"/>
        <color rgb="FF00B050"/>
        <color rgb="FFFF0000"/>
      </colorScale>
    </cfRule>
    <cfRule type="colorScale" priority="19">
      <colorScale>
        <cfvo type="min"/>
        <cfvo type="percentile" val="50"/>
        <cfvo type="max"/>
        <color rgb="FFF8696B"/>
        <color rgb="FFFFEB84"/>
        <color rgb="FF63BE7B"/>
      </colorScale>
    </cfRule>
  </conditionalFormatting>
  <conditionalFormatting sqref="H37:H39">
    <cfRule type="colorScale" priority="16">
      <colorScale>
        <cfvo type="formula" val="&quot;Pass&quot;"/>
        <cfvo type="formula" val="&quot;Fail&quot;"/>
        <color rgb="FF00B050"/>
        <color rgb="FFFF0000"/>
      </colorScale>
    </cfRule>
    <cfRule type="colorScale" priority="17">
      <colorScale>
        <cfvo type="min"/>
        <cfvo type="percentile" val="50"/>
        <cfvo type="max"/>
        <color rgb="FFF8696B"/>
        <color rgb="FFFFEB84"/>
        <color rgb="FF63BE7B"/>
      </colorScale>
    </cfRule>
  </conditionalFormatting>
  <conditionalFormatting sqref="H37:H39">
    <cfRule type="colorScale" priority="14">
      <colorScale>
        <cfvo type="formula" val="&quot;Pass&quot;"/>
        <cfvo type="formula" val="&quot;Fail&quot;"/>
        <color rgb="FF00B050"/>
        <color rgb="FFFF0000"/>
      </colorScale>
    </cfRule>
    <cfRule type="colorScale" priority="15">
      <colorScale>
        <cfvo type="min"/>
        <cfvo type="percentile" val="50"/>
        <cfvo type="max"/>
        <color rgb="FFF8696B"/>
        <color rgb="FFFFEB84"/>
        <color rgb="FF63BE7B"/>
      </colorScale>
    </cfRule>
  </conditionalFormatting>
  <conditionalFormatting sqref="H37:H39">
    <cfRule type="colorScale" priority="12">
      <colorScale>
        <cfvo type="formula" val="&quot;Pass&quot;"/>
        <cfvo type="formula" val="&quot;Fail&quot;"/>
        <color rgb="FF00B050"/>
        <color rgb="FFFF0000"/>
      </colorScale>
    </cfRule>
    <cfRule type="colorScale" priority="13">
      <colorScale>
        <cfvo type="min"/>
        <cfvo type="percentile" val="50"/>
        <cfvo type="max"/>
        <color rgb="FFF8696B"/>
        <color rgb="FFFFEB84"/>
        <color rgb="FF63BE7B"/>
      </colorScale>
    </cfRule>
  </conditionalFormatting>
  <conditionalFormatting sqref="H37:H39">
    <cfRule type="colorScale" priority="10">
      <colorScale>
        <cfvo type="formula" val="&quot;Pass&quot;"/>
        <cfvo type="formula" val="&quot;Fail&quot;"/>
        <color rgb="FF00B050"/>
        <color rgb="FFFF0000"/>
      </colorScale>
    </cfRule>
    <cfRule type="colorScale" priority="11">
      <colorScale>
        <cfvo type="min"/>
        <cfvo type="percentile" val="50"/>
        <cfvo type="max"/>
        <color rgb="FFF8696B"/>
        <color rgb="FFFFEB84"/>
        <color rgb="FF63BE7B"/>
      </colorScale>
    </cfRule>
  </conditionalFormatting>
  <conditionalFormatting sqref="H37:H39">
    <cfRule type="colorScale" priority="8">
      <colorScale>
        <cfvo type="formula" val="&quot;Pass&quot;"/>
        <cfvo type="formula" val="&quot;Fail&quot;"/>
        <color rgb="FF00B050"/>
        <color rgb="FFFF0000"/>
      </colorScale>
    </cfRule>
    <cfRule type="colorScale" priority="9">
      <colorScale>
        <cfvo type="min"/>
        <cfvo type="percentile" val="50"/>
        <cfvo type="max"/>
        <color rgb="FFF8696B"/>
        <color rgb="FFFFEB84"/>
        <color rgb="FF63BE7B"/>
      </colorScale>
    </cfRule>
  </conditionalFormatting>
  <conditionalFormatting sqref="H37:H39">
    <cfRule type="colorScale" priority="6">
      <colorScale>
        <cfvo type="formula" val="&quot;Pass&quot;"/>
        <cfvo type="formula" val="&quot;Fail&quot;"/>
        <color rgb="FF00B050"/>
        <color rgb="FFFF0000"/>
      </colorScale>
    </cfRule>
    <cfRule type="colorScale" priority="7">
      <colorScale>
        <cfvo type="min"/>
        <cfvo type="percentile" val="50"/>
        <cfvo type="max"/>
        <color rgb="FFF8696B"/>
        <color rgb="FFFFEB84"/>
        <color rgb="FF63BE7B"/>
      </colorScale>
    </cfRule>
  </conditionalFormatting>
  <conditionalFormatting sqref="H37:H39">
    <cfRule type="colorScale" priority="4">
      <colorScale>
        <cfvo type="formula" val="&quot;Pass&quot;"/>
        <cfvo type="formula" val="&quot;Fail&quot;"/>
        <color rgb="FF00B050"/>
        <color rgb="FFFF0000"/>
      </colorScale>
    </cfRule>
    <cfRule type="colorScale" priority="5">
      <colorScale>
        <cfvo type="min"/>
        <cfvo type="percentile" val="50"/>
        <cfvo type="max"/>
        <color rgb="FFF8696B"/>
        <color rgb="FFFFEB84"/>
        <color rgb="FF63BE7B"/>
      </colorScale>
    </cfRule>
  </conditionalFormatting>
  <conditionalFormatting sqref="H37:H39">
    <cfRule type="containsText" dxfId="37" priority="1" operator="containsText" text="fail">
      <formula>NOT(ISERROR(SEARCH("fail",H37)))</formula>
    </cfRule>
    <cfRule type="containsText" dxfId="36" priority="2" operator="containsText" text="Pass">
      <formula>NOT(ISERROR(SEARCH("Pass",H37)))</formula>
    </cfRule>
    <cfRule type="containsText" dxfId="35" priority="3" operator="containsText" text="Fail">
      <formula>NOT(ISERROR(SEARCH("Fail",H37)))</formula>
    </cfRule>
  </conditionalFormatting>
  <pageMargins left="0.75980392156862742" right="0.7" top="0.75" bottom="0.75" header="0.3" footer="0.3"/>
  <pageSetup paperSize="9" scale="51"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86D718-394C-43D8-808E-CB6A8C4A9A95}">
  <dimension ref="A1:L69"/>
  <sheetViews>
    <sheetView topLeftCell="A19" workbookViewId="0">
      <selection activeCell="F300" sqref="F300:H300"/>
    </sheetView>
  </sheetViews>
  <sheetFormatPr defaultRowHeight="15" x14ac:dyDescent="0.25"/>
  <cols>
    <col min="1" max="1" width="10.42578125" bestFit="1" customWidth="1"/>
    <col min="2" max="2" width="155.140625" bestFit="1" customWidth="1"/>
  </cols>
  <sheetData>
    <row r="1" spans="1:2" ht="20.25" x14ac:dyDescent="0.25">
      <c r="B1" s="2" t="s">
        <v>103</v>
      </c>
    </row>
    <row r="2" spans="1:2" x14ac:dyDescent="0.25">
      <c r="B2" s="3"/>
    </row>
    <row r="3" spans="1:2" x14ac:dyDescent="0.25">
      <c r="B3" s="4" t="s">
        <v>104</v>
      </c>
    </row>
    <row r="4" spans="1:2" ht="15.75" x14ac:dyDescent="0.25">
      <c r="A4" t="s">
        <v>353</v>
      </c>
      <c r="B4" s="4" t="s">
        <v>206</v>
      </c>
    </row>
    <row r="5" spans="1:2" ht="15.75" x14ac:dyDescent="0.25">
      <c r="A5" t="s">
        <v>353</v>
      </c>
      <c r="B5" s="4" t="s">
        <v>207</v>
      </c>
    </row>
    <row r="6" spans="1:2" ht="15.75" x14ac:dyDescent="0.25">
      <c r="B6" s="4" t="s">
        <v>208</v>
      </c>
    </row>
    <row r="7" spans="1:2" ht="15.75" x14ac:dyDescent="0.25">
      <c r="A7" t="s">
        <v>354</v>
      </c>
      <c r="B7" s="4" t="s">
        <v>209</v>
      </c>
    </row>
    <row r="8" spans="1:2" ht="15.75" x14ac:dyDescent="0.25">
      <c r="B8" s="4" t="s">
        <v>210</v>
      </c>
    </row>
    <row r="9" spans="1:2" ht="15.75" x14ac:dyDescent="0.25">
      <c r="B9" s="4" t="s">
        <v>211</v>
      </c>
    </row>
    <row r="10" spans="1:2" x14ac:dyDescent="0.25">
      <c r="B10" s="4" t="s">
        <v>212</v>
      </c>
    </row>
    <row r="18" spans="1:2" x14ac:dyDescent="0.25">
      <c r="B18" s="4" t="s">
        <v>355</v>
      </c>
    </row>
    <row r="19" spans="1:2" x14ac:dyDescent="0.25">
      <c r="A19" t="s">
        <v>47</v>
      </c>
      <c r="B19" t="s">
        <v>88</v>
      </c>
    </row>
    <row r="20" spans="1:2" x14ac:dyDescent="0.25">
      <c r="A20" t="s">
        <v>46</v>
      </c>
      <c r="B20" s="73" t="s">
        <v>86</v>
      </c>
    </row>
    <row r="21" spans="1:2" x14ac:dyDescent="0.25">
      <c r="A21" t="s">
        <v>48</v>
      </c>
      <c r="B21" t="s">
        <v>356</v>
      </c>
    </row>
    <row r="22" spans="1:2" x14ac:dyDescent="0.25">
      <c r="A22" t="s">
        <v>49</v>
      </c>
      <c r="B22" t="s">
        <v>276</v>
      </c>
    </row>
    <row r="23" spans="1:2" x14ac:dyDescent="0.25">
      <c r="A23" t="s">
        <v>357</v>
      </c>
      <c r="B23" t="s">
        <v>358</v>
      </c>
    </row>
    <row r="24" spans="1:2" x14ac:dyDescent="0.25">
      <c r="A24" t="s">
        <v>359</v>
      </c>
      <c r="B24" s="73" t="s">
        <v>360</v>
      </c>
    </row>
    <row r="25" spans="1:2" x14ac:dyDescent="0.25">
      <c r="A25" t="s">
        <v>50</v>
      </c>
      <c r="B25" t="s">
        <v>361</v>
      </c>
    </row>
    <row r="26" spans="1:2" x14ac:dyDescent="0.25">
      <c r="A26" t="s">
        <v>51</v>
      </c>
      <c r="B26" t="s">
        <v>362</v>
      </c>
    </row>
    <row r="27" spans="1:2" x14ac:dyDescent="0.25">
      <c r="A27" t="s">
        <v>54</v>
      </c>
      <c r="B27" t="s">
        <v>361</v>
      </c>
    </row>
    <row r="28" spans="1:2" x14ac:dyDescent="0.25">
      <c r="A28" t="s">
        <v>52</v>
      </c>
    </row>
    <row r="29" spans="1:2" x14ac:dyDescent="0.25">
      <c r="A29" t="s">
        <v>53</v>
      </c>
      <c r="B29" t="s">
        <v>362</v>
      </c>
    </row>
    <row r="34" spans="1:2" x14ac:dyDescent="0.25">
      <c r="B34" t="s">
        <v>363</v>
      </c>
    </row>
    <row r="35" spans="1:2" x14ac:dyDescent="0.25">
      <c r="A35" t="s">
        <v>97</v>
      </c>
      <c r="B35" t="s">
        <v>98</v>
      </c>
    </row>
    <row r="36" spans="1:2" x14ac:dyDescent="0.25">
      <c r="A36" t="s">
        <v>99</v>
      </c>
      <c r="B36" t="s">
        <v>102</v>
      </c>
    </row>
    <row r="37" spans="1:2" x14ac:dyDescent="0.25">
      <c r="A37" t="s">
        <v>101</v>
      </c>
      <c r="B37" t="s">
        <v>100</v>
      </c>
    </row>
    <row r="38" spans="1:2" x14ac:dyDescent="0.25">
      <c r="A38" t="s">
        <v>364</v>
      </c>
    </row>
    <row r="39" spans="1:2" x14ac:dyDescent="0.25">
      <c r="A39" t="s">
        <v>365</v>
      </c>
      <c r="B39" t="s">
        <v>148</v>
      </c>
    </row>
    <row r="40" spans="1:2" x14ac:dyDescent="0.25">
      <c r="A40" t="s">
        <v>353</v>
      </c>
      <c r="B40" t="s">
        <v>149</v>
      </c>
    </row>
    <row r="41" spans="1:2" x14ac:dyDescent="0.25">
      <c r="A41" t="s">
        <v>366</v>
      </c>
      <c r="B41" t="s">
        <v>275</v>
      </c>
    </row>
    <row r="43" spans="1:2" x14ac:dyDescent="0.25">
      <c r="B43" t="s">
        <v>367</v>
      </c>
    </row>
    <row r="44" spans="1:2" x14ac:dyDescent="0.25">
      <c r="B44" t="s">
        <v>39</v>
      </c>
    </row>
    <row r="45" spans="1:2" x14ac:dyDescent="0.25">
      <c r="B45" t="s">
        <v>38</v>
      </c>
    </row>
    <row r="46" spans="1:2" x14ac:dyDescent="0.25">
      <c r="B46" t="s">
        <v>40</v>
      </c>
    </row>
    <row r="50" spans="1:12" x14ac:dyDescent="0.25">
      <c r="B50" t="s">
        <v>90</v>
      </c>
    </row>
    <row r="51" spans="1:12" x14ac:dyDescent="0.25">
      <c r="B51" s="1" t="s">
        <v>36</v>
      </c>
    </row>
    <row r="52" spans="1:12" x14ac:dyDescent="0.25">
      <c r="B52" t="s">
        <v>41</v>
      </c>
    </row>
    <row r="53" spans="1:12" x14ac:dyDescent="0.25">
      <c r="B53" t="s">
        <v>368</v>
      </c>
    </row>
    <row r="55" spans="1:12" x14ac:dyDescent="0.25">
      <c r="B55" t="s">
        <v>369</v>
      </c>
    </row>
    <row r="56" spans="1:12" x14ac:dyDescent="0.25">
      <c r="B56" t="s">
        <v>42</v>
      </c>
    </row>
    <row r="57" spans="1:12" x14ac:dyDescent="0.25">
      <c r="B57" t="s">
        <v>44</v>
      </c>
    </row>
    <row r="58" spans="1:12" x14ac:dyDescent="0.25">
      <c r="B58" t="s">
        <v>45</v>
      </c>
    </row>
    <row r="61" spans="1:12" x14ac:dyDescent="0.25">
      <c r="A61" t="s">
        <v>370</v>
      </c>
      <c r="B61" s="28" t="s">
        <v>194</v>
      </c>
      <c r="C61" s="28"/>
      <c r="D61" s="28"/>
      <c r="E61" s="28"/>
      <c r="F61" s="28"/>
      <c r="G61" s="28"/>
      <c r="H61" s="28"/>
      <c r="I61" s="28"/>
      <c r="J61" s="28"/>
      <c r="K61" s="28"/>
      <c r="L61" s="28"/>
    </row>
    <row r="62" spans="1:12" x14ac:dyDescent="0.25">
      <c r="A62" t="s">
        <v>359</v>
      </c>
      <c r="B62" s="28" t="s">
        <v>371</v>
      </c>
    </row>
    <row r="64" spans="1:12" x14ac:dyDescent="0.25">
      <c r="A64" t="s">
        <v>372</v>
      </c>
      <c r="B64" s="104" t="s">
        <v>160</v>
      </c>
      <c r="C64" s="104"/>
      <c r="D64" s="104"/>
      <c r="E64" s="104"/>
      <c r="F64" s="104"/>
      <c r="G64" s="104"/>
      <c r="H64" s="104"/>
      <c r="I64" s="104"/>
      <c r="J64" s="104"/>
      <c r="K64" s="104"/>
      <c r="L64" s="104"/>
    </row>
    <row r="65" spans="1:12" x14ac:dyDescent="0.25">
      <c r="A65" t="s">
        <v>373</v>
      </c>
      <c r="B65" s="104" t="s">
        <v>374</v>
      </c>
      <c r="C65" s="104"/>
      <c r="D65" s="104"/>
      <c r="E65" s="104"/>
      <c r="F65" s="104"/>
      <c r="G65" s="104"/>
      <c r="H65" s="104"/>
      <c r="I65" s="104"/>
      <c r="J65" s="104"/>
      <c r="K65" s="104"/>
      <c r="L65" s="104"/>
    </row>
    <row r="68" spans="1:12" x14ac:dyDescent="0.25">
      <c r="A68" t="s">
        <v>375</v>
      </c>
      <c r="B68" s="104" t="s">
        <v>348</v>
      </c>
      <c r="C68" s="104"/>
      <c r="D68" s="104"/>
      <c r="E68" s="104"/>
      <c r="F68" s="104"/>
      <c r="G68" s="104"/>
      <c r="H68" s="104"/>
      <c r="I68" s="104"/>
      <c r="J68" s="104"/>
      <c r="K68" s="104"/>
      <c r="L68" s="104"/>
    </row>
    <row r="69" spans="1:12" x14ac:dyDescent="0.25">
      <c r="A69" t="s">
        <v>376</v>
      </c>
      <c r="B69" s="104" t="s">
        <v>162</v>
      </c>
      <c r="C69" s="104"/>
      <c r="D69" s="104"/>
      <c r="E69" s="104"/>
      <c r="F69" s="104"/>
      <c r="G69" s="104"/>
      <c r="H69" s="104"/>
      <c r="I69" s="104"/>
      <c r="J69" s="104"/>
      <c r="K69" s="104"/>
      <c r="L69" s="104"/>
    </row>
  </sheetData>
  <mergeCells count="4">
    <mergeCell ref="B64:L64"/>
    <mergeCell ref="B65:L65"/>
    <mergeCell ref="B68:L68"/>
    <mergeCell ref="B69:L69"/>
  </mergeCells>
  <pageMargins left="0.7" right="0.7" top="0.75" bottom="0.75" header="0.3" footer="0.3"/>
  <pageSetup paperSize="9" orientation="portrait" horizontalDpi="0"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6C3E90-E233-4D62-A94D-6DE9F2562F23}">
  <dimension ref="A1:AC43"/>
  <sheetViews>
    <sheetView workbookViewId="0">
      <selection activeCell="F300" sqref="F300:H300"/>
    </sheetView>
  </sheetViews>
  <sheetFormatPr defaultRowHeight="15" x14ac:dyDescent="0.25"/>
  <cols>
    <col min="1" max="1" width="15.140625" bestFit="1" customWidth="1"/>
    <col min="2" max="2" width="13.42578125" customWidth="1"/>
    <col min="3" max="3" width="7.28515625" customWidth="1"/>
    <col min="4" max="4" width="11" customWidth="1"/>
    <col min="5" max="5" width="24.85546875" bestFit="1" customWidth="1"/>
    <col min="6" max="6" width="8.140625" customWidth="1"/>
    <col min="7" max="7" width="16.5703125" customWidth="1"/>
    <col min="13" max="13" width="15.140625" bestFit="1" customWidth="1"/>
    <col min="24" max="24" width="13.28515625" bestFit="1" customWidth="1"/>
    <col min="25" max="26" width="13.28515625" customWidth="1"/>
  </cols>
  <sheetData>
    <row r="1" spans="1:29" x14ac:dyDescent="0.25">
      <c r="A1" t="s">
        <v>83</v>
      </c>
      <c r="B1" t="s">
        <v>84</v>
      </c>
      <c r="C1" t="s">
        <v>85</v>
      </c>
      <c r="D1" t="s">
        <v>90</v>
      </c>
      <c r="E1" t="s">
        <v>91</v>
      </c>
      <c r="F1" t="s">
        <v>96</v>
      </c>
      <c r="G1" t="s">
        <v>105</v>
      </c>
      <c r="H1" t="s">
        <v>106</v>
      </c>
      <c r="I1" t="s">
        <v>107</v>
      </c>
      <c r="K1" t="s">
        <v>213</v>
      </c>
      <c r="L1" t="s">
        <v>232</v>
      </c>
      <c r="M1" t="s">
        <v>83</v>
      </c>
      <c r="N1" t="s">
        <v>119</v>
      </c>
      <c r="O1" t="s">
        <v>145</v>
      </c>
      <c r="P1" t="s">
        <v>197</v>
      </c>
      <c r="Q1" t="s">
        <v>198</v>
      </c>
      <c r="R1" t="s">
        <v>199</v>
      </c>
      <c r="S1" t="s">
        <v>200</v>
      </c>
      <c r="T1" t="s">
        <v>201</v>
      </c>
      <c r="U1" t="s">
        <v>202</v>
      </c>
      <c r="V1" t="s">
        <v>205</v>
      </c>
      <c r="W1" t="s">
        <v>203</v>
      </c>
      <c r="X1" t="s">
        <v>204</v>
      </c>
      <c r="Y1" t="s">
        <v>235</v>
      </c>
      <c r="Z1" t="s">
        <v>236</v>
      </c>
      <c r="AA1" t="s">
        <v>234</v>
      </c>
      <c r="AB1" t="s">
        <v>237</v>
      </c>
      <c r="AC1" t="s">
        <v>238</v>
      </c>
    </row>
    <row r="2" spans="1:29" x14ac:dyDescent="0.25">
      <c r="A2" t="s">
        <v>55</v>
      </c>
      <c r="B2" t="s">
        <v>88</v>
      </c>
      <c r="C2" t="s">
        <v>89</v>
      </c>
      <c r="D2" s="1" t="s">
        <v>36</v>
      </c>
      <c r="E2" t="s">
        <v>148</v>
      </c>
      <c r="F2" t="str">
        <f>'Test Equ'!$B$3</f>
        <v>Frequency via Quartzlock E8-Y GPS Frequency Reference, Serial number 17012033.</v>
      </c>
      <c r="G2" t="str">
        <f>'Test Equ'!B$10</f>
        <v>Fluke 8508A Digital Multimeter Serial No. 115260406 UKAS Calibration Certificate No. 0183-075669 dated 06th April 2020.</v>
      </c>
      <c r="J2">
        <v>1</v>
      </c>
      <c r="K2" t="s">
        <v>54</v>
      </c>
      <c r="L2" t="s">
        <v>47</v>
      </c>
      <c r="M2" t="s">
        <v>55</v>
      </c>
      <c r="N2">
        <v>135</v>
      </c>
      <c r="O2">
        <v>1200</v>
      </c>
      <c r="P2">
        <v>0.25</v>
      </c>
      <c r="Q2">
        <v>0.5</v>
      </c>
      <c r="R2">
        <v>0.75</v>
      </c>
      <c r="S2">
        <v>1</v>
      </c>
      <c r="T2">
        <v>1.25</v>
      </c>
      <c r="U2">
        <v>1.3</v>
      </c>
      <c r="V2">
        <v>1</v>
      </c>
      <c r="X2">
        <v>4</v>
      </c>
      <c r="Y2">
        <v>1.33</v>
      </c>
      <c r="Z2">
        <v>4</v>
      </c>
      <c r="AA2">
        <v>6</v>
      </c>
      <c r="AB2">
        <f t="shared" ref="AB2:AB37" si="0">AA2*10/3</f>
        <v>20</v>
      </c>
      <c r="AC2">
        <f>AA2*10</f>
        <v>60</v>
      </c>
    </row>
    <row r="3" spans="1:29" x14ac:dyDescent="0.25">
      <c r="A3" t="s">
        <v>56</v>
      </c>
      <c r="B3" t="s">
        <v>88</v>
      </c>
      <c r="C3" t="s">
        <v>87</v>
      </c>
      <c r="D3" s="1" t="s">
        <v>36</v>
      </c>
      <c r="E3" t="s">
        <v>148</v>
      </c>
      <c r="F3" t="str">
        <f>'Test Equ'!$B$3</f>
        <v>Frequency via Quartzlock E8-Y GPS Frequency Reference, Serial number 17012033.</v>
      </c>
      <c r="G3" t="str">
        <f>'Test Equ'!B$10</f>
        <v>Fluke 8508A Digital Multimeter Serial No. 115260406 UKAS Calibration Certificate No. 0183-075669 dated 06th April 2020.</v>
      </c>
      <c r="J3">
        <v>1</v>
      </c>
      <c r="K3" t="s">
        <v>53</v>
      </c>
      <c r="L3" t="s">
        <v>47</v>
      </c>
      <c r="M3" t="s">
        <v>56</v>
      </c>
      <c r="N3">
        <v>135</v>
      </c>
      <c r="O3">
        <v>5000</v>
      </c>
      <c r="P3">
        <v>0.25</v>
      </c>
      <c r="Q3">
        <v>0.5</v>
      </c>
      <c r="R3">
        <v>0.75</v>
      </c>
      <c r="S3">
        <v>1</v>
      </c>
      <c r="T3">
        <v>1.25</v>
      </c>
      <c r="U3">
        <v>1.3</v>
      </c>
      <c r="V3">
        <v>1</v>
      </c>
      <c r="X3">
        <v>4</v>
      </c>
      <c r="Y3">
        <v>1.33</v>
      </c>
      <c r="Z3">
        <v>4</v>
      </c>
      <c r="AA3">
        <v>6</v>
      </c>
      <c r="AB3">
        <f t="shared" si="0"/>
        <v>20</v>
      </c>
      <c r="AC3">
        <f t="shared" ref="AC3:AC37" si="1">AA3*10</f>
        <v>60</v>
      </c>
    </row>
    <row r="4" spans="1:29" x14ac:dyDescent="0.25">
      <c r="A4" t="s">
        <v>377</v>
      </c>
      <c r="B4" s="73" t="s">
        <v>360</v>
      </c>
      <c r="D4" s="1" t="s">
        <v>36</v>
      </c>
      <c r="E4" t="s">
        <v>148</v>
      </c>
      <c r="F4" t="str">
        <f>'Test Equ'!$B$3</f>
        <v>Frequency via Quartzlock E8-Y GPS Frequency Reference, Serial number 17012033.</v>
      </c>
      <c r="G4" t="str">
        <f>'Test Equ'!B$10</f>
        <v>Fluke 8508A Digital Multimeter Serial No. 115260406 UKAS Calibration Certificate No. 0183-075669 dated 06th April 2020.</v>
      </c>
      <c r="J4">
        <v>1</v>
      </c>
      <c r="K4" t="s">
        <v>359</v>
      </c>
      <c r="L4" t="s">
        <v>359</v>
      </c>
      <c r="M4" t="s">
        <v>377</v>
      </c>
      <c r="N4">
        <v>135</v>
      </c>
      <c r="O4">
        <v>5000</v>
      </c>
      <c r="P4">
        <v>0.25</v>
      </c>
      <c r="Q4">
        <v>0.5</v>
      </c>
      <c r="R4">
        <v>0.75</v>
      </c>
      <c r="S4">
        <v>1</v>
      </c>
      <c r="T4">
        <v>1.25</v>
      </c>
      <c r="U4">
        <v>1.3</v>
      </c>
      <c r="V4">
        <v>1</v>
      </c>
      <c r="X4">
        <v>4</v>
      </c>
      <c r="Y4">
        <v>1.33</v>
      </c>
      <c r="Z4">
        <v>4</v>
      </c>
      <c r="AA4">
        <v>6</v>
      </c>
      <c r="AB4">
        <f t="shared" si="0"/>
        <v>20</v>
      </c>
      <c r="AC4">
        <f t="shared" si="1"/>
        <v>60</v>
      </c>
    </row>
    <row r="5" spans="1:29" x14ac:dyDescent="0.25">
      <c r="A5" t="s">
        <v>57</v>
      </c>
      <c r="B5" t="s">
        <v>88</v>
      </c>
      <c r="C5" t="s">
        <v>89</v>
      </c>
      <c r="D5" s="1" t="s">
        <v>36</v>
      </c>
      <c r="E5" t="s">
        <v>148</v>
      </c>
      <c r="F5" t="str">
        <f>'Test Equ'!$B$3</f>
        <v>Frequency via Quartzlock E8-Y GPS Frequency Reference, Serial number 17012033.</v>
      </c>
      <c r="G5" t="str">
        <f>'Test Equ'!B$10</f>
        <v>Fluke 8508A Digital Multimeter Serial No. 115260406 UKAS Calibration Certificate No. 0183-075669 dated 06th April 2020.</v>
      </c>
      <c r="J5">
        <v>1</v>
      </c>
      <c r="K5" t="s">
        <v>54</v>
      </c>
      <c r="L5" t="s">
        <v>47</v>
      </c>
      <c r="M5" t="s">
        <v>57</v>
      </c>
      <c r="N5">
        <v>135</v>
      </c>
      <c r="O5">
        <v>1200</v>
      </c>
      <c r="P5">
        <v>0.25</v>
      </c>
      <c r="Q5">
        <v>0.5</v>
      </c>
      <c r="R5">
        <v>0.75</v>
      </c>
      <c r="S5">
        <v>1</v>
      </c>
      <c r="T5">
        <v>1.5</v>
      </c>
      <c r="U5">
        <v>2</v>
      </c>
      <c r="V5">
        <v>1</v>
      </c>
      <c r="X5">
        <v>6</v>
      </c>
      <c r="Y5">
        <v>2</v>
      </c>
      <c r="Z5">
        <v>6</v>
      </c>
      <c r="AA5">
        <v>6</v>
      </c>
      <c r="AB5">
        <f t="shared" si="0"/>
        <v>20</v>
      </c>
      <c r="AC5">
        <f t="shared" si="1"/>
        <v>60</v>
      </c>
    </row>
    <row r="6" spans="1:29" x14ac:dyDescent="0.25">
      <c r="A6" t="s">
        <v>58</v>
      </c>
      <c r="B6" t="s">
        <v>88</v>
      </c>
      <c r="C6" t="s">
        <v>87</v>
      </c>
      <c r="D6" s="1" t="s">
        <v>36</v>
      </c>
      <c r="E6" t="s">
        <v>148</v>
      </c>
      <c r="F6" t="str">
        <f>'Test Equ'!$B$3</f>
        <v>Frequency via Quartzlock E8-Y GPS Frequency Reference, Serial number 17012033.</v>
      </c>
      <c r="G6" t="str">
        <f>'Test Equ'!B$10</f>
        <v>Fluke 8508A Digital Multimeter Serial No. 115260406 UKAS Calibration Certificate No. 0183-075669 dated 06th April 2020.</v>
      </c>
      <c r="J6">
        <v>1</v>
      </c>
      <c r="K6" t="s">
        <v>53</v>
      </c>
      <c r="L6" t="s">
        <v>47</v>
      </c>
      <c r="M6" t="s">
        <v>58</v>
      </c>
      <c r="N6">
        <v>135</v>
      </c>
      <c r="O6">
        <v>5000</v>
      </c>
      <c r="P6">
        <v>0.25</v>
      </c>
      <c r="Q6">
        <v>0.5</v>
      </c>
      <c r="R6">
        <v>0.75</v>
      </c>
      <c r="S6">
        <v>1</v>
      </c>
      <c r="T6">
        <v>1.5</v>
      </c>
      <c r="U6">
        <v>2</v>
      </c>
      <c r="V6">
        <v>1</v>
      </c>
      <c r="X6">
        <v>6</v>
      </c>
      <c r="Y6">
        <v>2</v>
      </c>
      <c r="Z6">
        <v>6</v>
      </c>
      <c r="AA6">
        <v>6</v>
      </c>
      <c r="AB6">
        <f t="shared" si="0"/>
        <v>20</v>
      </c>
      <c r="AC6">
        <f t="shared" si="1"/>
        <v>60</v>
      </c>
    </row>
    <row r="7" spans="1:29" x14ac:dyDescent="0.25">
      <c r="A7" t="s">
        <v>378</v>
      </c>
      <c r="B7" s="73" t="s">
        <v>360</v>
      </c>
      <c r="D7" s="1" t="s">
        <v>36</v>
      </c>
      <c r="E7" t="s">
        <v>148</v>
      </c>
      <c r="F7" t="str">
        <f>'Test Equ'!$B$3</f>
        <v>Frequency via Quartzlock E8-Y GPS Frequency Reference, Serial number 17012033.</v>
      </c>
      <c r="G7" t="str">
        <f>'Test Equ'!B$10</f>
        <v>Fluke 8508A Digital Multimeter Serial No. 115260406 UKAS Calibration Certificate No. 0183-075669 dated 06th April 2020.</v>
      </c>
      <c r="J7">
        <v>1</v>
      </c>
      <c r="K7" t="s">
        <v>359</v>
      </c>
      <c r="L7" t="s">
        <v>359</v>
      </c>
      <c r="M7" t="s">
        <v>378</v>
      </c>
      <c r="N7">
        <v>135</v>
      </c>
      <c r="O7">
        <v>5000</v>
      </c>
      <c r="P7">
        <v>0.25</v>
      </c>
      <c r="Q7">
        <v>0.5</v>
      </c>
      <c r="R7">
        <v>0.75</v>
      </c>
      <c r="S7">
        <v>1</v>
      </c>
      <c r="T7">
        <v>1.5</v>
      </c>
      <c r="U7">
        <v>2</v>
      </c>
      <c r="V7">
        <v>1</v>
      </c>
      <c r="X7">
        <v>6</v>
      </c>
      <c r="Y7">
        <v>2</v>
      </c>
      <c r="Z7">
        <v>6</v>
      </c>
      <c r="AA7">
        <v>6</v>
      </c>
      <c r="AB7">
        <f t="shared" si="0"/>
        <v>20</v>
      </c>
      <c r="AC7">
        <f t="shared" si="1"/>
        <v>60</v>
      </c>
    </row>
    <row r="8" spans="1:29" x14ac:dyDescent="0.25">
      <c r="A8" t="s">
        <v>59</v>
      </c>
      <c r="B8" t="s">
        <v>88</v>
      </c>
      <c r="C8" t="s">
        <v>89</v>
      </c>
      <c r="D8" s="1" t="s">
        <v>36</v>
      </c>
      <c r="E8" t="s">
        <v>148</v>
      </c>
      <c r="F8" t="str">
        <f>'Test Equ'!$B$3</f>
        <v>Frequency via Quartzlock E8-Y GPS Frequency Reference, Serial number 17012033.</v>
      </c>
      <c r="G8" t="str">
        <f>'Test Equ'!B$10</f>
        <v>Fluke 8508A Digital Multimeter Serial No. 115260406 UKAS Calibration Certificate No. 0183-075669 dated 06th April 2020.</v>
      </c>
      <c r="J8">
        <v>1</v>
      </c>
      <c r="K8" t="s">
        <v>54</v>
      </c>
      <c r="L8" t="s">
        <v>47</v>
      </c>
      <c r="M8" t="s">
        <v>59</v>
      </c>
      <c r="N8">
        <v>135</v>
      </c>
      <c r="O8">
        <v>1200</v>
      </c>
      <c r="P8">
        <v>0.25</v>
      </c>
      <c r="Q8">
        <v>0.5</v>
      </c>
      <c r="R8">
        <v>1</v>
      </c>
      <c r="S8">
        <v>1.5</v>
      </c>
      <c r="T8">
        <v>2</v>
      </c>
      <c r="U8">
        <v>3</v>
      </c>
      <c r="V8">
        <v>1</v>
      </c>
      <c r="X8">
        <v>10</v>
      </c>
      <c r="Y8">
        <v>3</v>
      </c>
      <c r="Z8">
        <v>10</v>
      </c>
      <c r="AA8">
        <v>6</v>
      </c>
      <c r="AB8">
        <f t="shared" si="0"/>
        <v>20</v>
      </c>
      <c r="AC8">
        <f t="shared" si="1"/>
        <v>60</v>
      </c>
    </row>
    <row r="9" spans="1:29" x14ac:dyDescent="0.25">
      <c r="A9" t="s">
        <v>60</v>
      </c>
      <c r="B9" t="s">
        <v>88</v>
      </c>
      <c r="C9" t="s">
        <v>87</v>
      </c>
      <c r="D9" s="1" t="s">
        <v>36</v>
      </c>
      <c r="E9" t="s">
        <v>148</v>
      </c>
      <c r="F9" t="str">
        <f>'Test Equ'!$B$3</f>
        <v>Frequency via Quartzlock E8-Y GPS Frequency Reference, Serial number 17012033.</v>
      </c>
      <c r="G9" t="str">
        <f>'Test Equ'!B$10</f>
        <v>Fluke 8508A Digital Multimeter Serial No. 115260406 UKAS Calibration Certificate No. 0183-075669 dated 06th April 2020.</v>
      </c>
      <c r="J9">
        <v>1</v>
      </c>
      <c r="K9" t="s">
        <v>53</v>
      </c>
      <c r="L9" t="s">
        <v>47</v>
      </c>
      <c r="M9" t="s">
        <v>60</v>
      </c>
      <c r="N9">
        <v>135</v>
      </c>
      <c r="O9">
        <v>5000</v>
      </c>
      <c r="P9">
        <v>0.25</v>
      </c>
      <c r="Q9">
        <v>0.5</v>
      </c>
      <c r="R9">
        <v>1</v>
      </c>
      <c r="S9">
        <v>1.5</v>
      </c>
      <c r="T9">
        <v>2</v>
      </c>
      <c r="U9">
        <v>3</v>
      </c>
      <c r="V9">
        <v>1</v>
      </c>
      <c r="X9">
        <v>10</v>
      </c>
      <c r="Y9">
        <v>3</v>
      </c>
      <c r="Z9">
        <v>10</v>
      </c>
      <c r="AA9">
        <v>6</v>
      </c>
      <c r="AB9">
        <f t="shared" si="0"/>
        <v>20</v>
      </c>
      <c r="AC9">
        <f t="shared" si="1"/>
        <v>60</v>
      </c>
    </row>
    <row r="10" spans="1:29" x14ac:dyDescent="0.25">
      <c r="A10" t="s">
        <v>379</v>
      </c>
      <c r="B10" s="73" t="s">
        <v>360</v>
      </c>
      <c r="D10" s="1" t="s">
        <v>36</v>
      </c>
      <c r="E10" t="s">
        <v>148</v>
      </c>
      <c r="F10" t="str">
        <f>'Test Equ'!$B$3</f>
        <v>Frequency via Quartzlock E8-Y GPS Frequency Reference, Serial number 17012033.</v>
      </c>
      <c r="G10" t="str">
        <f>'Test Equ'!B$10</f>
        <v>Fluke 8508A Digital Multimeter Serial No. 115260406 UKAS Calibration Certificate No. 0183-075669 dated 06th April 2020.</v>
      </c>
      <c r="J10">
        <v>1</v>
      </c>
      <c r="K10" t="s">
        <v>359</v>
      </c>
      <c r="L10" t="s">
        <v>359</v>
      </c>
      <c r="M10" t="s">
        <v>379</v>
      </c>
      <c r="N10">
        <v>135</v>
      </c>
      <c r="O10">
        <v>5000</v>
      </c>
      <c r="P10">
        <v>0.25</v>
      </c>
      <c r="Q10">
        <v>0.5</v>
      </c>
      <c r="R10">
        <v>1</v>
      </c>
      <c r="S10">
        <v>1.5</v>
      </c>
      <c r="T10">
        <v>2</v>
      </c>
      <c r="U10">
        <v>3</v>
      </c>
      <c r="V10">
        <v>1</v>
      </c>
      <c r="X10">
        <v>10</v>
      </c>
      <c r="Y10">
        <v>3</v>
      </c>
      <c r="Z10">
        <v>10</v>
      </c>
      <c r="AA10">
        <v>6</v>
      </c>
      <c r="AB10">
        <f t="shared" si="0"/>
        <v>20</v>
      </c>
      <c r="AC10">
        <f t="shared" si="1"/>
        <v>60</v>
      </c>
    </row>
    <row r="11" spans="1:29" x14ac:dyDescent="0.25">
      <c r="A11" t="s">
        <v>61</v>
      </c>
      <c r="B11" s="73" t="s">
        <v>86</v>
      </c>
      <c r="C11" t="s">
        <v>89</v>
      </c>
      <c r="D11" s="1" t="s">
        <v>36</v>
      </c>
      <c r="E11" t="s">
        <v>148</v>
      </c>
      <c r="F11" t="str">
        <f>'Test Equ'!$B$3</f>
        <v>Frequency via Quartzlock E8-Y GPS Frequency Reference, Serial number 17012033.</v>
      </c>
      <c r="G11" t="str">
        <f>'Test Equ'!B$10</f>
        <v>Fluke 8508A Digital Multimeter Serial No. 115260406 UKAS Calibration Certificate No. 0183-075669 dated 06th April 2020.</v>
      </c>
      <c r="J11">
        <v>1</v>
      </c>
      <c r="K11" t="s">
        <v>54</v>
      </c>
      <c r="L11" t="s">
        <v>46</v>
      </c>
      <c r="M11" t="s">
        <v>61</v>
      </c>
      <c r="N11">
        <v>132</v>
      </c>
      <c r="O11">
        <v>1200</v>
      </c>
      <c r="P11">
        <v>0.25</v>
      </c>
      <c r="Q11">
        <v>0.5</v>
      </c>
      <c r="R11">
        <v>1</v>
      </c>
      <c r="S11">
        <v>2</v>
      </c>
      <c r="T11">
        <v>3</v>
      </c>
      <c r="U11">
        <v>4</v>
      </c>
      <c r="V11">
        <v>2</v>
      </c>
      <c r="X11">
        <v>12</v>
      </c>
      <c r="Y11">
        <v>4</v>
      </c>
      <c r="Z11">
        <v>12</v>
      </c>
      <c r="AA11">
        <v>6</v>
      </c>
      <c r="AB11">
        <f t="shared" si="0"/>
        <v>20</v>
      </c>
      <c r="AC11">
        <f t="shared" si="1"/>
        <v>60</v>
      </c>
    </row>
    <row r="12" spans="1:29" x14ac:dyDescent="0.25">
      <c r="A12" t="s">
        <v>62</v>
      </c>
      <c r="B12" s="73" t="s">
        <v>86</v>
      </c>
      <c r="C12" t="s">
        <v>87</v>
      </c>
      <c r="D12" s="1" t="s">
        <v>36</v>
      </c>
      <c r="E12" t="s">
        <v>148</v>
      </c>
      <c r="F12" t="str">
        <f>'Test Equ'!$B$3</f>
        <v>Frequency via Quartzlock E8-Y GPS Frequency Reference, Serial number 17012033.</v>
      </c>
      <c r="G12" t="str">
        <f>'Test Equ'!B$10</f>
        <v>Fluke 8508A Digital Multimeter Serial No. 115260406 UKAS Calibration Certificate No. 0183-075669 dated 06th April 2020.</v>
      </c>
      <c r="J12">
        <v>1</v>
      </c>
      <c r="K12" t="s">
        <v>53</v>
      </c>
      <c r="L12" t="s">
        <v>46</v>
      </c>
      <c r="M12" t="s">
        <v>62</v>
      </c>
      <c r="N12">
        <v>132</v>
      </c>
      <c r="O12">
        <v>1200</v>
      </c>
      <c r="P12">
        <v>0.25</v>
      </c>
      <c r="Q12">
        <v>0.5</v>
      </c>
      <c r="R12">
        <v>1</v>
      </c>
      <c r="S12">
        <v>2</v>
      </c>
      <c r="T12">
        <v>3</v>
      </c>
      <c r="U12">
        <v>4</v>
      </c>
      <c r="V12">
        <v>2</v>
      </c>
      <c r="X12">
        <v>12</v>
      </c>
      <c r="Y12">
        <v>4</v>
      </c>
      <c r="Z12">
        <v>12</v>
      </c>
      <c r="AA12">
        <v>6</v>
      </c>
      <c r="AB12">
        <f t="shared" si="0"/>
        <v>20</v>
      </c>
      <c r="AC12">
        <f t="shared" si="1"/>
        <v>60</v>
      </c>
    </row>
    <row r="13" spans="1:29" x14ac:dyDescent="0.25">
      <c r="A13" t="s">
        <v>63</v>
      </c>
      <c r="B13" t="s">
        <v>88</v>
      </c>
      <c r="C13" t="s">
        <v>89</v>
      </c>
      <c r="D13" t="s">
        <v>41</v>
      </c>
      <c r="E13" t="s">
        <v>148</v>
      </c>
      <c r="F13" t="str">
        <f>'Test Equ'!$B$3</f>
        <v>Frequency via Quartzlock E8-Y GPS Frequency Reference, Serial number 17012033.</v>
      </c>
      <c r="G13" t="str">
        <f>'Test Equ'!B$10</f>
        <v>Fluke 8508A Digital Multimeter Serial No. 115260406 UKAS Calibration Certificate No. 0183-075669 dated 06th April 2020.</v>
      </c>
      <c r="J13">
        <v>1</v>
      </c>
      <c r="K13" t="s">
        <v>54</v>
      </c>
      <c r="L13" t="s">
        <v>47</v>
      </c>
      <c r="M13" t="s">
        <v>63</v>
      </c>
      <c r="N13">
        <v>135</v>
      </c>
      <c r="O13">
        <v>1200</v>
      </c>
      <c r="P13">
        <v>0.5</v>
      </c>
      <c r="Q13">
        <v>1</v>
      </c>
      <c r="R13">
        <v>2</v>
      </c>
      <c r="S13">
        <v>3</v>
      </c>
      <c r="T13">
        <v>4</v>
      </c>
      <c r="U13">
        <v>6</v>
      </c>
      <c r="V13">
        <v>5</v>
      </c>
      <c r="X13">
        <v>18</v>
      </c>
      <c r="Y13">
        <v>6</v>
      </c>
      <c r="Z13">
        <v>18</v>
      </c>
      <c r="AA13" s="9">
        <v>15</v>
      </c>
      <c r="AB13">
        <f t="shared" si="0"/>
        <v>50</v>
      </c>
      <c r="AC13">
        <f t="shared" si="1"/>
        <v>150</v>
      </c>
    </row>
    <row r="14" spans="1:29" x14ac:dyDescent="0.25">
      <c r="A14" t="s">
        <v>64</v>
      </c>
      <c r="B14" t="s">
        <v>88</v>
      </c>
      <c r="C14" t="s">
        <v>87</v>
      </c>
      <c r="D14" t="s">
        <v>41</v>
      </c>
      <c r="E14" t="s">
        <v>148</v>
      </c>
      <c r="F14" t="str">
        <f>'Test Equ'!$B$3</f>
        <v>Frequency via Quartzlock E8-Y GPS Frequency Reference, Serial number 17012033.</v>
      </c>
      <c r="G14" t="str">
        <f>'Test Equ'!B$10</f>
        <v>Fluke 8508A Digital Multimeter Serial No. 115260406 UKAS Calibration Certificate No. 0183-075669 dated 06th April 2020.</v>
      </c>
      <c r="J14">
        <v>1</v>
      </c>
      <c r="K14" t="s">
        <v>53</v>
      </c>
      <c r="L14" t="s">
        <v>47</v>
      </c>
      <c r="M14" t="s">
        <v>64</v>
      </c>
      <c r="N14">
        <v>135</v>
      </c>
      <c r="O14">
        <v>5000</v>
      </c>
      <c r="P14">
        <v>0.5</v>
      </c>
      <c r="Q14">
        <v>1</v>
      </c>
      <c r="R14">
        <v>2</v>
      </c>
      <c r="S14">
        <v>3</v>
      </c>
      <c r="T14">
        <v>4</v>
      </c>
      <c r="U14">
        <v>6</v>
      </c>
      <c r="V14">
        <v>5</v>
      </c>
      <c r="X14">
        <v>18</v>
      </c>
      <c r="Y14">
        <v>6</v>
      </c>
      <c r="Z14">
        <v>18</v>
      </c>
      <c r="AA14" s="9">
        <v>15</v>
      </c>
      <c r="AB14">
        <f t="shared" si="0"/>
        <v>50</v>
      </c>
      <c r="AC14">
        <f t="shared" si="1"/>
        <v>150</v>
      </c>
    </row>
    <row r="15" spans="1:29" x14ac:dyDescent="0.25">
      <c r="A15" t="s">
        <v>380</v>
      </c>
      <c r="B15" s="73" t="s">
        <v>360</v>
      </c>
      <c r="D15" t="s">
        <v>41</v>
      </c>
      <c r="E15" t="s">
        <v>148</v>
      </c>
      <c r="F15" t="str">
        <f>'Test Equ'!$B$3</f>
        <v>Frequency via Quartzlock E8-Y GPS Frequency Reference, Serial number 17012033.</v>
      </c>
      <c r="G15" t="str">
        <f>'Test Equ'!B$10</f>
        <v>Fluke 8508A Digital Multimeter Serial No. 115260406 UKAS Calibration Certificate No. 0183-075669 dated 06th April 2020.</v>
      </c>
      <c r="J15">
        <v>1</v>
      </c>
      <c r="K15" t="s">
        <v>359</v>
      </c>
      <c r="L15" t="s">
        <v>359</v>
      </c>
      <c r="M15" t="s">
        <v>380</v>
      </c>
      <c r="N15">
        <v>135</v>
      </c>
      <c r="O15">
        <v>5000</v>
      </c>
      <c r="P15">
        <v>0.5</v>
      </c>
      <c r="Q15">
        <v>1</v>
      </c>
      <c r="R15">
        <v>2</v>
      </c>
      <c r="S15">
        <v>3</v>
      </c>
      <c r="T15">
        <v>4</v>
      </c>
      <c r="U15">
        <v>6</v>
      </c>
      <c r="V15">
        <v>5</v>
      </c>
      <c r="X15">
        <v>18</v>
      </c>
      <c r="Y15">
        <v>6</v>
      </c>
      <c r="Z15">
        <v>18</v>
      </c>
      <c r="AA15" s="9">
        <v>15</v>
      </c>
      <c r="AB15">
        <f t="shared" si="0"/>
        <v>50</v>
      </c>
      <c r="AC15">
        <f t="shared" si="1"/>
        <v>150</v>
      </c>
    </row>
    <row r="16" spans="1:29" x14ac:dyDescent="0.25">
      <c r="A16" t="s">
        <v>65</v>
      </c>
      <c r="B16" s="73" t="s">
        <v>86</v>
      </c>
      <c r="C16" t="s">
        <v>89</v>
      </c>
      <c r="D16" s="1" t="s">
        <v>36</v>
      </c>
      <c r="E16" t="s">
        <v>148</v>
      </c>
      <c r="F16" t="str">
        <f>'Test Equ'!$B$3</f>
        <v>Frequency via Quartzlock E8-Y GPS Frequency Reference, Serial number 17012033.</v>
      </c>
      <c r="G16" t="str">
        <f>'Test Equ'!B$10</f>
        <v>Fluke 8508A Digital Multimeter Serial No. 115260406 UKAS Calibration Certificate No. 0183-075669 dated 06th April 2020.</v>
      </c>
      <c r="J16">
        <v>1</v>
      </c>
      <c r="K16" t="s">
        <v>54</v>
      </c>
      <c r="L16" t="s">
        <v>46</v>
      </c>
      <c r="M16" t="s">
        <v>65</v>
      </c>
      <c r="N16">
        <v>150</v>
      </c>
      <c r="O16">
        <v>1200</v>
      </c>
      <c r="P16">
        <v>0.5</v>
      </c>
      <c r="Q16">
        <v>1</v>
      </c>
      <c r="R16">
        <v>2</v>
      </c>
      <c r="S16">
        <v>3</v>
      </c>
      <c r="T16">
        <v>5</v>
      </c>
      <c r="U16">
        <v>7</v>
      </c>
      <c r="V16">
        <v>5</v>
      </c>
      <c r="X16">
        <v>20</v>
      </c>
      <c r="Y16">
        <v>7</v>
      </c>
      <c r="Z16">
        <v>20</v>
      </c>
      <c r="AA16">
        <v>6</v>
      </c>
      <c r="AB16">
        <f t="shared" si="0"/>
        <v>20</v>
      </c>
      <c r="AC16">
        <f t="shared" si="1"/>
        <v>60</v>
      </c>
    </row>
    <row r="17" spans="1:29" x14ac:dyDescent="0.25">
      <c r="A17" t="s">
        <v>66</v>
      </c>
      <c r="B17" s="73" t="s">
        <v>86</v>
      </c>
      <c r="C17" t="s">
        <v>87</v>
      </c>
      <c r="D17" s="1" t="s">
        <v>36</v>
      </c>
      <c r="E17" t="s">
        <v>148</v>
      </c>
      <c r="F17" t="str">
        <f>'Test Equ'!$B$3</f>
        <v>Frequency via Quartzlock E8-Y GPS Frequency Reference, Serial number 17012033.</v>
      </c>
      <c r="G17" t="str">
        <f>'Test Equ'!B$10</f>
        <v>Fluke 8508A Digital Multimeter Serial No. 115260406 UKAS Calibration Certificate No. 0183-075669 dated 06th April 2020.</v>
      </c>
      <c r="J17">
        <v>1</v>
      </c>
      <c r="K17" t="s">
        <v>53</v>
      </c>
      <c r="L17" t="s">
        <v>46</v>
      </c>
      <c r="M17" t="s">
        <v>66</v>
      </c>
      <c r="N17">
        <v>150</v>
      </c>
      <c r="O17">
        <v>1200</v>
      </c>
      <c r="P17">
        <v>0.5</v>
      </c>
      <c r="Q17">
        <v>1</v>
      </c>
      <c r="R17">
        <v>2</v>
      </c>
      <c r="S17">
        <v>3</v>
      </c>
      <c r="T17">
        <v>5</v>
      </c>
      <c r="U17">
        <v>7</v>
      </c>
      <c r="V17">
        <v>5</v>
      </c>
      <c r="X17">
        <v>20</v>
      </c>
      <c r="Y17">
        <v>7</v>
      </c>
      <c r="Z17">
        <v>20</v>
      </c>
      <c r="AA17">
        <v>6</v>
      </c>
      <c r="AB17">
        <f t="shared" si="0"/>
        <v>20</v>
      </c>
      <c r="AC17">
        <f t="shared" si="1"/>
        <v>60</v>
      </c>
    </row>
    <row r="18" spans="1:29" x14ac:dyDescent="0.25">
      <c r="A18" t="s">
        <v>67</v>
      </c>
      <c r="B18" t="s">
        <v>88</v>
      </c>
      <c r="C18" t="s">
        <v>89</v>
      </c>
      <c r="D18" t="s">
        <v>41</v>
      </c>
      <c r="E18" t="s">
        <v>149</v>
      </c>
      <c r="F18" t="str">
        <f>'Test Equ'!$B$3</f>
        <v>Frequency via Quartzlock E8-Y GPS Frequency Reference, Serial number 17012033.</v>
      </c>
      <c r="G18" t="str">
        <f>'Test Equ'!B$10</f>
        <v>Fluke 8508A Digital Multimeter Serial No. 115260406 UKAS Calibration Certificate No. 0183-075669 dated 06th April 2020.</v>
      </c>
      <c r="H18" t="str">
        <f>'Test Equ'!$B$4</f>
        <v>Cropico RS2 Standard Resistor 0.01Ω Ser No. 6577 Calibrated 08th June 2020.</v>
      </c>
      <c r="J18">
        <v>1</v>
      </c>
      <c r="K18" t="s">
        <v>54</v>
      </c>
      <c r="L18" t="s">
        <v>47</v>
      </c>
      <c r="M18" t="s">
        <v>67</v>
      </c>
      <c r="N18">
        <v>135</v>
      </c>
      <c r="O18">
        <v>1200</v>
      </c>
      <c r="P18">
        <v>0.5</v>
      </c>
      <c r="Q18">
        <v>1</v>
      </c>
      <c r="R18">
        <v>2</v>
      </c>
      <c r="S18">
        <v>5</v>
      </c>
      <c r="T18">
        <v>10</v>
      </c>
      <c r="U18">
        <v>12</v>
      </c>
      <c r="V18">
        <v>5</v>
      </c>
      <c r="X18">
        <v>30</v>
      </c>
      <c r="Y18">
        <v>12</v>
      </c>
      <c r="Z18">
        <v>36</v>
      </c>
      <c r="AA18">
        <v>15</v>
      </c>
      <c r="AB18">
        <f t="shared" si="0"/>
        <v>50</v>
      </c>
      <c r="AC18">
        <f t="shared" si="1"/>
        <v>150</v>
      </c>
    </row>
    <row r="19" spans="1:29" x14ac:dyDescent="0.25">
      <c r="A19" t="s">
        <v>68</v>
      </c>
      <c r="B19" t="s">
        <v>88</v>
      </c>
      <c r="C19" t="s">
        <v>87</v>
      </c>
      <c r="D19" t="s">
        <v>41</v>
      </c>
      <c r="E19" t="s">
        <v>149</v>
      </c>
      <c r="F19" t="str">
        <f>'Test Equ'!$B$3</f>
        <v>Frequency via Quartzlock E8-Y GPS Frequency Reference, Serial number 17012033.</v>
      </c>
      <c r="G19" t="str">
        <f>'Test Equ'!B$10</f>
        <v>Fluke 8508A Digital Multimeter Serial No. 115260406 UKAS Calibration Certificate No. 0183-075669 dated 06th April 2020.</v>
      </c>
      <c r="H19" t="str">
        <f>'Test Equ'!$B$4</f>
        <v>Cropico RS2 Standard Resistor 0.01Ω Ser No. 6577 Calibrated 08th June 2020.</v>
      </c>
      <c r="J19">
        <v>1</v>
      </c>
      <c r="K19" t="s">
        <v>53</v>
      </c>
      <c r="L19" t="s">
        <v>47</v>
      </c>
      <c r="M19" t="s">
        <v>68</v>
      </c>
      <c r="N19">
        <v>135</v>
      </c>
      <c r="O19">
        <v>5000</v>
      </c>
      <c r="P19">
        <v>0.5</v>
      </c>
      <c r="Q19">
        <v>1</v>
      </c>
      <c r="R19">
        <v>2</v>
      </c>
      <c r="S19">
        <v>5</v>
      </c>
      <c r="T19">
        <v>10</v>
      </c>
      <c r="U19">
        <v>12</v>
      </c>
      <c r="V19">
        <v>5</v>
      </c>
      <c r="X19">
        <v>30</v>
      </c>
      <c r="Y19">
        <v>12</v>
      </c>
      <c r="Z19">
        <v>36</v>
      </c>
      <c r="AA19">
        <v>15</v>
      </c>
      <c r="AB19">
        <f t="shared" si="0"/>
        <v>50</v>
      </c>
      <c r="AC19">
        <f t="shared" si="1"/>
        <v>150</v>
      </c>
    </row>
    <row r="20" spans="1:29" x14ac:dyDescent="0.25">
      <c r="A20" t="s">
        <v>381</v>
      </c>
      <c r="B20" s="73" t="s">
        <v>360</v>
      </c>
      <c r="D20" t="s">
        <v>41</v>
      </c>
      <c r="E20" t="s">
        <v>149</v>
      </c>
      <c r="F20" t="str">
        <f>'Test Equ'!$B$3</f>
        <v>Frequency via Quartzlock E8-Y GPS Frequency Reference, Serial number 17012033.</v>
      </c>
      <c r="G20" t="str">
        <f>'Test Equ'!B$10</f>
        <v>Fluke 8508A Digital Multimeter Serial No. 115260406 UKAS Calibration Certificate No. 0183-075669 dated 06th April 2020.</v>
      </c>
      <c r="H20" t="str">
        <f>'Test Equ'!$B$4</f>
        <v>Cropico RS2 Standard Resistor 0.01Ω Ser No. 6577 Calibrated 08th June 2020.</v>
      </c>
      <c r="J20">
        <v>1</v>
      </c>
      <c r="K20" t="s">
        <v>359</v>
      </c>
      <c r="L20" t="s">
        <v>359</v>
      </c>
      <c r="M20" t="s">
        <v>381</v>
      </c>
      <c r="N20">
        <v>135</v>
      </c>
      <c r="O20">
        <v>5000</v>
      </c>
      <c r="P20">
        <v>0.5</v>
      </c>
      <c r="Q20">
        <v>1</v>
      </c>
      <c r="R20">
        <v>2</v>
      </c>
      <c r="S20">
        <v>5</v>
      </c>
      <c r="T20">
        <v>10</v>
      </c>
      <c r="U20">
        <v>12</v>
      </c>
      <c r="V20">
        <v>5</v>
      </c>
      <c r="X20">
        <v>30</v>
      </c>
      <c r="Y20">
        <v>12</v>
      </c>
      <c r="Z20">
        <v>36</v>
      </c>
      <c r="AA20">
        <v>15</v>
      </c>
      <c r="AB20">
        <f t="shared" si="0"/>
        <v>50</v>
      </c>
      <c r="AC20">
        <f t="shared" si="1"/>
        <v>150</v>
      </c>
    </row>
    <row r="21" spans="1:29" x14ac:dyDescent="0.25">
      <c r="A21" t="s">
        <v>69</v>
      </c>
      <c r="B21" s="73" t="s">
        <v>86</v>
      </c>
      <c r="C21" t="s">
        <v>89</v>
      </c>
      <c r="D21" t="s">
        <v>41</v>
      </c>
      <c r="E21" t="s">
        <v>149</v>
      </c>
      <c r="F21" t="str">
        <f>'Test Equ'!$B$3</f>
        <v>Frequency via Quartzlock E8-Y GPS Frequency Reference, Serial number 17012033.</v>
      </c>
      <c r="G21" t="str">
        <f>'Test Equ'!B$10</f>
        <v>Fluke 8508A Digital Multimeter Serial No. 115260406 UKAS Calibration Certificate No. 0183-075669 dated 06th April 2020.</v>
      </c>
      <c r="H21" t="str">
        <f>'Test Equ'!$B$4</f>
        <v>Cropico RS2 Standard Resistor 0.01Ω Ser No. 6577 Calibrated 08th June 2020.</v>
      </c>
      <c r="J21">
        <v>1</v>
      </c>
      <c r="K21" t="s">
        <v>54</v>
      </c>
      <c r="L21" t="s">
        <v>46</v>
      </c>
      <c r="M21" t="s">
        <v>69</v>
      </c>
      <c r="N21">
        <v>135</v>
      </c>
      <c r="O21">
        <v>1200</v>
      </c>
      <c r="P21">
        <v>0.5</v>
      </c>
      <c r="Q21">
        <v>1</v>
      </c>
      <c r="R21">
        <v>2</v>
      </c>
      <c r="S21">
        <v>5</v>
      </c>
      <c r="T21">
        <v>10</v>
      </c>
      <c r="U21">
        <v>12</v>
      </c>
      <c r="V21">
        <v>5</v>
      </c>
      <c r="X21">
        <v>30</v>
      </c>
      <c r="Y21">
        <v>16</v>
      </c>
      <c r="Z21">
        <v>36</v>
      </c>
      <c r="AA21">
        <v>12</v>
      </c>
      <c r="AB21">
        <f t="shared" si="0"/>
        <v>40</v>
      </c>
      <c r="AC21">
        <f t="shared" si="1"/>
        <v>120</v>
      </c>
    </row>
    <row r="22" spans="1:29" x14ac:dyDescent="0.25">
      <c r="A22" t="s">
        <v>70</v>
      </c>
      <c r="B22" s="73" t="s">
        <v>86</v>
      </c>
      <c r="C22" t="s">
        <v>87</v>
      </c>
      <c r="D22" t="s">
        <v>41</v>
      </c>
      <c r="E22" t="s">
        <v>149</v>
      </c>
      <c r="F22" t="str">
        <f>'Test Equ'!$B$3</f>
        <v>Frequency via Quartzlock E8-Y GPS Frequency Reference, Serial number 17012033.</v>
      </c>
      <c r="G22" t="str">
        <f>'Test Equ'!B$10</f>
        <v>Fluke 8508A Digital Multimeter Serial No. 115260406 UKAS Calibration Certificate No. 0183-075669 dated 06th April 2020.</v>
      </c>
      <c r="H22" t="str">
        <f>'Test Equ'!$B$4</f>
        <v>Cropico RS2 Standard Resistor 0.01Ω Ser No. 6577 Calibrated 08th June 2020.</v>
      </c>
      <c r="J22">
        <v>1</v>
      </c>
      <c r="K22" t="s">
        <v>53</v>
      </c>
      <c r="L22" t="s">
        <v>46</v>
      </c>
      <c r="M22" t="s">
        <v>70</v>
      </c>
      <c r="N22">
        <v>135</v>
      </c>
      <c r="O22">
        <v>5000</v>
      </c>
      <c r="P22">
        <v>0.5</v>
      </c>
      <c r="Q22">
        <v>1</v>
      </c>
      <c r="R22">
        <v>2</v>
      </c>
      <c r="S22">
        <v>5</v>
      </c>
      <c r="T22">
        <v>10</v>
      </c>
      <c r="U22">
        <v>12</v>
      </c>
      <c r="V22">
        <v>5</v>
      </c>
      <c r="X22">
        <v>30</v>
      </c>
      <c r="Y22">
        <v>16</v>
      </c>
      <c r="Z22">
        <v>36</v>
      </c>
      <c r="AA22">
        <v>12</v>
      </c>
      <c r="AB22">
        <f t="shared" si="0"/>
        <v>40</v>
      </c>
      <c r="AC22">
        <f t="shared" si="1"/>
        <v>120</v>
      </c>
    </row>
    <row r="23" spans="1:29" x14ac:dyDescent="0.25">
      <c r="A23" t="s">
        <v>71</v>
      </c>
      <c r="B23" t="s">
        <v>88</v>
      </c>
      <c r="C23" t="s">
        <v>89</v>
      </c>
      <c r="D23" t="s">
        <v>41</v>
      </c>
      <c r="E23" t="s">
        <v>149</v>
      </c>
      <c r="F23" t="str">
        <f>'Test Equ'!$B$3</f>
        <v>Frequency via Quartzlock E8-Y GPS Frequency Reference, Serial number 17012033.</v>
      </c>
      <c r="G23" t="str">
        <f>'Test Equ'!B$10</f>
        <v>Fluke 8508A Digital Multimeter Serial No. 115260406 UKAS Calibration Certificate No. 0183-075669 dated 06th April 2020.</v>
      </c>
      <c r="H23" t="str">
        <f>'Test Equ'!$B$4</f>
        <v>Cropico RS2 Standard Resistor 0.01Ω Ser No. 6577 Calibrated 08th June 2020.</v>
      </c>
      <c r="J23">
        <v>1</v>
      </c>
      <c r="K23" t="s">
        <v>54</v>
      </c>
      <c r="L23" t="s">
        <v>47</v>
      </c>
      <c r="M23" t="s">
        <v>71</v>
      </c>
      <c r="N23">
        <v>135</v>
      </c>
      <c r="O23">
        <v>1200</v>
      </c>
      <c r="P23">
        <v>0.5</v>
      </c>
      <c r="Q23">
        <v>1</v>
      </c>
      <c r="R23">
        <v>2</v>
      </c>
      <c r="S23">
        <v>5</v>
      </c>
      <c r="T23">
        <v>10</v>
      </c>
      <c r="U23">
        <v>15</v>
      </c>
      <c r="V23">
        <v>5</v>
      </c>
      <c r="X23">
        <v>30</v>
      </c>
      <c r="Y23">
        <v>16</v>
      </c>
      <c r="Z23">
        <v>48</v>
      </c>
      <c r="AA23">
        <v>15</v>
      </c>
      <c r="AB23">
        <f t="shared" si="0"/>
        <v>50</v>
      </c>
      <c r="AC23">
        <f t="shared" si="1"/>
        <v>150</v>
      </c>
    </row>
    <row r="24" spans="1:29" x14ac:dyDescent="0.25">
      <c r="A24" t="s">
        <v>72</v>
      </c>
      <c r="B24" t="s">
        <v>88</v>
      </c>
      <c r="C24" t="s">
        <v>87</v>
      </c>
      <c r="D24" t="s">
        <v>41</v>
      </c>
      <c r="E24" t="s">
        <v>149</v>
      </c>
      <c r="F24" t="str">
        <f>'Test Equ'!$B$3</f>
        <v>Frequency via Quartzlock E8-Y GPS Frequency Reference, Serial number 17012033.</v>
      </c>
      <c r="G24" t="str">
        <f>'Test Equ'!B$10</f>
        <v>Fluke 8508A Digital Multimeter Serial No. 115260406 UKAS Calibration Certificate No. 0183-075669 dated 06th April 2020.</v>
      </c>
      <c r="H24" t="str">
        <f>'Test Equ'!$B$4</f>
        <v>Cropico RS2 Standard Resistor 0.01Ω Ser No. 6577 Calibrated 08th June 2020.</v>
      </c>
      <c r="J24">
        <v>1</v>
      </c>
      <c r="K24" t="s">
        <v>53</v>
      </c>
      <c r="L24" t="s">
        <v>47</v>
      </c>
      <c r="M24" t="s">
        <v>72</v>
      </c>
      <c r="N24">
        <v>135</v>
      </c>
      <c r="O24">
        <v>5000</v>
      </c>
      <c r="P24">
        <v>0.5</v>
      </c>
      <c r="Q24">
        <v>1</v>
      </c>
      <c r="R24">
        <v>2</v>
      </c>
      <c r="S24">
        <v>5</v>
      </c>
      <c r="T24">
        <v>10</v>
      </c>
      <c r="U24">
        <v>15</v>
      </c>
      <c r="V24">
        <v>5</v>
      </c>
      <c r="X24">
        <v>30</v>
      </c>
      <c r="Y24">
        <v>16</v>
      </c>
      <c r="Z24">
        <v>48</v>
      </c>
      <c r="AA24">
        <v>15</v>
      </c>
      <c r="AB24">
        <f t="shared" si="0"/>
        <v>50</v>
      </c>
      <c r="AC24">
        <f t="shared" si="1"/>
        <v>150</v>
      </c>
    </row>
    <row r="25" spans="1:29" x14ac:dyDescent="0.25">
      <c r="A25" t="s">
        <v>382</v>
      </c>
      <c r="B25" s="73" t="s">
        <v>360</v>
      </c>
      <c r="D25" t="s">
        <v>41</v>
      </c>
      <c r="E25" t="s">
        <v>149</v>
      </c>
      <c r="F25" t="str">
        <f>'Test Equ'!$B$3</f>
        <v>Frequency via Quartzlock E8-Y GPS Frequency Reference, Serial number 17012033.</v>
      </c>
      <c r="G25" t="str">
        <f>'Test Equ'!B$10</f>
        <v>Fluke 8508A Digital Multimeter Serial No. 115260406 UKAS Calibration Certificate No. 0183-075669 dated 06th April 2020.</v>
      </c>
      <c r="H25" t="str">
        <f>'Test Equ'!$B$4</f>
        <v>Cropico RS2 Standard Resistor 0.01Ω Ser No. 6577 Calibrated 08th June 2020.</v>
      </c>
      <c r="J25">
        <v>1</v>
      </c>
      <c r="K25" t="s">
        <v>359</v>
      </c>
      <c r="L25" t="s">
        <v>359</v>
      </c>
      <c r="M25" t="s">
        <v>382</v>
      </c>
      <c r="N25">
        <v>135</v>
      </c>
      <c r="O25">
        <v>5000</v>
      </c>
      <c r="P25">
        <v>0.5</v>
      </c>
      <c r="Q25">
        <v>1</v>
      </c>
      <c r="R25">
        <v>2</v>
      </c>
      <c r="S25">
        <v>5</v>
      </c>
      <c r="T25">
        <v>10</v>
      </c>
      <c r="U25">
        <v>15</v>
      </c>
      <c r="V25">
        <v>5</v>
      </c>
      <c r="X25">
        <v>30</v>
      </c>
      <c r="Y25">
        <v>16</v>
      </c>
      <c r="Z25">
        <v>48</v>
      </c>
      <c r="AA25">
        <v>15</v>
      </c>
      <c r="AB25">
        <f t="shared" si="0"/>
        <v>50</v>
      </c>
      <c r="AC25">
        <f t="shared" si="1"/>
        <v>150</v>
      </c>
    </row>
    <row r="26" spans="1:29" x14ac:dyDescent="0.25">
      <c r="A26" t="s">
        <v>73</v>
      </c>
      <c r="B26" s="73" t="s">
        <v>86</v>
      </c>
      <c r="C26" t="s">
        <v>89</v>
      </c>
      <c r="D26" t="s">
        <v>41</v>
      </c>
      <c r="E26" t="s">
        <v>149</v>
      </c>
      <c r="F26" t="str">
        <f>'Test Equ'!$B$3</f>
        <v>Frequency via Quartzlock E8-Y GPS Frequency Reference, Serial number 17012033.</v>
      </c>
      <c r="G26" t="str">
        <f>'Test Equ'!B$10</f>
        <v>Fluke 8508A Digital Multimeter Serial No. 115260406 UKAS Calibration Certificate No. 0183-075669 dated 06th April 2020.</v>
      </c>
      <c r="H26" t="str">
        <f>'Test Equ'!$B$4</f>
        <v>Cropico RS2 Standard Resistor 0.01Ω Ser No. 6577 Calibrated 08th June 2020.</v>
      </c>
      <c r="J26">
        <v>1</v>
      </c>
      <c r="K26" t="s">
        <v>54</v>
      </c>
      <c r="L26" t="s">
        <v>46</v>
      </c>
      <c r="M26" t="s">
        <v>73</v>
      </c>
      <c r="N26">
        <v>132</v>
      </c>
      <c r="O26">
        <v>1200</v>
      </c>
      <c r="P26">
        <v>0.5</v>
      </c>
      <c r="Q26">
        <v>1</v>
      </c>
      <c r="R26">
        <v>2</v>
      </c>
      <c r="S26">
        <v>5</v>
      </c>
      <c r="T26">
        <v>10</v>
      </c>
      <c r="U26">
        <v>15</v>
      </c>
      <c r="V26">
        <v>5</v>
      </c>
      <c r="X26">
        <v>30</v>
      </c>
      <c r="Y26">
        <v>16</v>
      </c>
      <c r="Z26">
        <v>48</v>
      </c>
      <c r="AA26">
        <v>12</v>
      </c>
      <c r="AB26">
        <f t="shared" si="0"/>
        <v>40</v>
      </c>
      <c r="AC26">
        <f t="shared" si="1"/>
        <v>120</v>
      </c>
    </row>
    <row r="27" spans="1:29" x14ac:dyDescent="0.25">
      <c r="A27" t="s">
        <v>74</v>
      </c>
      <c r="B27" s="73" t="s">
        <v>86</v>
      </c>
      <c r="C27" t="s">
        <v>87</v>
      </c>
      <c r="D27" t="s">
        <v>41</v>
      </c>
      <c r="E27" t="s">
        <v>149</v>
      </c>
      <c r="F27" t="str">
        <f>'Test Equ'!$B$3</f>
        <v>Frequency via Quartzlock E8-Y GPS Frequency Reference, Serial number 17012033.</v>
      </c>
      <c r="G27" t="str">
        <f>'Test Equ'!B$10</f>
        <v>Fluke 8508A Digital Multimeter Serial No. 115260406 UKAS Calibration Certificate No. 0183-075669 dated 06th April 2020.</v>
      </c>
      <c r="H27" t="str">
        <f>'Test Equ'!$B$4</f>
        <v>Cropico RS2 Standard Resistor 0.01Ω Ser No. 6577 Calibrated 08th June 2020.</v>
      </c>
      <c r="J27">
        <v>1</v>
      </c>
      <c r="K27" t="s">
        <v>53</v>
      </c>
      <c r="L27" t="s">
        <v>46</v>
      </c>
      <c r="M27" t="s">
        <v>74</v>
      </c>
      <c r="N27">
        <v>132</v>
      </c>
      <c r="O27">
        <v>1200</v>
      </c>
      <c r="P27">
        <v>0.5</v>
      </c>
      <c r="Q27">
        <v>1</v>
      </c>
      <c r="R27">
        <v>2</v>
      </c>
      <c r="S27">
        <v>5</v>
      </c>
      <c r="T27">
        <v>10</v>
      </c>
      <c r="U27">
        <v>15</v>
      </c>
      <c r="V27">
        <v>5</v>
      </c>
      <c r="X27">
        <v>30</v>
      </c>
      <c r="Y27">
        <v>16</v>
      </c>
      <c r="Z27">
        <v>48</v>
      </c>
      <c r="AA27">
        <v>12</v>
      </c>
      <c r="AB27">
        <f t="shared" si="0"/>
        <v>40</v>
      </c>
      <c r="AC27">
        <f t="shared" si="1"/>
        <v>120</v>
      </c>
    </row>
    <row r="28" spans="1:29" x14ac:dyDescent="0.25">
      <c r="A28" t="s">
        <v>75</v>
      </c>
      <c r="B28" t="s">
        <v>88</v>
      </c>
      <c r="C28" t="s">
        <v>89</v>
      </c>
      <c r="D28" t="s">
        <v>41</v>
      </c>
      <c r="E28" t="s">
        <v>149</v>
      </c>
      <c r="F28" t="str">
        <f>'Test Equ'!$B$3</f>
        <v>Frequency via Quartzlock E8-Y GPS Frequency Reference, Serial number 17012033.</v>
      </c>
      <c r="G28" t="str">
        <f>'Test Equ'!B$10</f>
        <v>Fluke 8508A Digital Multimeter Serial No. 115260406 UKAS Calibration Certificate No. 0183-075669 dated 06th April 2020.</v>
      </c>
      <c r="H28" t="str">
        <f>'Test Equ'!$B$4</f>
        <v>Cropico RS2 Standard Resistor 0.01Ω Ser No. 6577 Calibrated 08th June 2020.</v>
      </c>
      <c r="I28" t="str">
        <f>'Test Equ'!$B$7</f>
        <v>Newton’s 4th HF100 Current Shunt Serial number 911-11514. Calibrated 09th June 2020.</v>
      </c>
      <c r="J28">
        <v>1</v>
      </c>
      <c r="K28" t="s">
        <v>54</v>
      </c>
      <c r="L28" t="s">
        <v>47</v>
      </c>
      <c r="M28" t="s">
        <v>75</v>
      </c>
      <c r="N28">
        <v>135</v>
      </c>
      <c r="O28">
        <v>1200</v>
      </c>
      <c r="P28">
        <v>1</v>
      </c>
      <c r="Q28">
        <v>2</v>
      </c>
      <c r="R28">
        <v>5</v>
      </c>
      <c r="S28">
        <v>10</v>
      </c>
      <c r="T28">
        <v>15</v>
      </c>
      <c r="U28">
        <v>24</v>
      </c>
      <c r="V28">
        <v>5</v>
      </c>
      <c r="X28">
        <v>70</v>
      </c>
      <c r="Y28">
        <v>24</v>
      </c>
      <c r="Z28">
        <v>72</v>
      </c>
      <c r="AA28">
        <v>30</v>
      </c>
      <c r="AB28">
        <f t="shared" si="0"/>
        <v>100</v>
      </c>
      <c r="AC28">
        <f t="shared" si="1"/>
        <v>300</v>
      </c>
    </row>
    <row r="29" spans="1:29" x14ac:dyDescent="0.25">
      <c r="A29" t="s">
        <v>76</v>
      </c>
      <c r="B29" t="s">
        <v>88</v>
      </c>
      <c r="C29" t="s">
        <v>87</v>
      </c>
      <c r="D29" t="s">
        <v>41</v>
      </c>
      <c r="E29" t="s">
        <v>149</v>
      </c>
      <c r="F29" t="str">
        <f>'Test Equ'!$B$3</f>
        <v>Frequency via Quartzlock E8-Y GPS Frequency Reference, Serial number 17012033.</v>
      </c>
      <c r="G29" t="str">
        <f>'Test Equ'!B$10</f>
        <v>Fluke 8508A Digital Multimeter Serial No. 115260406 UKAS Calibration Certificate No. 0183-075669 dated 06th April 2020.</v>
      </c>
      <c r="H29" t="str">
        <f>'Test Equ'!$B$4</f>
        <v>Cropico RS2 Standard Resistor 0.01Ω Ser No. 6577 Calibrated 08th June 2020.</v>
      </c>
      <c r="I29" t="str">
        <f>'Test Equ'!$B$7</f>
        <v>Newton’s 4th HF100 Current Shunt Serial number 911-11514. Calibrated 09th June 2020.</v>
      </c>
      <c r="J29">
        <v>1</v>
      </c>
      <c r="K29" t="s">
        <v>53</v>
      </c>
      <c r="L29" t="s">
        <v>47</v>
      </c>
      <c r="M29" t="s">
        <v>76</v>
      </c>
      <c r="N29">
        <v>135</v>
      </c>
      <c r="O29">
        <v>5000</v>
      </c>
      <c r="P29">
        <v>1</v>
      </c>
      <c r="Q29">
        <v>2</v>
      </c>
      <c r="R29">
        <v>5</v>
      </c>
      <c r="S29">
        <v>10</v>
      </c>
      <c r="T29">
        <v>15</v>
      </c>
      <c r="U29">
        <v>24</v>
      </c>
      <c r="V29">
        <v>5</v>
      </c>
      <c r="X29">
        <v>70</v>
      </c>
      <c r="Y29">
        <v>24</v>
      </c>
      <c r="Z29">
        <v>72</v>
      </c>
      <c r="AA29">
        <v>30</v>
      </c>
      <c r="AB29">
        <f t="shared" si="0"/>
        <v>100</v>
      </c>
      <c r="AC29">
        <f t="shared" si="1"/>
        <v>300</v>
      </c>
    </row>
    <row r="30" spans="1:29" x14ac:dyDescent="0.25">
      <c r="A30" t="s">
        <v>383</v>
      </c>
      <c r="B30" s="73" t="s">
        <v>360</v>
      </c>
      <c r="D30" t="s">
        <v>41</v>
      </c>
      <c r="E30" t="s">
        <v>149</v>
      </c>
      <c r="F30" t="str">
        <f>'Test Equ'!$B$3</f>
        <v>Frequency via Quartzlock E8-Y GPS Frequency Reference, Serial number 17012033.</v>
      </c>
      <c r="G30" t="str">
        <f>'Test Equ'!B$10</f>
        <v>Fluke 8508A Digital Multimeter Serial No. 115260406 UKAS Calibration Certificate No. 0183-075669 dated 06th April 2020.</v>
      </c>
      <c r="H30" t="str">
        <f>'Test Equ'!$B$4</f>
        <v>Cropico RS2 Standard Resistor 0.01Ω Ser No. 6577 Calibrated 08th June 2020.</v>
      </c>
      <c r="I30" t="str">
        <f>'Test Equ'!$B$7</f>
        <v>Newton’s 4th HF100 Current Shunt Serial number 911-11514. Calibrated 09th June 2020.</v>
      </c>
      <c r="J30">
        <v>1</v>
      </c>
      <c r="K30" t="s">
        <v>359</v>
      </c>
      <c r="L30" t="s">
        <v>359</v>
      </c>
      <c r="M30" t="s">
        <v>383</v>
      </c>
      <c r="N30">
        <v>135</v>
      </c>
      <c r="O30">
        <v>5000</v>
      </c>
      <c r="P30">
        <v>1</v>
      </c>
      <c r="Q30">
        <v>2</v>
      </c>
      <c r="R30">
        <v>5</v>
      </c>
      <c r="S30">
        <v>10</v>
      </c>
      <c r="T30">
        <v>15</v>
      </c>
      <c r="U30">
        <v>24</v>
      </c>
      <c r="V30">
        <v>5</v>
      </c>
      <c r="X30">
        <v>70</v>
      </c>
      <c r="Y30">
        <v>24</v>
      </c>
      <c r="Z30">
        <v>72</v>
      </c>
      <c r="AA30">
        <v>30</v>
      </c>
      <c r="AB30">
        <f t="shared" si="0"/>
        <v>100</v>
      </c>
      <c r="AC30">
        <f t="shared" si="1"/>
        <v>300</v>
      </c>
    </row>
    <row r="31" spans="1:29" x14ac:dyDescent="0.25">
      <c r="A31" t="s">
        <v>77</v>
      </c>
      <c r="B31" s="73" t="s">
        <v>86</v>
      </c>
      <c r="C31" t="s">
        <v>89</v>
      </c>
      <c r="D31" t="s">
        <v>41</v>
      </c>
      <c r="E31" t="s">
        <v>149</v>
      </c>
      <c r="F31" t="str">
        <f>'Test Equ'!$B$3</f>
        <v>Frequency via Quartzlock E8-Y GPS Frequency Reference, Serial number 17012033.</v>
      </c>
      <c r="G31" t="str">
        <f>'Test Equ'!B$10</f>
        <v>Fluke 8508A Digital Multimeter Serial No. 115260406 UKAS Calibration Certificate No. 0183-075669 dated 06th April 2020.</v>
      </c>
      <c r="H31" t="str">
        <f>'Test Equ'!$B$4</f>
        <v>Cropico RS2 Standard Resistor 0.01Ω Ser No. 6577 Calibrated 08th June 2020.</v>
      </c>
      <c r="I31" t="str">
        <f>'Test Equ'!$B$7</f>
        <v>Newton’s 4th HF100 Current Shunt Serial number 911-11514. Calibrated 09th June 2020.</v>
      </c>
      <c r="J31">
        <v>1</v>
      </c>
      <c r="K31" t="s">
        <v>54</v>
      </c>
      <c r="L31" t="s">
        <v>46</v>
      </c>
      <c r="M31" t="s">
        <v>77</v>
      </c>
      <c r="N31">
        <v>135</v>
      </c>
      <c r="O31">
        <v>1200</v>
      </c>
      <c r="P31">
        <v>1</v>
      </c>
      <c r="Q31">
        <v>2</v>
      </c>
      <c r="R31">
        <v>5</v>
      </c>
      <c r="S31">
        <v>10</v>
      </c>
      <c r="T31">
        <v>15</v>
      </c>
      <c r="U31">
        <v>24</v>
      </c>
      <c r="V31">
        <v>5</v>
      </c>
      <c r="X31">
        <v>70</v>
      </c>
      <c r="Y31">
        <v>24</v>
      </c>
      <c r="Z31">
        <v>72</v>
      </c>
      <c r="AA31">
        <v>60</v>
      </c>
      <c r="AB31">
        <f t="shared" si="0"/>
        <v>200</v>
      </c>
      <c r="AC31">
        <f t="shared" si="1"/>
        <v>600</v>
      </c>
    </row>
    <row r="32" spans="1:29" x14ac:dyDescent="0.25">
      <c r="A32" t="s">
        <v>78</v>
      </c>
      <c r="B32" s="73" t="s">
        <v>86</v>
      </c>
      <c r="C32" t="s">
        <v>87</v>
      </c>
      <c r="D32" t="s">
        <v>41</v>
      </c>
      <c r="E32" t="s">
        <v>149</v>
      </c>
      <c r="F32" t="str">
        <f>'Test Equ'!$B$3</f>
        <v>Frequency via Quartzlock E8-Y GPS Frequency Reference, Serial number 17012033.</v>
      </c>
      <c r="G32" t="str">
        <f>'Test Equ'!B$10</f>
        <v>Fluke 8508A Digital Multimeter Serial No. 115260406 UKAS Calibration Certificate No. 0183-075669 dated 06th April 2020.</v>
      </c>
      <c r="H32" t="str">
        <f>'Test Equ'!$B$4</f>
        <v>Cropico RS2 Standard Resistor 0.01Ω Ser No. 6577 Calibrated 08th June 2020.</v>
      </c>
      <c r="I32" t="str">
        <f>'Test Equ'!$B$7</f>
        <v>Newton’s 4th HF100 Current Shunt Serial number 911-11514. Calibrated 09th June 2020.</v>
      </c>
      <c r="J32">
        <v>1</v>
      </c>
      <c r="K32" t="s">
        <v>53</v>
      </c>
      <c r="L32" t="s">
        <v>46</v>
      </c>
      <c r="M32" t="s">
        <v>78</v>
      </c>
      <c r="N32">
        <v>135</v>
      </c>
      <c r="O32">
        <v>1200</v>
      </c>
      <c r="P32">
        <v>1</v>
      </c>
      <c r="Q32">
        <v>2</v>
      </c>
      <c r="R32">
        <v>5</v>
      </c>
      <c r="S32">
        <v>10</v>
      </c>
      <c r="T32">
        <v>15</v>
      </c>
      <c r="U32">
        <v>24</v>
      </c>
      <c r="V32">
        <v>5</v>
      </c>
      <c r="X32">
        <v>70</v>
      </c>
      <c r="Y32">
        <v>24</v>
      </c>
      <c r="Z32">
        <v>72</v>
      </c>
      <c r="AA32">
        <v>60</v>
      </c>
      <c r="AB32">
        <f t="shared" si="0"/>
        <v>200</v>
      </c>
      <c r="AC32">
        <f t="shared" si="1"/>
        <v>600</v>
      </c>
    </row>
    <row r="33" spans="1:29" x14ac:dyDescent="0.25">
      <c r="A33" t="s">
        <v>79</v>
      </c>
      <c r="B33" t="s">
        <v>88</v>
      </c>
      <c r="C33" t="s">
        <v>89</v>
      </c>
      <c r="D33" t="s">
        <v>41</v>
      </c>
      <c r="E33" t="s">
        <v>149</v>
      </c>
      <c r="F33" t="str">
        <f>'Test Equ'!$B$3</f>
        <v>Frequency via Quartzlock E8-Y GPS Frequency Reference, Serial number 17012033.</v>
      </c>
      <c r="G33" t="str">
        <f>'Test Equ'!B$10</f>
        <v>Fluke 8508A Digital Multimeter Serial No. 115260406 UKAS Calibration Certificate No. 0183-075669 dated 06th April 2020.</v>
      </c>
      <c r="H33" t="str">
        <f>'Test Equ'!$B$4</f>
        <v>Cropico RS2 Standard Resistor 0.01Ω Ser No. 6577 Calibrated 08th June 2020.</v>
      </c>
      <c r="I33" t="str">
        <f>'Test Equ'!$B$7</f>
        <v>Newton’s 4th HF100 Current Shunt Serial number 911-11514. Calibrated 09th June 2020.</v>
      </c>
      <c r="J33">
        <v>1</v>
      </c>
      <c r="K33" t="s">
        <v>54</v>
      </c>
      <c r="L33" t="s">
        <v>47</v>
      </c>
      <c r="M33" t="s">
        <v>79</v>
      </c>
      <c r="N33">
        <v>135</v>
      </c>
      <c r="O33">
        <v>1200</v>
      </c>
      <c r="P33">
        <v>1</v>
      </c>
      <c r="Q33">
        <v>2</v>
      </c>
      <c r="R33">
        <v>5</v>
      </c>
      <c r="S33">
        <v>10</v>
      </c>
      <c r="T33">
        <v>20</v>
      </c>
      <c r="U33">
        <v>30</v>
      </c>
      <c r="V33">
        <v>5</v>
      </c>
      <c r="X33">
        <v>90</v>
      </c>
      <c r="Y33">
        <v>32</v>
      </c>
      <c r="Z33">
        <v>96</v>
      </c>
      <c r="AA33">
        <v>30</v>
      </c>
      <c r="AB33">
        <f t="shared" si="0"/>
        <v>100</v>
      </c>
      <c r="AC33">
        <f t="shared" si="1"/>
        <v>300</v>
      </c>
    </row>
    <row r="34" spans="1:29" x14ac:dyDescent="0.25">
      <c r="A34" t="s">
        <v>80</v>
      </c>
      <c r="B34" t="s">
        <v>88</v>
      </c>
      <c r="C34" t="s">
        <v>87</v>
      </c>
      <c r="D34" t="s">
        <v>41</v>
      </c>
      <c r="E34" t="s">
        <v>149</v>
      </c>
      <c r="F34" t="str">
        <f>'Test Equ'!$B$3</f>
        <v>Frequency via Quartzlock E8-Y GPS Frequency Reference, Serial number 17012033.</v>
      </c>
      <c r="G34" t="str">
        <f>'Test Equ'!B$10</f>
        <v>Fluke 8508A Digital Multimeter Serial No. 115260406 UKAS Calibration Certificate No. 0183-075669 dated 06th April 2020.</v>
      </c>
      <c r="H34" t="str">
        <f>'Test Equ'!$B$4</f>
        <v>Cropico RS2 Standard Resistor 0.01Ω Ser No. 6577 Calibrated 08th June 2020.</v>
      </c>
      <c r="I34" t="str">
        <f>'Test Equ'!$B$7</f>
        <v>Newton’s 4th HF100 Current Shunt Serial number 911-11514. Calibrated 09th June 2020.</v>
      </c>
      <c r="J34">
        <v>1</v>
      </c>
      <c r="K34" t="s">
        <v>53</v>
      </c>
      <c r="L34" t="s">
        <v>47</v>
      </c>
      <c r="M34" t="s">
        <v>80</v>
      </c>
      <c r="N34">
        <v>135</v>
      </c>
      <c r="O34">
        <v>5000</v>
      </c>
      <c r="P34">
        <v>1</v>
      </c>
      <c r="Q34">
        <v>2</v>
      </c>
      <c r="R34">
        <v>5</v>
      </c>
      <c r="S34">
        <v>10</v>
      </c>
      <c r="T34">
        <v>20</v>
      </c>
      <c r="U34">
        <v>30</v>
      </c>
      <c r="V34">
        <v>5</v>
      </c>
      <c r="X34">
        <v>90</v>
      </c>
      <c r="Y34">
        <v>32</v>
      </c>
      <c r="Z34">
        <v>96</v>
      </c>
      <c r="AA34">
        <v>30</v>
      </c>
      <c r="AB34">
        <f t="shared" si="0"/>
        <v>100</v>
      </c>
      <c r="AC34">
        <f t="shared" si="1"/>
        <v>300</v>
      </c>
    </row>
    <row r="35" spans="1:29" x14ac:dyDescent="0.25">
      <c r="A35" t="s">
        <v>384</v>
      </c>
      <c r="B35" s="73" t="s">
        <v>360</v>
      </c>
      <c r="D35" t="s">
        <v>41</v>
      </c>
      <c r="E35" t="s">
        <v>149</v>
      </c>
      <c r="F35" t="str">
        <f>'Test Equ'!$B$3</f>
        <v>Frequency via Quartzlock E8-Y GPS Frequency Reference, Serial number 17012033.</v>
      </c>
      <c r="G35" t="str">
        <f>'Test Equ'!B$10</f>
        <v>Fluke 8508A Digital Multimeter Serial No. 115260406 UKAS Calibration Certificate No. 0183-075669 dated 06th April 2020.</v>
      </c>
      <c r="H35" t="str">
        <f>'Test Equ'!$B$4</f>
        <v>Cropico RS2 Standard Resistor 0.01Ω Ser No. 6577 Calibrated 08th June 2020.</v>
      </c>
      <c r="I35" t="str">
        <f>'Test Equ'!$B$7</f>
        <v>Newton’s 4th HF100 Current Shunt Serial number 911-11514. Calibrated 09th June 2020.</v>
      </c>
      <c r="J35">
        <v>1</v>
      </c>
      <c r="K35" t="s">
        <v>359</v>
      </c>
      <c r="L35" t="s">
        <v>359</v>
      </c>
      <c r="M35" t="s">
        <v>384</v>
      </c>
      <c r="N35">
        <v>135</v>
      </c>
      <c r="O35">
        <v>5000</v>
      </c>
      <c r="P35">
        <v>1</v>
      </c>
      <c r="Q35">
        <v>2</v>
      </c>
      <c r="R35">
        <v>5</v>
      </c>
      <c r="S35">
        <v>10</v>
      </c>
      <c r="T35">
        <v>20</v>
      </c>
      <c r="U35">
        <v>30</v>
      </c>
      <c r="V35">
        <v>5</v>
      </c>
      <c r="X35">
        <v>90</v>
      </c>
      <c r="Y35">
        <v>32</v>
      </c>
      <c r="Z35">
        <v>96</v>
      </c>
      <c r="AA35">
        <v>30</v>
      </c>
      <c r="AB35">
        <f t="shared" si="0"/>
        <v>100</v>
      </c>
      <c r="AC35">
        <f t="shared" si="1"/>
        <v>300</v>
      </c>
    </row>
    <row r="36" spans="1:29" x14ac:dyDescent="0.25">
      <c r="A36" t="s">
        <v>81</v>
      </c>
      <c r="B36" s="73" t="s">
        <v>86</v>
      </c>
      <c r="C36" t="s">
        <v>89</v>
      </c>
      <c r="D36" t="s">
        <v>41</v>
      </c>
      <c r="E36" t="s">
        <v>149</v>
      </c>
      <c r="F36" t="str">
        <f>'Test Equ'!$B$3</f>
        <v>Frequency via Quartzlock E8-Y GPS Frequency Reference, Serial number 17012033.</v>
      </c>
      <c r="G36" t="str">
        <f>'Test Equ'!B$10</f>
        <v>Fluke 8508A Digital Multimeter Serial No. 115260406 UKAS Calibration Certificate No. 0183-075669 dated 06th April 2020.</v>
      </c>
      <c r="H36" t="str">
        <f>'Test Equ'!$B$4</f>
        <v>Cropico RS2 Standard Resistor 0.01Ω Ser No. 6577 Calibrated 08th June 2020.</v>
      </c>
      <c r="I36" t="str">
        <f>'Test Equ'!$B$7</f>
        <v>Newton’s 4th HF100 Current Shunt Serial number 911-11514. Calibrated 09th June 2020.</v>
      </c>
      <c r="J36">
        <v>1</v>
      </c>
      <c r="K36" t="s">
        <v>54</v>
      </c>
      <c r="L36" t="s">
        <v>46</v>
      </c>
      <c r="M36" t="s">
        <v>81</v>
      </c>
      <c r="N36">
        <v>135</v>
      </c>
      <c r="O36">
        <v>1200</v>
      </c>
      <c r="P36">
        <v>1</v>
      </c>
      <c r="Q36">
        <v>2</v>
      </c>
      <c r="R36">
        <v>5</v>
      </c>
      <c r="S36">
        <v>10</v>
      </c>
      <c r="T36">
        <v>20</v>
      </c>
      <c r="U36">
        <v>30</v>
      </c>
      <c r="V36">
        <v>5</v>
      </c>
      <c r="X36">
        <v>90</v>
      </c>
      <c r="Y36">
        <v>32</v>
      </c>
      <c r="Z36">
        <v>96</v>
      </c>
      <c r="AA36">
        <v>60</v>
      </c>
      <c r="AB36">
        <f t="shared" si="0"/>
        <v>200</v>
      </c>
      <c r="AC36">
        <f t="shared" si="1"/>
        <v>600</v>
      </c>
    </row>
    <row r="37" spans="1:29" x14ac:dyDescent="0.25">
      <c r="A37" t="s">
        <v>82</v>
      </c>
      <c r="B37" s="73" t="s">
        <v>86</v>
      </c>
      <c r="C37" t="s">
        <v>87</v>
      </c>
      <c r="D37" t="s">
        <v>41</v>
      </c>
      <c r="E37" t="s">
        <v>149</v>
      </c>
      <c r="F37" t="str">
        <f>'Test Equ'!$B$3</f>
        <v>Frequency via Quartzlock E8-Y GPS Frequency Reference, Serial number 17012033.</v>
      </c>
      <c r="G37" t="str">
        <f>'Test Equ'!B$10</f>
        <v>Fluke 8508A Digital Multimeter Serial No. 115260406 UKAS Calibration Certificate No. 0183-075669 dated 06th April 2020.</v>
      </c>
      <c r="H37" t="str">
        <f>'Test Equ'!$B$4</f>
        <v>Cropico RS2 Standard Resistor 0.01Ω Ser No. 6577 Calibrated 08th June 2020.</v>
      </c>
      <c r="I37" t="str">
        <f>'Test Equ'!$B$7</f>
        <v>Newton’s 4th HF100 Current Shunt Serial number 911-11514. Calibrated 09th June 2020.</v>
      </c>
      <c r="J37">
        <v>1</v>
      </c>
      <c r="K37" t="s">
        <v>53</v>
      </c>
      <c r="L37" t="s">
        <v>46</v>
      </c>
      <c r="M37" t="s">
        <v>82</v>
      </c>
      <c r="N37">
        <v>135</v>
      </c>
      <c r="O37">
        <v>1200</v>
      </c>
      <c r="P37">
        <v>1</v>
      </c>
      <c r="Q37">
        <v>2</v>
      </c>
      <c r="R37">
        <v>5</v>
      </c>
      <c r="S37">
        <v>10</v>
      </c>
      <c r="T37">
        <v>20</v>
      </c>
      <c r="U37">
        <v>30</v>
      </c>
      <c r="V37">
        <v>5</v>
      </c>
      <c r="X37">
        <v>90</v>
      </c>
      <c r="Y37">
        <v>32</v>
      </c>
      <c r="Z37">
        <v>96</v>
      </c>
      <c r="AA37">
        <v>60</v>
      </c>
      <c r="AB37">
        <f t="shared" si="0"/>
        <v>200</v>
      </c>
      <c r="AC37">
        <f t="shared" si="1"/>
        <v>600</v>
      </c>
    </row>
    <row r="40" spans="1:29" x14ac:dyDescent="0.25">
      <c r="A40" t="s">
        <v>97</v>
      </c>
      <c r="B40" t="s">
        <v>98</v>
      </c>
    </row>
    <row r="41" spans="1:29" x14ac:dyDescent="0.25">
      <c r="A41" t="s">
        <v>99</v>
      </c>
      <c r="B41" t="s">
        <v>102</v>
      </c>
    </row>
    <row r="42" spans="1:29" x14ac:dyDescent="0.25">
      <c r="A42" t="s">
        <v>101</v>
      </c>
      <c r="B42" t="s">
        <v>100</v>
      </c>
      <c r="M42">
        <v>1</v>
      </c>
      <c r="N42">
        <v>2</v>
      </c>
      <c r="O42">
        <v>3</v>
      </c>
      <c r="P42">
        <v>4</v>
      </c>
      <c r="Q42">
        <v>5</v>
      </c>
      <c r="R42">
        <v>6</v>
      </c>
      <c r="S42">
        <v>7</v>
      </c>
      <c r="T42">
        <v>8</v>
      </c>
      <c r="U42">
        <v>9</v>
      </c>
      <c r="V42">
        <v>10</v>
      </c>
      <c r="W42">
        <v>11</v>
      </c>
      <c r="X42">
        <v>12</v>
      </c>
      <c r="Y42">
        <v>13</v>
      </c>
      <c r="Z42">
        <v>14</v>
      </c>
      <c r="AA42">
        <v>15</v>
      </c>
      <c r="AB42">
        <v>16</v>
      </c>
      <c r="AC42">
        <v>17</v>
      </c>
    </row>
    <row r="43" spans="1:29" x14ac:dyDescent="0.25">
      <c r="A43">
        <v>1</v>
      </c>
      <c r="B43">
        <v>2</v>
      </c>
      <c r="C43">
        <v>3</v>
      </c>
      <c r="D43">
        <v>4</v>
      </c>
      <c r="E43">
        <v>5</v>
      </c>
      <c r="F43">
        <v>6</v>
      </c>
      <c r="G43">
        <v>7</v>
      </c>
      <c r="H43">
        <v>8</v>
      </c>
      <c r="I43">
        <v>9</v>
      </c>
      <c r="J43">
        <v>10</v>
      </c>
      <c r="K43">
        <v>11</v>
      </c>
      <c r="L43">
        <v>12</v>
      </c>
      <c r="M43">
        <v>13</v>
      </c>
      <c r="N43">
        <v>14</v>
      </c>
      <c r="O43">
        <v>15</v>
      </c>
      <c r="P43">
        <v>16</v>
      </c>
      <c r="Q43">
        <v>17</v>
      </c>
      <c r="R43">
        <v>18</v>
      </c>
      <c r="S43">
        <v>19</v>
      </c>
      <c r="T43">
        <v>20</v>
      </c>
      <c r="U43">
        <v>21</v>
      </c>
      <c r="V43">
        <v>22</v>
      </c>
      <c r="W43">
        <v>23</v>
      </c>
      <c r="X43">
        <v>24</v>
      </c>
      <c r="Y43">
        <v>25</v>
      </c>
      <c r="Z43">
        <v>26</v>
      </c>
      <c r="AA43">
        <v>27</v>
      </c>
      <c r="AB43">
        <v>28</v>
      </c>
      <c r="AC43">
        <v>29</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B133C3-EEAE-4E53-9144-C7F478165C45}">
  <dimension ref="A1:U38"/>
  <sheetViews>
    <sheetView workbookViewId="0">
      <selection activeCell="F300" sqref="F300:H300"/>
    </sheetView>
  </sheetViews>
  <sheetFormatPr defaultRowHeight="15" x14ac:dyDescent="0.25"/>
  <cols>
    <col min="1" max="1" width="15.5703125" bestFit="1" customWidth="1"/>
    <col min="2" max="2" width="10" bestFit="1" customWidth="1"/>
    <col min="4" max="5" width="24.85546875" bestFit="1" customWidth="1"/>
    <col min="16" max="16" width="13.28515625" bestFit="1" customWidth="1"/>
    <col min="17" max="18" width="13.28515625" customWidth="1"/>
  </cols>
  <sheetData>
    <row r="1" spans="1:21" x14ac:dyDescent="0.25">
      <c r="A1" t="s">
        <v>83</v>
      </c>
      <c r="B1" t="s">
        <v>213</v>
      </c>
      <c r="C1" t="s">
        <v>232</v>
      </c>
      <c r="D1" t="s">
        <v>91</v>
      </c>
      <c r="E1" t="s">
        <v>90</v>
      </c>
      <c r="F1" t="s">
        <v>119</v>
      </c>
      <c r="G1" t="s">
        <v>145</v>
      </c>
      <c r="H1" t="s">
        <v>197</v>
      </c>
      <c r="I1" t="s">
        <v>198</v>
      </c>
      <c r="J1" t="s">
        <v>199</v>
      </c>
      <c r="K1" t="s">
        <v>200</v>
      </c>
      <c r="L1" t="s">
        <v>201</v>
      </c>
      <c r="M1" t="s">
        <v>202</v>
      </c>
      <c r="N1" t="s">
        <v>205</v>
      </c>
      <c r="O1" t="s">
        <v>203</v>
      </c>
      <c r="P1" t="s">
        <v>204</v>
      </c>
      <c r="Q1" t="s">
        <v>235</v>
      </c>
      <c r="R1" t="s">
        <v>236</v>
      </c>
      <c r="S1" t="s">
        <v>234</v>
      </c>
      <c r="T1" t="s">
        <v>237</v>
      </c>
      <c r="U1" t="s">
        <v>238</v>
      </c>
    </row>
    <row r="2" spans="1:21" x14ac:dyDescent="0.25">
      <c r="A2" t="s">
        <v>385</v>
      </c>
      <c r="B2" t="s">
        <v>54</v>
      </c>
      <c r="C2" t="s">
        <v>47</v>
      </c>
      <c r="D2" t="s">
        <v>148</v>
      </c>
      <c r="E2" s="1" t="s">
        <v>36</v>
      </c>
      <c r="F2">
        <v>135</v>
      </c>
      <c r="G2">
        <v>1200</v>
      </c>
      <c r="H2">
        <v>0.25</v>
      </c>
      <c r="I2">
        <v>0.5</v>
      </c>
      <c r="J2">
        <v>0.75</v>
      </c>
      <c r="K2">
        <v>1</v>
      </c>
      <c r="L2">
        <v>1.25</v>
      </c>
      <c r="M2">
        <v>1.3</v>
      </c>
      <c r="N2">
        <v>1</v>
      </c>
      <c r="P2">
        <v>4</v>
      </c>
      <c r="Q2">
        <v>1.33</v>
      </c>
      <c r="R2">
        <v>4</v>
      </c>
      <c r="S2">
        <v>6</v>
      </c>
      <c r="T2">
        <f t="shared" ref="T2:T37" si="0">S2*10/3</f>
        <v>20</v>
      </c>
      <c r="U2">
        <f>S2*10</f>
        <v>60</v>
      </c>
    </row>
    <row r="3" spans="1:21" x14ac:dyDescent="0.25">
      <c r="A3" t="s">
        <v>386</v>
      </c>
      <c r="B3" t="s">
        <v>53</v>
      </c>
      <c r="C3" t="s">
        <v>47</v>
      </c>
      <c r="D3" t="s">
        <v>148</v>
      </c>
      <c r="E3" s="1" t="s">
        <v>36</v>
      </c>
      <c r="F3">
        <v>135</v>
      </c>
      <c r="G3">
        <v>5000</v>
      </c>
      <c r="H3">
        <v>0.25</v>
      </c>
      <c r="I3">
        <v>0.5</v>
      </c>
      <c r="J3">
        <v>0.75</v>
      </c>
      <c r="K3">
        <v>1</v>
      </c>
      <c r="L3">
        <v>1.25</v>
      </c>
      <c r="M3">
        <v>1.3</v>
      </c>
      <c r="N3">
        <v>1</v>
      </c>
      <c r="P3">
        <v>4</v>
      </c>
      <c r="Q3">
        <v>1.33</v>
      </c>
      <c r="R3">
        <v>4</v>
      </c>
      <c r="S3">
        <v>6</v>
      </c>
      <c r="T3">
        <f t="shared" si="0"/>
        <v>20</v>
      </c>
      <c r="U3">
        <f t="shared" ref="U3:U37" si="1">S3*10</f>
        <v>60</v>
      </c>
    </row>
    <row r="4" spans="1:21" x14ac:dyDescent="0.25">
      <c r="A4" t="s">
        <v>387</v>
      </c>
      <c r="B4" t="s">
        <v>359</v>
      </c>
      <c r="C4" t="s">
        <v>359</v>
      </c>
      <c r="D4" t="s">
        <v>148</v>
      </c>
      <c r="E4" s="1" t="s">
        <v>36</v>
      </c>
      <c r="F4">
        <v>135</v>
      </c>
      <c r="G4">
        <v>5000</v>
      </c>
      <c r="H4">
        <v>0.25</v>
      </c>
      <c r="I4">
        <v>0.5</v>
      </c>
      <c r="J4">
        <v>0.75</v>
      </c>
      <c r="K4">
        <v>1</v>
      </c>
      <c r="L4">
        <v>1.25</v>
      </c>
      <c r="M4">
        <v>1.3</v>
      </c>
      <c r="N4">
        <v>1</v>
      </c>
      <c r="P4">
        <v>4</v>
      </c>
      <c r="Q4">
        <v>1.33</v>
      </c>
      <c r="R4">
        <v>4</v>
      </c>
      <c r="S4">
        <v>6</v>
      </c>
      <c r="T4">
        <f t="shared" si="0"/>
        <v>20</v>
      </c>
      <c r="U4">
        <f t="shared" si="1"/>
        <v>60</v>
      </c>
    </row>
    <row r="5" spans="1:21" x14ac:dyDescent="0.25">
      <c r="A5" t="s">
        <v>388</v>
      </c>
      <c r="B5" t="s">
        <v>54</v>
      </c>
      <c r="C5" t="s">
        <v>47</v>
      </c>
      <c r="D5" t="s">
        <v>148</v>
      </c>
      <c r="E5" s="1" t="s">
        <v>36</v>
      </c>
      <c r="F5">
        <v>135</v>
      </c>
      <c r="G5">
        <v>1200</v>
      </c>
      <c r="H5">
        <v>0.25</v>
      </c>
      <c r="I5">
        <v>0.5</v>
      </c>
      <c r="J5">
        <v>0.75</v>
      </c>
      <c r="K5">
        <v>1</v>
      </c>
      <c r="L5">
        <v>1.5</v>
      </c>
      <c r="M5">
        <v>2</v>
      </c>
      <c r="N5">
        <v>1</v>
      </c>
      <c r="P5">
        <v>6</v>
      </c>
      <c r="Q5">
        <v>2</v>
      </c>
      <c r="R5">
        <v>6</v>
      </c>
      <c r="S5">
        <v>6</v>
      </c>
      <c r="T5">
        <f t="shared" si="0"/>
        <v>20</v>
      </c>
      <c r="U5">
        <f t="shared" si="1"/>
        <v>60</v>
      </c>
    </row>
    <row r="6" spans="1:21" x14ac:dyDescent="0.25">
      <c r="A6" t="s">
        <v>389</v>
      </c>
      <c r="B6" t="s">
        <v>53</v>
      </c>
      <c r="C6" t="s">
        <v>47</v>
      </c>
      <c r="D6" t="s">
        <v>148</v>
      </c>
      <c r="E6" s="1" t="s">
        <v>36</v>
      </c>
      <c r="F6">
        <v>135</v>
      </c>
      <c r="G6">
        <v>5000</v>
      </c>
      <c r="H6">
        <v>0.25</v>
      </c>
      <c r="I6">
        <v>0.5</v>
      </c>
      <c r="J6">
        <v>0.75</v>
      </c>
      <c r="K6">
        <v>1</v>
      </c>
      <c r="L6">
        <v>1.5</v>
      </c>
      <c r="M6">
        <v>2</v>
      </c>
      <c r="N6">
        <v>1</v>
      </c>
      <c r="P6">
        <v>6</v>
      </c>
      <c r="Q6">
        <v>2</v>
      </c>
      <c r="R6">
        <v>6</v>
      </c>
      <c r="S6">
        <v>6</v>
      </c>
      <c r="T6">
        <f t="shared" si="0"/>
        <v>20</v>
      </c>
      <c r="U6">
        <f t="shared" si="1"/>
        <v>60</v>
      </c>
    </row>
    <row r="7" spans="1:21" x14ac:dyDescent="0.25">
      <c r="A7" t="s">
        <v>390</v>
      </c>
      <c r="B7" t="s">
        <v>359</v>
      </c>
      <c r="C7" t="s">
        <v>359</v>
      </c>
      <c r="D7" t="s">
        <v>148</v>
      </c>
      <c r="E7" s="1" t="s">
        <v>36</v>
      </c>
      <c r="F7">
        <v>135</v>
      </c>
      <c r="G7">
        <v>5000</v>
      </c>
      <c r="H7">
        <v>0.25</v>
      </c>
      <c r="I7">
        <v>0.5</v>
      </c>
      <c r="J7">
        <v>0.75</v>
      </c>
      <c r="K7">
        <v>1</v>
      </c>
      <c r="L7">
        <v>1.5</v>
      </c>
      <c r="M7">
        <v>2</v>
      </c>
      <c r="N7">
        <v>1</v>
      </c>
      <c r="P7">
        <v>6</v>
      </c>
      <c r="Q7">
        <v>2</v>
      </c>
      <c r="R7">
        <v>6</v>
      </c>
      <c r="S7">
        <v>6</v>
      </c>
      <c r="T7">
        <f t="shared" si="0"/>
        <v>20</v>
      </c>
      <c r="U7">
        <f t="shared" si="1"/>
        <v>60</v>
      </c>
    </row>
    <row r="8" spans="1:21" x14ac:dyDescent="0.25">
      <c r="A8" t="s">
        <v>391</v>
      </c>
      <c r="B8" t="s">
        <v>54</v>
      </c>
      <c r="C8" t="s">
        <v>47</v>
      </c>
      <c r="D8" t="s">
        <v>148</v>
      </c>
      <c r="E8" s="1" t="s">
        <v>36</v>
      </c>
      <c r="F8">
        <v>135</v>
      </c>
      <c r="G8">
        <v>1200</v>
      </c>
      <c r="H8">
        <v>0.25</v>
      </c>
      <c r="I8">
        <v>0.5</v>
      </c>
      <c r="J8">
        <v>1</v>
      </c>
      <c r="K8">
        <v>1.5</v>
      </c>
      <c r="L8">
        <v>2</v>
      </c>
      <c r="M8">
        <v>3</v>
      </c>
      <c r="N8">
        <v>1</v>
      </c>
      <c r="P8">
        <v>10</v>
      </c>
      <c r="Q8">
        <v>3</v>
      </c>
      <c r="R8">
        <v>10</v>
      </c>
      <c r="S8">
        <v>6</v>
      </c>
      <c r="T8">
        <f t="shared" si="0"/>
        <v>20</v>
      </c>
      <c r="U8">
        <f t="shared" si="1"/>
        <v>60</v>
      </c>
    </row>
    <row r="9" spans="1:21" x14ac:dyDescent="0.25">
      <c r="A9" t="s">
        <v>392</v>
      </c>
      <c r="B9" t="s">
        <v>53</v>
      </c>
      <c r="C9" t="s">
        <v>47</v>
      </c>
      <c r="D9" t="s">
        <v>148</v>
      </c>
      <c r="E9" s="1" t="s">
        <v>36</v>
      </c>
      <c r="F9">
        <v>135</v>
      </c>
      <c r="G9">
        <v>5000</v>
      </c>
      <c r="H9">
        <v>0.25</v>
      </c>
      <c r="I9">
        <v>0.5</v>
      </c>
      <c r="J9">
        <v>1</v>
      </c>
      <c r="K9">
        <v>1.5</v>
      </c>
      <c r="L9">
        <v>2</v>
      </c>
      <c r="M9">
        <v>3</v>
      </c>
      <c r="N9">
        <v>1</v>
      </c>
      <c r="P9">
        <v>10</v>
      </c>
      <c r="Q9">
        <v>3</v>
      </c>
      <c r="R9">
        <v>10</v>
      </c>
      <c r="S9">
        <v>6</v>
      </c>
      <c r="T9">
        <f t="shared" si="0"/>
        <v>20</v>
      </c>
      <c r="U9">
        <f t="shared" si="1"/>
        <v>60</v>
      </c>
    </row>
    <row r="10" spans="1:21" x14ac:dyDescent="0.25">
      <c r="A10" t="s">
        <v>393</v>
      </c>
      <c r="B10" t="s">
        <v>359</v>
      </c>
      <c r="C10" t="s">
        <v>359</v>
      </c>
      <c r="D10" t="s">
        <v>148</v>
      </c>
      <c r="E10" s="1" t="s">
        <v>36</v>
      </c>
      <c r="F10">
        <v>135</v>
      </c>
      <c r="G10">
        <v>5000</v>
      </c>
      <c r="H10">
        <v>0.25</v>
      </c>
      <c r="I10">
        <v>0.5</v>
      </c>
      <c r="J10">
        <v>1</v>
      </c>
      <c r="K10">
        <v>1.5</v>
      </c>
      <c r="L10">
        <v>2</v>
      </c>
      <c r="M10">
        <v>3</v>
      </c>
      <c r="N10">
        <v>1</v>
      </c>
      <c r="P10">
        <v>10</v>
      </c>
      <c r="Q10">
        <v>3</v>
      </c>
      <c r="R10">
        <v>10</v>
      </c>
      <c r="S10">
        <v>6</v>
      </c>
      <c r="T10">
        <f t="shared" si="0"/>
        <v>20</v>
      </c>
      <c r="U10">
        <f t="shared" si="1"/>
        <v>60</v>
      </c>
    </row>
    <row r="11" spans="1:21" x14ac:dyDescent="0.25">
      <c r="A11" t="s">
        <v>394</v>
      </c>
      <c r="B11" t="s">
        <v>54</v>
      </c>
      <c r="C11" t="s">
        <v>46</v>
      </c>
      <c r="D11" t="s">
        <v>148</v>
      </c>
      <c r="E11" s="1" t="s">
        <v>36</v>
      </c>
      <c r="F11">
        <v>132</v>
      </c>
      <c r="G11">
        <v>1200</v>
      </c>
      <c r="H11">
        <v>0.25</v>
      </c>
      <c r="I11">
        <v>0.5</v>
      </c>
      <c r="J11">
        <v>1</v>
      </c>
      <c r="K11">
        <v>2</v>
      </c>
      <c r="L11">
        <v>3</v>
      </c>
      <c r="M11">
        <v>4</v>
      </c>
      <c r="N11">
        <v>2</v>
      </c>
      <c r="P11">
        <v>12</v>
      </c>
      <c r="Q11">
        <v>4</v>
      </c>
      <c r="R11">
        <v>12</v>
      </c>
      <c r="S11">
        <v>6</v>
      </c>
      <c r="T11">
        <f t="shared" si="0"/>
        <v>20</v>
      </c>
      <c r="U11">
        <f t="shared" si="1"/>
        <v>60</v>
      </c>
    </row>
    <row r="12" spans="1:21" x14ac:dyDescent="0.25">
      <c r="A12" t="s">
        <v>395</v>
      </c>
      <c r="B12" t="s">
        <v>53</v>
      </c>
      <c r="C12" t="s">
        <v>46</v>
      </c>
      <c r="D12" t="s">
        <v>148</v>
      </c>
      <c r="E12" s="1" t="s">
        <v>36</v>
      </c>
      <c r="F12">
        <v>132</v>
      </c>
      <c r="G12">
        <v>1200</v>
      </c>
      <c r="H12">
        <v>0.25</v>
      </c>
      <c r="I12">
        <v>0.5</v>
      </c>
      <c r="J12">
        <v>1</v>
      </c>
      <c r="K12">
        <v>2</v>
      </c>
      <c r="L12">
        <v>3</v>
      </c>
      <c r="M12">
        <v>4</v>
      </c>
      <c r="N12">
        <v>2</v>
      </c>
      <c r="P12">
        <v>12</v>
      </c>
      <c r="Q12">
        <v>4</v>
      </c>
      <c r="R12">
        <v>12</v>
      </c>
      <c r="S12">
        <v>6</v>
      </c>
      <c r="T12">
        <f t="shared" si="0"/>
        <v>20</v>
      </c>
      <c r="U12">
        <f t="shared" si="1"/>
        <v>60</v>
      </c>
    </row>
    <row r="13" spans="1:21" x14ac:dyDescent="0.25">
      <c r="A13" t="s">
        <v>396</v>
      </c>
      <c r="B13" t="s">
        <v>54</v>
      </c>
      <c r="C13" t="s">
        <v>47</v>
      </c>
      <c r="D13" t="s">
        <v>148</v>
      </c>
      <c r="E13" t="s">
        <v>41</v>
      </c>
      <c r="F13">
        <v>135</v>
      </c>
      <c r="G13">
        <v>1200</v>
      </c>
      <c r="H13">
        <v>0.5</v>
      </c>
      <c r="I13">
        <v>1</v>
      </c>
      <c r="J13">
        <v>2</v>
      </c>
      <c r="K13">
        <v>3</v>
      </c>
      <c r="L13">
        <v>4</v>
      </c>
      <c r="M13">
        <v>6</v>
      </c>
      <c r="N13">
        <v>5</v>
      </c>
      <c r="P13">
        <v>18</v>
      </c>
      <c r="Q13">
        <v>6</v>
      </c>
      <c r="R13">
        <v>18</v>
      </c>
      <c r="S13" s="9">
        <v>15</v>
      </c>
      <c r="T13">
        <f t="shared" si="0"/>
        <v>50</v>
      </c>
      <c r="U13">
        <f t="shared" si="1"/>
        <v>150</v>
      </c>
    </row>
    <row r="14" spans="1:21" x14ac:dyDescent="0.25">
      <c r="A14" t="s">
        <v>397</v>
      </c>
      <c r="B14" t="s">
        <v>53</v>
      </c>
      <c r="C14" t="s">
        <v>47</v>
      </c>
      <c r="D14" t="s">
        <v>148</v>
      </c>
      <c r="E14" t="s">
        <v>41</v>
      </c>
      <c r="F14">
        <v>135</v>
      </c>
      <c r="G14">
        <v>5000</v>
      </c>
      <c r="H14">
        <v>0.5</v>
      </c>
      <c r="I14">
        <v>1</v>
      </c>
      <c r="J14">
        <v>2</v>
      </c>
      <c r="K14">
        <v>3</v>
      </c>
      <c r="L14">
        <v>4</v>
      </c>
      <c r="M14">
        <v>6</v>
      </c>
      <c r="N14">
        <v>5</v>
      </c>
      <c r="P14">
        <v>18</v>
      </c>
      <c r="Q14">
        <v>6</v>
      </c>
      <c r="R14">
        <v>18</v>
      </c>
      <c r="S14" s="9">
        <v>15</v>
      </c>
      <c r="T14">
        <f t="shared" si="0"/>
        <v>50</v>
      </c>
      <c r="U14">
        <f t="shared" si="1"/>
        <v>150</v>
      </c>
    </row>
    <row r="15" spans="1:21" x14ac:dyDescent="0.25">
      <c r="A15" t="s">
        <v>398</v>
      </c>
      <c r="B15" t="s">
        <v>359</v>
      </c>
      <c r="C15" t="s">
        <v>359</v>
      </c>
      <c r="D15" t="s">
        <v>148</v>
      </c>
      <c r="E15" t="s">
        <v>41</v>
      </c>
      <c r="F15">
        <v>135</v>
      </c>
      <c r="G15">
        <v>5000</v>
      </c>
      <c r="H15">
        <v>0.5</v>
      </c>
      <c r="I15">
        <v>1</v>
      </c>
      <c r="J15">
        <v>2</v>
      </c>
      <c r="K15">
        <v>3</v>
      </c>
      <c r="L15">
        <v>4</v>
      </c>
      <c r="M15">
        <v>6</v>
      </c>
      <c r="N15">
        <v>5</v>
      </c>
      <c r="P15">
        <v>18</v>
      </c>
      <c r="Q15">
        <v>6</v>
      </c>
      <c r="R15">
        <v>18</v>
      </c>
      <c r="S15" s="9">
        <v>15</v>
      </c>
      <c r="T15">
        <f t="shared" si="0"/>
        <v>50</v>
      </c>
      <c r="U15">
        <f t="shared" si="1"/>
        <v>150</v>
      </c>
    </row>
    <row r="16" spans="1:21" x14ac:dyDescent="0.25">
      <c r="A16" t="s">
        <v>399</v>
      </c>
      <c r="B16" t="s">
        <v>54</v>
      </c>
      <c r="C16" t="s">
        <v>46</v>
      </c>
      <c r="D16" t="s">
        <v>148</v>
      </c>
      <c r="E16" s="1" t="s">
        <v>36</v>
      </c>
      <c r="F16">
        <v>150</v>
      </c>
      <c r="G16">
        <v>1200</v>
      </c>
      <c r="H16">
        <v>0.5</v>
      </c>
      <c r="I16">
        <v>1</v>
      </c>
      <c r="J16">
        <v>2</v>
      </c>
      <c r="K16">
        <v>3</v>
      </c>
      <c r="L16">
        <v>5</v>
      </c>
      <c r="M16">
        <v>7</v>
      </c>
      <c r="N16">
        <v>5</v>
      </c>
      <c r="P16">
        <v>20</v>
      </c>
      <c r="Q16">
        <v>7</v>
      </c>
      <c r="R16">
        <v>20</v>
      </c>
      <c r="S16">
        <v>6</v>
      </c>
      <c r="T16">
        <f t="shared" si="0"/>
        <v>20</v>
      </c>
      <c r="U16">
        <f t="shared" si="1"/>
        <v>60</v>
      </c>
    </row>
    <row r="17" spans="1:21" x14ac:dyDescent="0.25">
      <c r="A17" t="s">
        <v>400</v>
      </c>
      <c r="B17" t="s">
        <v>53</v>
      </c>
      <c r="C17" t="s">
        <v>46</v>
      </c>
      <c r="D17" t="s">
        <v>148</v>
      </c>
      <c r="E17" s="1" t="s">
        <v>36</v>
      </c>
      <c r="F17">
        <v>150</v>
      </c>
      <c r="G17">
        <v>1200</v>
      </c>
      <c r="H17">
        <v>0.5</v>
      </c>
      <c r="I17">
        <v>1</v>
      </c>
      <c r="J17">
        <v>2</v>
      </c>
      <c r="K17">
        <v>3</v>
      </c>
      <c r="L17">
        <v>5</v>
      </c>
      <c r="M17">
        <v>7</v>
      </c>
      <c r="N17">
        <v>5</v>
      </c>
      <c r="P17">
        <v>20</v>
      </c>
      <c r="Q17">
        <v>7</v>
      </c>
      <c r="R17">
        <v>20</v>
      </c>
      <c r="S17">
        <v>6</v>
      </c>
      <c r="T17">
        <f t="shared" si="0"/>
        <v>20</v>
      </c>
      <c r="U17">
        <f t="shared" si="1"/>
        <v>60</v>
      </c>
    </row>
    <row r="18" spans="1:21" x14ac:dyDescent="0.25">
      <c r="A18" t="s">
        <v>401</v>
      </c>
      <c r="B18" t="s">
        <v>54</v>
      </c>
      <c r="C18" t="s">
        <v>47</v>
      </c>
      <c r="D18" t="s">
        <v>149</v>
      </c>
      <c r="E18" t="s">
        <v>41</v>
      </c>
      <c r="F18">
        <v>135</v>
      </c>
      <c r="G18">
        <v>1200</v>
      </c>
      <c r="H18">
        <v>0.5</v>
      </c>
      <c r="I18">
        <v>1</v>
      </c>
      <c r="J18">
        <v>2</v>
      </c>
      <c r="K18">
        <v>5</v>
      </c>
      <c r="L18">
        <v>10</v>
      </c>
      <c r="M18">
        <v>12</v>
      </c>
      <c r="N18">
        <v>5</v>
      </c>
      <c r="P18">
        <v>30</v>
      </c>
      <c r="Q18">
        <v>12</v>
      </c>
      <c r="R18">
        <v>36</v>
      </c>
      <c r="S18">
        <v>15</v>
      </c>
      <c r="T18">
        <f t="shared" si="0"/>
        <v>50</v>
      </c>
      <c r="U18">
        <f t="shared" si="1"/>
        <v>150</v>
      </c>
    </row>
    <row r="19" spans="1:21" x14ac:dyDescent="0.25">
      <c r="A19" t="s">
        <v>402</v>
      </c>
      <c r="B19" t="s">
        <v>53</v>
      </c>
      <c r="C19" t="s">
        <v>47</v>
      </c>
      <c r="D19" t="s">
        <v>149</v>
      </c>
      <c r="E19" t="s">
        <v>41</v>
      </c>
      <c r="F19">
        <v>135</v>
      </c>
      <c r="G19">
        <v>5000</v>
      </c>
      <c r="H19">
        <v>0.5</v>
      </c>
      <c r="I19">
        <v>1</v>
      </c>
      <c r="J19">
        <v>2</v>
      </c>
      <c r="K19">
        <v>5</v>
      </c>
      <c r="L19">
        <v>10</v>
      </c>
      <c r="M19">
        <v>12</v>
      </c>
      <c r="N19">
        <v>5</v>
      </c>
      <c r="P19">
        <v>30</v>
      </c>
      <c r="Q19">
        <v>12</v>
      </c>
      <c r="R19">
        <v>36</v>
      </c>
      <c r="S19">
        <v>15</v>
      </c>
      <c r="T19">
        <f t="shared" si="0"/>
        <v>50</v>
      </c>
      <c r="U19">
        <f t="shared" si="1"/>
        <v>150</v>
      </c>
    </row>
    <row r="20" spans="1:21" x14ac:dyDescent="0.25">
      <c r="A20" t="s">
        <v>403</v>
      </c>
      <c r="B20" t="s">
        <v>359</v>
      </c>
      <c r="C20" t="s">
        <v>359</v>
      </c>
      <c r="D20" t="s">
        <v>149</v>
      </c>
      <c r="E20" t="s">
        <v>41</v>
      </c>
      <c r="F20">
        <v>135</v>
      </c>
      <c r="G20">
        <v>5000</v>
      </c>
      <c r="H20">
        <v>0.5</v>
      </c>
      <c r="I20">
        <v>1</v>
      </c>
      <c r="J20">
        <v>2</v>
      </c>
      <c r="K20">
        <v>5</v>
      </c>
      <c r="L20">
        <v>10</v>
      </c>
      <c r="M20">
        <v>12</v>
      </c>
      <c r="N20">
        <v>5</v>
      </c>
      <c r="P20">
        <v>30</v>
      </c>
      <c r="Q20">
        <v>12</v>
      </c>
      <c r="R20">
        <v>36</v>
      </c>
      <c r="S20">
        <v>15</v>
      </c>
      <c r="T20">
        <f t="shared" si="0"/>
        <v>50</v>
      </c>
      <c r="U20">
        <f t="shared" si="1"/>
        <v>150</v>
      </c>
    </row>
    <row r="21" spans="1:21" x14ac:dyDescent="0.25">
      <c r="A21" t="s">
        <v>404</v>
      </c>
      <c r="B21" t="s">
        <v>54</v>
      </c>
      <c r="C21" t="s">
        <v>46</v>
      </c>
      <c r="D21" t="s">
        <v>149</v>
      </c>
      <c r="E21" t="s">
        <v>41</v>
      </c>
      <c r="F21">
        <v>135</v>
      </c>
      <c r="G21">
        <v>1200</v>
      </c>
      <c r="H21">
        <v>0.5</v>
      </c>
      <c r="I21">
        <v>1</v>
      </c>
      <c r="J21">
        <v>2</v>
      </c>
      <c r="K21">
        <v>5</v>
      </c>
      <c r="L21">
        <v>10</v>
      </c>
      <c r="M21">
        <v>12</v>
      </c>
      <c r="N21">
        <v>5</v>
      </c>
      <c r="P21">
        <v>30</v>
      </c>
      <c r="Q21">
        <v>16</v>
      </c>
      <c r="R21">
        <v>36</v>
      </c>
      <c r="S21">
        <v>12</v>
      </c>
      <c r="T21">
        <f t="shared" si="0"/>
        <v>40</v>
      </c>
      <c r="U21">
        <f t="shared" si="1"/>
        <v>120</v>
      </c>
    </row>
    <row r="22" spans="1:21" x14ac:dyDescent="0.25">
      <c r="A22" t="s">
        <v>405</v>
      </c>
      <c r="B22" t="s">
        <v>53</v>
      </c>
      <c r="C22" t="s">
        <v>46</v>
      </c>
      <c r="D22" t="s">
        <v>149</v>
      </c>
      <c r="E22" t="s">
        <v>41</v>
      </c>
      <c r="F22">
        <v>135</v>
      </c>
      <c r="G22">
        <v>5000</v>
      </c>
      <c r="H22">
        <v>0.5</v>
      </c>
      <c r="I22">
        <v>1</v>
      </c>
      <c r="J22">
        <v>2</v>
      </c>
      <c r="K22">
        <v>5</v>
      </c>
      <c r="L22">
        <v>10</v>
      </c>
      <c r="M22">
        <v>12</v>
      </c>
      <c r="N22">
        <v>5</v>
      </c>
      <c r="P22">
        <v>30</v>
      </c>
      <c r="Q22">
        <v>16</v>
      </c>
      <c r="R22">
        <v>36</v>
      </c>
      <c r="S22">
        <v>12</v>
      </c>
      <c r="T22">
        <f t="shared" si="0"/>
        <v>40</v>
      </c>
      <c r="U22">
        <f t="shared" si="1"/>
        <v>120</v>
      </c>
    </row>
    <row r="23" spans="1:21" x14ac:dyDescent="0.25">
      <c r="A23" t="s">
        <v>406</v>
      </c>
      <c r="B23" t="s">
        <v>54</v>
      </c>
      <c r="C23" t="s">
        <v>47</v>
      </c>
      <c r="D23" t="s">
        <v>149</v>
      </c>
      <c r="E23" t="s">
        <v>41</v>
      </c>
      <c r="F23">
        <v>135</v>
      </c>
      <c r="G23">
        <v>1200</v>
      </c>
      <c r="H23">
        <v>0.5</v>
      </c>
      <c r="I23">
        <v>1</v>
      </c>
      <c r="J23">
        <v>2</v>
      </c>
      <c r="K23">
        <v>5</v>
      </c>
      <c r="L23">
        <v>10</v>
      </c>
      <c r="M23">
        <v>15</v>
      </c>
      <c r="N23">
        <v>5</v>
      </c>
      <c r="P23">
        <v>30</v>
      </c>
      <c r="Q23">
        <v>16</v>
      </c>
      <c r="R23">
        <v>48</v>
      </c>
      <c r="S23">
        <v>15</v>
      </c>
      <c r="T23">
        <f t="shared" si="0"/>
        <v>50</v>
      </c>
      <c r="U23">
        <f t="shared" si="1"/>
        <v>150</v>
      </c>
    </row>
    <row r="24" spans="1:21" x14ac:dyDescent="0.25">
      <c r="A24" t="s">
        <v>256</v>
      </c>
      <c r="B24" t="s">
        <v>53</v>
      </c>
      <c r="C24" t="s">
        <v>47</v>
      </c>
      <c r="D24" t="s">
        <v>149</v>
      </c>
      <c r="E24" t="s">
        <v>41</v>
      </c>
      <c r="F24">
        <v>135</v>
      </c>
      <c r="G24">
        <v>5000</v>
      </c>
      <c r="H24">
        <v>0.5</v>
      </c>
      <c r="I24">
        <v>1</v>
      </c>
      <c r="J24">
        <v>2</v>
      </c>
      <c r="K24">
        <v>5</v>
      </c>
      <c r="L24">
        <v>10</v>
      </c>
      <c r="M24">
        <v>15</v>
      </c>
      <c r="N24">
        <v>5</v>
      </c>
      <c r="P24">
        <v>30</v>
      </c>
      <c r="Q24">
        <v>16</v>
      </c>
      <c r="R24">
        <v>48</v>
      </c>
      <c r="S24">
        <v>15</v>
      </c>
      <c r="T24">
        <f t="shared" si="0"/>
        <v>50</v>
      </c>
      <c r="U24">
        <f t="shared" si="1"/>
        <v>150</v>
      </c>
    </row>
    <row r="25" spans="1:21" x14ac:dyDescent="0.25">
      <c r="A25" t="s">
        <v>407</v>
      </c>
      <c r="B25" t="s">
        <v>359</v>
      </c>
      <c r="C25" t="s">
        <v>359</v>
      </c>
      <c r="D25" t="s">
        <v>149</v>
      </c>
      <c r="E25" t="s">
        <v>41</v>
      </c>
      <c r="F25">
        <v>135</v>
      </c>
      <c r="G25">
        <v>5000</v>
      </c>
      <c r="H25">
        <v>0.5</v>
      </c>
      <c r="I25">
        <v>1</v>
      </c>
      <c r="J25">
        <v>2</v>
      </c>
      <c r="K25">
        <v>5</v>
      </c>
      <c r="L25">
        <v>10</v>
      </c>
      <c r="M25">
        <v>15</v>
      </c>
      <c r="N25">
        <v>5</v>
      </c>
      <c r="P25">
        <v>30</v>
      </c>
      <c r="Q25">
        <v>16</v>
      </c>
      <c r="R25">
        <v>48</v>
      </c>
      <c r="S25">
        <v>15</v>
      </c>
      <c r="T25">
        <f t="shared" si="0"/>
        <v>50</v>
      </c>
      <c r="U25">
        <f t="shared" si="1"/>
        <v>150</v>
      </c>
    </row>
    <row r="26" spans="1:21" x14ac:dyDescent="0.25">
      <c r="A26" t="s">
        <v>408</v>
      </c>
      <c r="B26" t="s">
        <v>54</v>
      </c>
      <c r="C26" t="s">
        <v>46</v>
      </c>
      <c r="D26" t="s">
        <v>149</v>
      </c>
      <c r="E26" t="s">
        <v>41</v>
      </c>
      <c r="F26">
        <v>132</v>
      </c>
      <c r="G26">
        <v>1200</v>
      </c>
      <c r="H26">
        <v>0.5</v>
      </c>
      <c r="I26">
        <v>1</v>
      </c>
      <c r="J26">
        <v>2</v>
      </c>
      <c r="K26">
        <v>5</v>
      </c>
      <c r="L26">
        <v>10</v>
      </c>
      <c r="M26">
        <v>15</v>
      </c>
      <c r="N26">
        <v>5</v>
      </c>
      <c r="P26">
        <v>30</v>
      </c>
      <c r="Q26">
        <v>16</v>
      </c>
      <c r="R26">
        <v>48</v>
      </c>
      <c r="S26">
        <v>12</v>
      </c>
      <c r="T26">
        <f t="shared" si="0"/>
        <v>40</v>
      </c>
      <c r="U26">
        <f t="shared" si="1"/>
        <v>120</v>
      </c>
    </row>
    <row r="27" spans="1:21" x14ac:dyDescent="0.25">
      <c r="A27" t="s">
        <v>409</v>
      </c>
      <c r="B27" t="s">
        <v>53</v>
      </c>
      <c r="C27" t="s">
        <v>46</v>
      </c>
      <c r="D27" t="s">
        <v>149</v>
      </c>
      <c r="E27" t="s">
        <v>41</v>
      </c>
      <c r="F27">
        <v>132</v>
      </c>
      <c r="G27">
        <v>1200</v>
      </c>
      <c r="H27">
        <v>0.5</v>
      </c>
      <c r="I27">
        <v>1</v>
      </c>
      <c r="J27">
        <v>2</v>
      </c>
      <c r="K27">
        <v>5</v>
      </c>
      <c r="L27">
        <v>10</v>
      </c>
      <c r="M27">
        <v>15</v>
      </c>
      <c r="N27">
        <v>5</v>
      </c>
      <c r="P27">
        <v>30</v>
      </c>
      <c r="Q27">
        <v>16</v>
      </c>
      <c r="R27">
        <v>48</v>
      </c>
      <c r="S27">
        <v>12</v>
      </c>
      <c r="T27">
        <f t="shared" si="0"/>
        <v>40</v>
      </c>
      <c r="U27">
        <f t="shared" si="1"/>
        <v>120</v>
      </c>
    </row>
    <row r="28" spans="1:21" x14ac:dyDescent="0.25">
      <c r="A28" t="s">
        <v>410</v>
      </c>
      <c r="B28" t="s">
        <v>54</v>
      </c>
      <c r="C28" t="s">
        <v>47</v>
      </c>
      <c r="D28" t="s">
        <v>149</v>
      </c>
      <c r="E28" t="s">
        <v>41</v>
      </c>
      <c r="F28">
        <v>135</v>
      </c>
      <c r="G28">
        <v>1200</v>
      </c>
      <c r="H28">
        <v>1</v>
      </c>
      <c r="I28">
        <v>2</v>
      </c>
      <c r="J28">
        <v>5</v>
      </c>
      <c r="K28">
        <v>10</v>
      </c>
      <c r="L28">
        <v>15</v>
      </c>
      <c r="M28">
        <v>24</v>
      </c>
      <c r="N28">
        <v>5</v>
      </c>
      <c r="P28">
        <v>70</v>
      </c>
      <c r="Q28">
        <v>24</v>
      </c>
      <c r="R28">
        <v>72</v>
      </c>
      <c r="S28">
        <v>30</v>
      </c>
      <c r="T28">
        <f t="shared" si="0"/>
        <v>100</v>
      </c>
      <c r="U28">
        <f t="shared" si="1"/>
        <v>300</v>
      </c>
    </row>
    <row r="29" spans="1:21" x14ac:dyDescent="0.25">
      <c r="A29" t="s">
        <v>411</v>
      </c>
      <c r="B29" t="s">
        <v>53</v>
      </c>
      <c r="C29" t="s">
        <v>47</v>
      </c>
      <c r="D29" t="s">
        <v>149</v>
      </c>
      <c r="E29" t="s">
        <v>41</v>
      </c>
      <c r="F29">
        <v>135</v>
      </c>
      <c r="G29">
        <v>5000</v>
      </c>
      <c r="H29">
        <v>1</v>
      </c>
      <c r="I29">
        <v>2</v>
      </c>
      <c r="J29">
        <v>5</v>
      </c>
      <c r="K29">
        <v>10</v>
      </c>
      <c r="L29">
        <v>15</v>
      </c>
      <c r="M29">
        <v>24</v>
      </c>
      <c r="N29">
        <v>5</v>
      </c>
      <c r="P29">
        <v>70</v>
      </c>
      <c r="Q29">
        <v>24</v>
      </c>
      <c r="R29">
        <v>72</v>
      </c>
      <c r="S29">
        <v>30</v>
      </c>
      <c r="T29">
        <f t="shared" si="0"/>
        <v>100</v>
      </c>
      <c r="U29">
        <f t="shared" si="1"/>
        <v>300</v>
      </c>
    </row>
    <row r="30" spans="1:21" x14ac:dyDescent="0.25">
      <c r="A30" t="s">
        <v>412</v>
      </c>
      <c r="B30" t="s">
        <v>359</v>
      </c>
      <c r="C30" t="s">
        <v>359</v>
      </c>
      <c r="D30" t="s">
        <v>149</v>
      </c>
      <c r="E30" t="s">
        <v>41</v>
      </c>
      <c r="F30">
        <v>135</v>
      </c>
      <c r="G30">
        <v>5000</v>
      </c>
      <c r="H30">
        <v>1</v>
      </c>
      <c r="I30">
        <v>2</v>
      </c>
      <c r="J30">
        <v>5</v>
      </c>
      <c r="K30">
        <v>10</v>
      </c>
      <c r="L30">
        <v>15</v>
      </c>
      <c r="M30">
        <v>24</v>
      </c>
      <c r="N30">
        <v>5</v>
      </c>
      <c r="P30">
        <v>70</v>
      </c>
      <c r="Q30">
        <v>24</v>
      </c>
      <c r="R30">
        <v>72</v>
      </c>
      <c r="S30">
        <v>30</v>
      </c>
      <c r="T30">
        <f t="shared" si="0"/>
        <v>100</v>
      </c>
      <c r="U30">
        <f t="shared" si="1"/>
        <v>300</v>
      </c>
    </row>
    <row r="31" spans="1:21" x14ac:dyDescent="0.25">
      <c r="A31" t="s">
        <v>413</v>
      </c>
      <c r="B31" t="s">
        <v>54</v>
      </c>
      <c r="C31" t="s">
        <v>46</v>
      </c>
      <c r="D31" t="s">
        <v>149</v>
      </c>
      <c r="E31" t="s">
        <v>41</v>
      </c>
      <c r="F31">
        <v>135</v>
      </c>
      <c r="G31">
        <v>1200</v>
      </c>
      <c r="H31">
        <v>1</v>
      </c>
      <c r="I31">
        <v>2</v>
      </c>
      <c r="J31">
        <v>5</v>
      </c>
      <c r="K31">
        <v>10</v>
      </c>
      <c r="L31">
        <v>15</v>
      </c>
      <c r="M31">
        <v>24</v>
      </c>
      <c r="N31">
        <v>5</v>
      </c>
      <c r="P31">
        <v>70</v>
      </c>
      <c r="Q31">
        <v>24</v>
      </c>
      <c r="R31">
        <v>72</v>
      </c>
      <c r="S31">
        <v>60</v>
      </c>
      <c r="T31">
        <f t="shared" si="0"/>
        <v>200</v>
      </c>
      <c r="U31">
        <f t="shared" si="1"/>
        <v>600</v>
      </c>
    </row>
    <row r="32" spans="1:21" x14ac:dyDescent="0.25">
      <c r="A32" t="s">
        <v>414</v>
      </c>
      <c r="B32" t="s">
        <v>53</v>
      </c>
      <c r="C32" t="s">
        <v>46</v>
      </c>
      <c r="D32" t="s">
        <v>149</v>
      </c>
      <c r="E32" t="s">
        <v>41</v>
      </c>
      <c r="F32">
        <v>135</v>
      </c>
      <c r="G32">
        <v>1200</v>
      </c>
      <c r="H32">
        <v>1</v>
      </c>
      <c r="I32">
        <v>2</v>
      </c>
      <c r="J32">
        <v>5</v>
      </c>
      <c r="K32">
        <v>10</v>
      </c>
      <c r="L32">
        <v>15</v>
      </c>
      <c r="M32">
        <v>24</v>
      </c>
      <c r="N32">
        <v>5</v>
      </c>
      <c r="P32">
        <v>70</v>
      </c>
      <c r="Q32">
        <v>24</v>
      </c>
      <c r="R32">
        <v>72</v>
      </c>
      <c r="S32">
        <v>60</v>
      </c>
      <c r="T32">
        <f t="shared" si="0"/>
        <v>200</v>
      </c>
      <c r="U32">
        <f t="shared" si="1"/>
        <v>600</v>
      </c>
    </row>
    <row r="33" spans="1:21" x14ac:dyDescent="0.25">
      <c r="A33" t="s">
        <v>415</v>
      </c>
      <c r="B33" t="s">
        <v>54</v>
      </c>
      <c r="C33" t="s">
        <v>47</v>
      </c>
      <c r="D33" t="s">
        <v>149</v>
      </c>
      <c r="E33" t="s">
        <v>41</v>
      </c>
      <c r="F33">
        <v>135</v>
      </c>
      <c r="G33">
        <v>1200</v>
      </c>
      <c r="H33">
        <v>1</v>
      </c>
      <c r="I33">
        <v>2</v>
      </c>
      <c r="J33">
        <v>5</v>
      </c>
      <c r="K33">
        <v>10</v>
      </c>
      <c r="L33">
        <v>20</v>
      </c>
      <c r="M33">
        <v>30</v>
      </c>
      <c r="N33">
        <v>5</v>
      </c>
      <c r="P33">
        <v>90</v>
      </c>
      <c r="Q33">
        <v>32</v>
      </c>
      <c r="R33">
        <v>96</v>
      </c>
      <c r="S33">
        <v>30</v>
      </c>
      <c r="T33">
        <f t="shared" si="0"/>
        <v>100</v>
      </c>
      <c r="U33">
        <f t="shared" si="1"/>
        <v>300</v>
      </c>
    </row>
    <row r="34" spans="1:21" x14ac:dyDescent="0.25">
      <c r="A34" t="s">
        <v>416</v>
      </c>
      <c r="B34" t="s">
        <v>53</v>
      </c>
      <c r="C34" t="s">
        <v>47</v>
      </c>
      <c r="D34" t="s">
        <v>149</v>
      </c>
      <c r="E34" t="s">
        <v>41</v>
      </c>
      <c r="F34">
        <v>135</v>
      </c>
      <c r="G34">
        <v>5000</v>
      </c>
      <c r="H34">
        <v>1</v>
      </c>
      <c r="I34">
        <v>2</v>
      </c>
      <c r="J34">
        <v>5</v>
      </c>
      <c r="K34">
        <v>10</v>
      </c>
      <c r="L34">
        <v>20</v>
      </c>
      <c r="M34">
        <v>30</v>
      </c>
      <c r="N34">
        <v>5</v>
      </c>
      <c r="P34">
        <v>90</v>
      </c>
      <c r="Q34">
        <v>32</v>
      </c>
      <c r="R34">
        <v>96</v>
      </c>
      <c r="S34">
        <v>30</v>
      </c>
      <c r="T34">
        <f t="shared" si="0"/>
        <v>100</v>
      </c>
      <c r="U34">
        <f t="shared" si="1"/>
        <v>300</v>
      </c>
    </row>
    <row r="35" spans="1:21" x14ac:dyDescent="0.25">
      <c r="A35" t="s">
        <v>417</v>
      </c>
      <c r="B35" t="s">
        <v>359</v>
      </c>
      <c r="C35" t="s">
        <v>359</v>
      </c>
      <c r="D35" t="s">
        <v>149</v>
      </c>
      <c r="E35" t="s">
        <v>41</v>
      </c>
      <c r="F35">
        <v>135</v>
      </c>
      <c r="G35">
        <v>5000</v>
      </c>
      <c r="H35">
        <v>1</v>
      </c>
      <c r="I35">
        <v>2</v>
      </c>
      <c r="J35">
        <v>5</v>
      </c>
      <c r="K35">
        <v>10</v>
      </c>
      <c r="L35">
        <v>20</v>
      </c>
      <c r="M35">
        <v>30</v>
      </c>
      <c r="N35">
        <v>5</v>
      </c>
      <c r="P35">
        <v>90</v>
      </c>
      <c r="Q35">
        <v>32</v>
      </c>
      <c r="R35">
        <v>96</v>
      </c>
      <c r="S35">
        <v>30</v>
      </c>
      <c r="T35">
        <f t="shared" si="0"/>
        <v>100</v>
      </c>
      <c r="U35">
        <f t="shared" si="1"/>
        <v>300</v>
      </c>
    </row>
    <row r="36" spans="1:21" x14ac:dyDescent="0.25">
      <c r="A36" t="s">
        <v>418</v>
      </c>
      <c r="B36" t="s">
        <v>54</v>
      </c>
      <c r="C36" t="s">
        <v>46</v>
      </c>
      <c r="D36" t="s">
        <v>149</v>
      </c>
      <c r="E36" t="s">
        <v>41</v>
      </c>
      <c r="F36">
        <v>135</v>
      </c>
      <c r="G36">
        <v>1200</v>
      </c>
      <c r="H36">
        <v>1</v>
      </c>
      <c r="I36">
        <v>2</v>
      </c>
      <c r="J36">
        <v>5</v>
      </c>
      <c r="K36">
        <v>10</v>
      </c>
      <c r="L36">
        <v>20</v>
      </c>
      <c r="M36">
        <v>30</v>
      </c>
      <c r="N36">
        <v>5</v>
      </c>
      <c r="P36">
        <v>90</v>
      </c>
      <c r="Q36">
        <v>32</v>
      </c>
      <c r="R36">
        <v>96</v>
      </c>
      <c r="S36">
        <v>60</v>
      </c>
      <c r="T36">
        <f t="shared" si="0"/>
        <v>200</v>
      </c>
      <c r="U36">
        <f t="shared" si="1"/>
        <v>600</v>
      </c>
    </row>
    <row r="37" spans="1:21" x14ac:dyDescent="0.25">
      <c r="A37" t="s">
        <v>419</v>
      </c>
      <c r="B37" t="s">
        <v>53</v>
      </c>
      <c r="C37" t="s">
        <v>46</v>
      </c>
      <c r="D37" t="s">
        <v>149</v>
      </c>
      <c r="E37" t="s">
        <v>41</v>
      </c>
      <c r="F37">
        <v>135</v>
      </c>
      <c r="G37">
        <v>1200</v>
      </c>
      <c r="H37">
        <v>1</v>
      </c>
      <c r="I37">
        <v>2</v>
      </c>
      <c r="J37">
        <v>5</v>
      </c>
      <c r="K37">
        <v>10</v>
      </c>
      <c r="L37">
        <v>20</v>
      </c>
      <c r="M37">
        <v>30</v>
      </c>
      <c r="N37">
        <v>5</v>
      </c>
      <c r="P37">
        <v>90</v>
      </c>
      <c r="Q37">
        <v>32</v>
      </c>
      <c r="R37">
        <v>96</v>
      </c>
      <c r="S37">
        <v>60</v>
      </c>
      <c r="T37">
        <f t="shared" si="0"/>
        <v>200</v>
      </c>
      <c r="U37">
        <f t="shared" si="1"/>
        <v>600</v>
      </c>
    </row>
    <row r="38" spans="1:21" x14ac:dyDescent="0.25">
      <c r="A38">
        <v>1</v>
      </c>
      <c r="B38">
        <v>2</v>
      </c>
      <c r="C38">
        <v>3</v>
      </c>
      <c r="D38">
        <v>4</v>
      </c>
      <c r="E38">
        <v>5</v>
      </c>
      <c r="F38">
        <v>6</v>
      </c>
      <c r="G38">
        <v>7</v>
      </c>
      <c r="H38">
        <v>8</v>
      </c>
      <c r="I38">
        <v>9</v>
      </c>
      <c r="J38">
        <v>10</v>
      </c>
      <c r="K38">
        <v>11</v>
      </c>
      <c r="L38">
        <v>12</v>
      </c>
      <c r="M38">
        <v>13</v>
      </c>
      <c r="N38">
        <v>14</v>
      </c>
      <c r="O38">
        <v>15</v>
      </c>
      <c r="P38">
        <v>16</v>
      </c>
      <c r="Q38">
        <v>17</v>
      </c>
      <c r="R38">
        <v>18</v>
      </c>
      <c r="S38">
        <v>19</v>
      </c>
      <c r="T38">
        <v>20</v>
      </c>
      <c r="U38">
        <v>21</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DCE931-7DE7-498D-88CA-DEC7B3407643}">
  <dimension ref="A1:AB44"/>
  <sheetViews>
    <sheetView workbookViewId="0">
      <selection activeCell="G12" sqref="G12"/>
    </sheetView>
  </sheetViews>
  <sheetFormatPr defaultRowHeight="15" x14ac:dyDescent="0.25"/>
  <cols>
    <col min="15" max="16" width="13.28515625" customWidth="1"/>
  </cols>
  <sheetData>
    <row r="1" spans="1:28" x14ac:dyDescent="0.25">
      <c r="E1" s="205" t="s">
        <v>420</v>
      </c>
      <c r="F1" s="205"/>
      <c r="G1" s="205"/>
      <c r="H1" s="205"/>
      <c r="I1" s="205"/>
      <c r="J1" s="205"/>
      <c r="K1" s="205"/>
      <c r="L1" s="205"/>
      <c r="M1" s="205"/>
      <c r="O1" t="s">
        <v>420</v>
      </c>
      <c r="P1" t="s">
        <v>420</v>
      </c>
      <c r="Q1" t="s">
        <v>421</v>
      </c>
      <c r="S1" t="s">
        <v>421</v>
      </c>
      <c r="T1" s="205" t="s">
        <v>421</v>
      </c>
      <c r="U1" s="205"/>
      <c r="V1" s="205"/>
      <c r="W1" s="205"/>
      <c r="X1" s="205"/>
      <c r="Y1" s="205"/>
      <c r="Z1" s="205"/>
      <c r="AA1" s="205"/>
      <c r="AB1" s="205"/>
    </row>
    <row r="2" spans="1:28" x14ac:dyDescent="0.25">
      <c r="E2" t="s">
        <v>119</v>
      </c>
      <c r="F2" t="s">
        <v>422</v>
      </c>
      <c r="G2" t="s">
        <v>145</v>
      </c>
      <c r="H2" t="s">
        <v>197</v>
      </c>
      <c r="I2" t="s">
        <v>198</v>
      </c>
      <c r="J2" t="s">
        <v>199</v>
      </c>
      <c r="K2" t="s">
        <v>200</v>
      </c>
      <c r="L2" t="s">
        <v>201</v>
      </c>
      <c r="M2" t="s">
        <v>202</v>
      </c>
      <c r="N2" t="s">
        <v>423</v>
      </c>
      <c r="O2" t="s">
        <v>424</v>
      </c>
      <c r="P2" t="s">
        <v>425</v>
      </c>
      <c r="Q2" t="s">
        <v>426</v>
      </c>
      <c r="R2" t="s">
        <v>427</v>
      </c>
      <c r="S2" t="s">
        <v>427</v>
      </c>
      <c r="T2" t="s">
        <v>197</v>
      </c>
      <c r="U2" t="s">
        <v>198</v>
      </c>
      <c r="V2" t="s">
        <v>199</v>
      </c>
      <c r="W2" t="s">
        <v>200</v>
      </c>
      <c r="X2" t="s">
        <v>201</v>
      </c>
      <c r="Y2" t="s">
        <v>202</v>
      </c>
    </row>
    <row r="3" spans="1:28" x14ac:dyDescent="0.25">
      <c r="A3" t="s">
        <v>274</v>
      </c>
      <c r="B3" t="s">
        <v>49</v>
      </c>
      <c r="E3">
        <v>300</v>
      </c>
      <c r="F3">
        <v>425</v>
      </c>
      <c r="G3">
        <v>1200</v>
      </c>
      <c r="H3">
        <v>0.5</v>
      </c>
      <c r="I3">
        <v>1</v>
      </c>
      <c r="J3">
        <v>2</v>
      </c>
      <c r="K3">
        <v>5</v>
      </c>
      <c r="L3">
        <v>10</v>
      </c>
      <c r="M3">
        <v>15</v>
      </c>
      <c r="O3">
        <v>16.7</v>
      </c>
      <c r="P3">
        <v>50</v>
      </c>
      <c r="Q3">
        <v>8.3000000000000007</v>
      </c>
      <c r="R3">
        <v>25</v>
      </c>
      <c r="S3">
        <v>25</v>
      </c>
      <c r="T3">
        <v>0.5</v>
      </c>
      <c r="U3">
        <v>1</v>
      </c>
      <c r="V3">
        <v>2</v>
      </c>
      <c r="W3">
        <v>4</v>
      </c>
      <c r="X3">
        <v>6</v>
      </c>
      <c r="Y3">
        <v>8</v>
      </c>
    </row>
    <row r="4" spans="1:28" x14ac:dyDescent="0.25">
      <c r="A4" t="s">
        <v>428</v>
      </c>
      <c r="B4" t="s">
        <v>49</v>
      </c>
      <c r="E4">
        <v>300</v>
      </c>
      <c r="F4">
        <v>425</v>
      </c>
      <c r="G4">
        <v>1200</v>
      </c>
      <c r="H4">
        <v>1</v>
      </c>
      <c r="I4">
        <v>2</v>
      </c>
      <c r="J4">
        <v>5</v>
      </c>
      <c r="K4">
        <v>10</v>
      </c>
      <c r="L4">
        <f>L3*1.5</f>
        <v>15</v>
      </c>
      <c r="M4">
        <v>25</v>
      </c>
      <c r="O4">
        <v>25</v>
      </c>
      <c r="P4">
        <v>75</v>
      </c>
      <c r="Q4">
        <v>12.9</v>
      </c>
      <c r="R4">
        <v>37.9</v>
      </c>
      <c r="S4">
        <v>35</v>
      </c>
      <c r="T4">
        <v>0.5</v>
      </c>
      <c r="U4">
        <v>1</v>
      </c>
      <c r="V4">
        <v>2</v>
      </c>
      <c r="W4">
        <v>5</v>
      </c>
      <c r="X4">
        <v>10</v>
      </c>
      <c r="Y4">
        <v>12</v>
      </c>
    </row>
    <row r="5" spans="1:28" x14ac:dyDescent="0.25">
      <c r="A5" t="s">
        <v>429</v>
      </c>
      <c r="B5" t="s">
        <v>49</v>
      </c>
      <c r="E5">
        <v>300</v>
      </c>
      <c r="F5">
        <v>425</v>
      </c>
      <c r="G5">
        <v>1200</v>
      </c>
      <c r="H5">
        <f t="shared" ref="H5:M5" si="0">H3*2</f>
        <v>1</v>
      </c>
      <c r="I5">
        <f t="shared" si="0"/>
        <v>2</v>
      </c>
      <c r="J5">
        <f t="shared" si="0"/>
        <v>4</v>
      </c>
      <c r="K5">
        <f t="shared" si="0"/>
        <v>10</v>
      </c>
      <c r="L5">
        <f t="shared" si="0"/>
        <v>20</v>
      </c>
      <c r="M5">
        <f t="shared" si="0"/>
        <v>30</v>
      </c>
      <c r="O5">
        <v>33.299999999999997</v>
      </c>
      <c r="P5">
        <v>100</v>
      </c>
      <c r="Q5">
        <v>16.7</v>
      </c>
      <c r="R5">
        <v>50</v>
      </c>
      <c r="S5">
        <v>50</v>
      </c>
      <c r="T5">
        <v>0.5</v>
      </c>
      <c r="U5">
        <v>1</v>
      </c>
      <c r="V5">
        <v>2</v>
      </c>
      <c r="W5">
        <v>5</v>
      </c>
      <c r="X5">
        <v>10</v>
      </c>
      <c r="Y5">
        <v>15</v>
      </c>
    </row>
    <row r="6" spans="1:28" x14ac:dyDescent="0.25">
      <c r="A6" t="s">
        <v>430</v>
      </c>
      <c r="B6" t="s">
        <v>49</v>
      </c>
      <c r="E6">
        <v>300</v>
      </c>
      <c r="F6">
        <v>425</v>
      </c>
      <c r="G6">
        <v>1200</v>
      </c>
      <c r="H6">
        <v>1</v>
      </c>
      <c r="I6">
        <v>5</v>
      </c>
      <c r="J6">
        <v>10</v>
      </c>
      <c r="K6">
        <v>20</v>
      </c>
      <c r="L6">
        <v>30</v>
      </c>
      <c r="M6">
        <v>40</v>
      </c>
      <c r="O6">
        <v>41.7</v>
      </c>
      <c r="P6">
        <v>125</v>
      </c>
      <c r="Q6">
        <v>21</v>
      </c>
      <c r="R6">
        <v>63</v>
      </c>
      <c r="S6">
        <v>60</v>
      </c>
      <c r="T6">
        <v>1</v>
      </c>
      <c r="U6">
        <v>2</v>
      </c>
      <c r="V6">
        <v>5</v>
      </c>
      <c r="W6">
        <v>10</v>
      </c>
      <c r="X6">
        <v>15</v>
      </c>
      <c r="Y6">
        <v>20</v>
      </c>
    </row>
    <row r="7" spans="1:28" x14ac:dyDescent="0.25">
      <c r="A7" t="s">
        <v>431</v>
      </c>
      <c r="B7" t="s">
        <v>49</v>
      </c>
      <c r="E7">
        <v>300</v>
      </c>
      <c r="F7">
        <v>425</v>
      </c>
      <c r="G7">
        <v>1200</v>
      </c>
      <c r="H7">
        <v>1</v>
      </c>
      <c r="I7">
        <v>5</v>
      </c>
      <c r="J7">
        <v>10</v>
      </c>
      <c r="K7">
        <v>20</v>
      </c>
      <c r="L7">
        <v>35</v>
      </c>
      <c r="M7">
        <v>50</v>
      </c>
      <c r="O7">
        <v>50</v>
      </c>
      <c r="P7">
        <v>150</v>
      </c>
      <c r="Q7">
        <v>27.8</v>
      </c>
      <c r="R7">
        <v>75</v>
      </c>
      <c r="S7">
        <v>75</v>
      </c>
      <c r="T7">
        <v>1</v>
      </c>
      <c r="U7">
        <v>2</v>
      </c>
      <c r="V7">
        <v>5</v>
      </c>
      <c r="W7">
        <v>10</v>
      </c>
      <c r="X7">
        <v>15</v>
      </c>
      <c r="Y7">
        <v>25</v>
      </c>
    </row>
    <row r="8" spans="1:28" x14ac:dyDescent="0.25">
      <c r="A8" t="s">
        <v>432</v>
      </c>
      <c r="B8" t="s">
        <v>49</v>
      </c>
      <c r="E8">
        <v>300</v>
      </c>
      <c r="F8">
        <v>425</v>
      </c>
      <c r="G8">
        <v>1200</v>
      </c>
      <c r="H8">
        <f t="shared" ref="H8:L9" si="1">H5*2</f>
        <v>2</v>
      </c>
      <c r="I8">
        <f t="shared" si="1"/>
        <v>4</v>
      </c>
      <c r="J8">
        <f t="shared" si="1"/>
        <v>8</v>
      </c>
      <c r="K8">
        <f t="shared" si="1"/>
        <v>20</v>
      </c>
      <c r="L8">
        <f t="shared" si="1"/>
        <v>40</v>
      </c>
      <c r="M8">
        <v>65</v>
      </c>
      <c r="O8">
        <v>66.7</v>
      </c>
      <c r="P8">
        <v>200</v>
      </c>
      <c r="Q8">
        <v>33.4</v>
      </c>
      <c r="R8">
        <v>100</v>
      </c>
      <c r="S8">
        <v>100</v>
      </c>
      <c r="T8">
        <f t="shared" ref="T8:X9" si="2">T5*2</f>
        <v>1</v>
      </c>
      <c r="U8">
        <f t="shared" si="2"/>
        <v>2</v>
      </c>
      <c r="V8">
        <f t="shared" si="2"/>
        <v>4</v>
      </c>
      <c r="W8">
        <f t="shared" si="2"/>
        <v>10</v>
      </c>
      <c r="X8">
        <f t="shared" si="2"/>
        <v>20</v>
      </c>
      <c r="Y8">
        <v>30</v>
      </c>
    </row>
    <row r="9" spans="1:28" x14ac:dyDescent="0.25">
      <c r="A9" t="s">
        <v>433</v>
      </c>
      <c r="B9" t="s">
        <v>49</v>
      </c>
      <c r="E9">
        <v>300</v>
      </c>
      <c r="F9">
        <v>425</v>
      </c>
      <c r="G9">
        <v>1200</v>
      </c>
      <c r="H9">
        <f t="shared" si="1"/>
        <v>2</v>
      </c>
      <c r="I9">
        <f t="shared" si="1"/>
        <v>10</v>
      </c>
      <c r="J9">
        <f t="shared" si="1"/>
        <v>20</v>
      </c>
      <c r="K9">
        <f t="shared" si="1"/>
        <v>40</v>
      </c>
      <c r="L9">
        <f t="shared" si="1"/>
        <v>60</v>
      </c>
      <c r="M9">
        <v>80</v>
      </c>
      <c r="O9">
        <v>83.3</v>
      </c>
      <c r="P9">
        <v>250</v>
      </c>
      <c r="Q9">
        <v>41.7</v>
      </c>
      <c r="R9">
        <v>125</v>
      </c>
      <c r="S9">
        <v>125</v>
      </c>
      <c r="T9">
        <f t="shared" si="2"/>
        <v>2</v>
      </c>
      <c r="U9">
        <f t="shared" si="2"/>
        <v>4</v>
      </c>
      <c r="V9">
        <f t="shared" si="2"/>
        <v>10</v>
      </c>
      <c r="W9">
        <f t="shared" si="2"/>
        <v>20</v>
      </c>
      <c r="X9">
        <f t="shared" si="2"/>
        <v>30</v>
      </c>
      <c r="Y9">
        <v>40</v>
      </c>
    </row>
    <row r="10" spans="1:28" x14ac:dyDescent="0.25">
      <c r="A10" t="s">
        <v>434</v>
      </c>
      <c r="B10" t="s">
        <v>49</v>
      </c>
      <c r="E10">
        <v>300</v>
      </c>
      <c r="F10">
        <v>425</v>
      </c>
      <c r="G10">
        <v>1200</v>
      </c>
      <c r="H10">
        <f>H6*3</f>
        <v>3</v>
      </c>
      <c r="I10">
        <f>I6*3</f>
        <v>15</v>
      </c>
      <c r="J10">
        <f>J6*3</f>
        <v>30</v>
      </c>
      <c r="K10">
        <f>K6*3</f>
        <v>60</v>
      </c>
      <c r="L10">
        <f>L6*3</f>
        <v>90</v>
      </c>
      <c r="M10">
        <v>125</v>
      </c>
      <c r="O10">
        <v>125</v>
      </c>
      <c r="P10">
        <v>375</v>
      </c>
      <c r="Q10">
        <v>62.5</v>
      </c>
      <c r="R10">
        <v>189</v>
      </c>
      <c r="S10">
        <v>185</v>
      </c>
      <c r="T10">
        <f>T6*3</f>
        <v>3</v>
      </c>
      <c r="U10">
        <f>U6*3</f>
        <v>6</v>
      </c>
      <c r="V10">
        <f>V6*3</f>
        <v>15</v>
      </c>
      <c r="W10">
        <f>W6*3</f>
        <v>30</v>
      </c>
      <c r="X10">
        <f>X6*3</f>
        <v>45</v>
      </c>
      <c r="Y10">
        <v>60</v>
      </c>
    </row>
    <row r="11" spans="1:28" x14ac:dyDescent="0.25">
      <c r="A11" t="s">
        <v>435</v>
      </c>
      <c r="B11" t="s">
        <v>49</v>
      </c>
      <c r="E11">
        <v>300</v>
      </c>
      <c r="F11">
        <v>425</v>
      </c>
      <c r="G11">
        <v>1200</v>
      </c>
      <c r="H11">
        <f>H3*10</f>
        <v>5</v>
      </c>
      <c r="I11">
        <f>I3*10</f>
        <v>10</v>
      </c>
      <c r="J11">
        <f>J3*10</f>
        <v>20</v>
      </c>
      <c r="K11">
        <f>K3*10</f>
        <v>50</v>
      </c>
      <c r="L11">
        <f>L3*10</f>
        <v>100</v>
      </c>
      <c r="M11">
        <v>165</v>
      </c>
      <c r="O11">
        <v>166.7</v>
      </c>
      <c r="P11">
        <v>500</v>
      </c>
      <c r="Q11">
        <v>83.3</v>
      </c>
      <c r="R11">
        <v>250</v>
      </c>
      <c r="S11">
        <v>250</v>
      </c>
      <c r="T11">
        <v>2</v>
      </c>
      <c r="U11">
        <v>10</v>
      </c>
      <c r="V11">
        <v>20</v>
      </c>
      <c r="W11">
        <v>40</v>
      </c>
      <c r="X11">
        <v>60</v>
      </c>
      <c r="Y11">
        <v>80</v>
      </c>
    </row>
    <row r="12" spans="1:28" x14ac:dyDescent="0.25">
      <c r="A12" t="s">
        <v>436</v>
      </c>
      <c r="B12" t="s">
        <v>49</v>
      </c>
      <c r="E12">
        <v>300</v>
      </c>
      <c r="F12">
        <v>425</v>
      </c>
      <c r="G12">
        <v>1200</v>
      </c>
      <c r="H12">
        <f>H6*5</f>
        <v>5</v>
      </c>
      <c r="I12">
        <f>I6*5</f>
        <v>25</v>
      </c>
      <c r="J12">
        <f>J6*5</f>
        <v>50</v>
      </c>
      <c r="K12">
        <f>K6*5</f>
        <v>100</v>
      </c>
      <c r="L12">
        <f>L6*5</f>
        <v>150</v>
      </c>
      <c r="M12">
        <v>205</v>
      </c>
      <c r="O12">
        <v>208.3</v>
      </c>
      <c r="P12">
        <v>625</v>
      </c>
      <c r="Q12">
        <v>104</v>
      </c>
      <c r="R12">
        <v>312.5</v>
      </c>
      <c r="S12">
        <v>310</v>
      </c>
      <c r="T12">
        <f>T6*5</f>
        <v>5</v>
      </c>
      <c r="U12">
        <f>U6*5</f>
        <v>10</v>
      </c>
      <c r="V12">
        <f>V6*5</f>
        <v>25</v>
      </c>
      <c r="W12">
        <f>W6*5</f>
        <v>50</v>
      </c>
      <c r="X12">
        <f>X6*5</f>
        <v>75</v>
      </c>
      <c r="Y12">
        <v>100</v>
      </c>
    </row>
    <row r="13" spans="1:28" x14ac:dyDescent="0.25">
      <c r="A13" t="s">
        <v>437</v>
      </c>
      <c r="B13" t="s">
        <v>49</v>
      </c>
      <c r="E13">
        <v>300</v>
      </c>
      <c r="F13">
        <v>425</v>
      </c>
      <c r="G13">
        <v>1200</v>
      </c>
      <c r="H13">
        <f>H6*6</f>
        <v>6</v>
      </c>
      <c r="I13">
        <f>I6*6</f>
        <v>30</v>
      </c>
      <c r="J13">
        <f>J6*6</f>
        <v>60</v>
      </c>
      <c r="K13">
        <f>K6*6</f>
        <v>120</v>
      </c>
      <c r="L13">
        <f>L6*6</f>
        <v>180</v>
      </c>
      <c r="M13">
        <v>250</v>
      </c>
      <c r="O13">
        <v>250</v>
      </c>
      <c r="P13">
        <v>750</v>
      </c>
      <c r="Q13">
        <v>125</v>
      </c>
      <c r="R13">
        <v>375</v>
      </c>
      <c r="S13">
        <v>375</v>
      </c>
      <c r="T13">
        <f>T6*6</f>
        <v>6</v>
      </c>
      <c r="U13">
        <f>U6*6</f>
        <v>12</v>
      </c>
      <c r="V13">
        <f>V6*6</f>
        <v>30</v>
      </c>
      <c r="W13">
        <f>W6*6</f>
        <v>60</v>
      </c>
      <c r="X13">
        <f>X6*6</f>
        <v>90</v>
      </c>
      <c r="Y13">
        <v>125</v>
      </c>
    </row>
    <row r="14" spans="1:28" x14ac:dyDescent="0.25">
      <c r="B14">
        <v>2</v>
      </c>
      <c r="C14">
        <v>3</v>
      </c>
      <c r="D14">
        <v>4</v>
      </c>
      <c r="E14">
        <v>5</v>
      </c>
      <c r="F14">
        <v>6</v>
      </c>
      <c r="G14">
        <v>7</v>
      </c>
      <c r="H14">
        <v>8</v>
      </c>
      <c r="I14">
        <v>9</v>
      </c>
      <c r="J14">
        <v>10</v>
      </c>
      <c r="K14">
        <v>11</v>
      </c>
      <c r="L14">
        <v>12</v>
      </c>
      <c r="M14">
        <v>13</v>
      </c>
      <c r="N14">
        <v>14</v>
      </c>
      <c r="O14">
        <v>15</v>
      </c>
      <c r="P14">
        <v>16</v>
      </c>
      <c r="Q14">
        <v>17</v>
      </c>
      <c r="R14">
        <v>18</v>
      </c>
      <c r="S14">
        <v>19</v>
      </c>
      <c r="T14">
        <v>20</v>
      </c>
      <c r="U14">
        <v>21</v>
      </c>
      <c r="V14">
        <v>22</v>
      </c>
      <c r="W14">
        <v>23</v>
      </c>
      <c r="X14">
        <v>24</v>
      </c>
      <c r="Y14">
        <v>25</v>
      </c>
    </row>
    <row r="15" spans="1:28" x14ac:dyDescent="0.25">
      <c r="Q15" s="9"/>
      <c r="R15" s="9"/>
    </row>
    <row r="16" spans="1:28" x14ac:dyDescent="0.25">
      <c r="Q16" s="9"/>
      <c r="R16" s="9"/>
    </row>
    <row r="43" spans="5:20" x14ac:dyDescent="0.25">
      <c r="E43">
        <v>2</v>
      </c>
      <c r="G43">
        <v>3</v>
      </c>
      <c r="H43">
        <v>4</v>
      </c>
      <c r="I43">
        <v>5</v>
      </c>
      <c r="J43">
        <v>6</v>
      </c>
      <c r="K43">
        <v>7</v>
      </c>
      <c r="L43">
        <v>8</v>
      </c>
      <c r="M43">
        <v>9</v>
      </c>
      <c r="N43">
        <v>10</v>
      </c>
      <c r="O43">
        <v>13</v>
      </c>
      <c r="P43">
        <v>14</v>
      </c>
      <c r="Q43">
        <v>15</v>
      </c>
      <c r="S43">
        <v>16</v>
      </c>
      <c r="T43">
        <v>17</v>
      </c>
    </row>
    <row r="44" spans="5:20" x14ac:dyDescent="0.25">
      <c r="E44">
        <v>14</v>
      </c>
      <c r="G44">
        <v>15</v>
      </c>
      <c r="H44">
        <v>16</v>
      </c>
      <c r="I44">
        <v>17</v>
      </c>
      <c r="J44">
        <v>18</v>
      </c>
      <c r="K44">
        <v>19</v>
      </c>
      <c r="L44">
        <v>20</v>
      </c>
      <c r="M44">
        <v>21</v>
      </c>
      <c r="N44">
        <v>22</v>
      </c>
      <c r="O44">
        <v>25</v>
      </c>
      <c r="P44">
        <v>26</v>
      </c>
      <c r="Q44">
        <v>27</v>
      </c>
      <c r="S44">
        <v>28</v>
      </c>
      <c r="T44">
        <v>29</v>
      </c>
    </row>
  </sheetData>
  <mergeCells count="2">
    <mergeCell ref="E1:M1"/>
    <mergeCell ref="T1:AB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BEF888-4BCF-474F-BB34-99EA443AFD15}">
  <dimension ref="A1:U31"/>
  <sheetViews>
    <sheetView workbookViewId="0">
      <selection activeCell="F300" sqref="F300:H300"/>
    </sheetView>
  </sheetViews>
  <sheetFormatPr defaultRowHeight="15" x14ac:dyDescent="0.25"/>
  <cols>
    <col min="1" max="1" width="15.5703125" bestFit="1" customWidth="1"/>
    <col min="15" max="15" width="13.28515625" bestFit="1" customWidth="1"/>
    <col min="16" max="17" width="13.28515625" customWidth="1"/>
    <col min="18" max="18" width="13.42578125" bestFit="1" customWidth="1"/>
  </cols>
  <sheetData>
    <row r="1" spans="1:21" x14ac:dyDescent="0.25">
      <c r="A1" t="s">
        <v>83</v>
      </c>
      <c r="B1" t="s">
        <v>232</v>
      </c>
      <c r="C1" t="s">
        <v>438</v>
      </c>
      <c r="D1" t="s">
        <v>90</v>
      </c>
      <c r="E1" t="s">
        <v>119</v>
      </c>
      <c r="F1" t="s">
        <v>145</v>
      </c>
      <c r="G1" t="s">
        <v>197</v>
      </c>
      <c r="H1" t="s">
        <v>198</v>
      </c>
      <c r="I1" t="s">
        <v>199</v>
      </c>
      <c r="J1" t="s">
        <v>200</v>
      </c>
      <c r="K1" t="s">
        <v>201</v>
      </c>
      <c r="L1" t="s">
        <v>202</v>
      </c>
      <c r="M1" t="s">
        <v>205</v>
      </c>
      <c r="N1" t="s">
        <v>203</v>
      </c>
      <c r="O1" t="s">
        <v>439</v>
      </c>
      <c r="P1" t="s">
        <v>440</v>
      </c>
      <c r="Q1" t="s">
        <v>236</v>
      </c>
      <c r="R1" t="s">
        <v>234</v>
      </c>
      <c r="S1" t="s">
        <v>237</v>
      </c>
      <c r="T1" t="s">
        <v>238</v>
      </c>
    </row>
    <row r="2" spans="1:21" x14ac:dyDescent="0.25">
      <c r="A2" t="s">
        <v>441</v>
      </c>
      <c r="B2" t="s">
        <v>47</v>
      </c>
      <c r="C2" t="s">
        <v>50</v>
      </c>
      <c r="D2" s="1" t="s">
        <v>36</v>
      </c>
      <c r="E2">
        <v>135</v>
      </c>
      <c r="F2">
        <v>1200</v>
      </c>
      <c r="G2">
        <v>0.25</v>
      </c>
      <c r="H2">
        <v>0.5</v>
      </c>
      <c r="I2">
        <v>1</v>
      </c>
      <c r="J2">
        <v>1.5</v>
      </c>
      <c r="K2">
        <v>2</v>
      </c>
      <c r="L2">
        <v>2.5</v>
      </c>
      <c r="M2">
        <v>3</v>
      </c>
      <c r="N2">
        <v>4</v>
      </c>
      <c r="O2">
        <v>2</v>
      </c>
      <c r="P2">
        <v>2</v>
      </c>
      <c r="Q2">
        <v>4</v>
      </c>
      <c r="R2">
        <v>6</v>
      </c>
      <c r="S2">
        <f t="shared" ref="S2:S30" si="0">R2*10</f>
        <v>60</v>
      </c>
    </row>
    <row r="3" spans="1:21" x14ac:dyDescent="0.25">
      <c r="A3" t="s">
        <v>442</v>
      </c>
      <c r="B3" t="s">
        <v>47</v>
      </c>
      <c r="C3" t="s">
        <v>51</v>
      </c>
      <c r="D3" s="1" t="s">
        <v>36</v>
      </c>
      <c r="E3">
        <v>135</v>
      </c>
      <c r="F3">
        <v>5000</v>
      </c>
      <c r="G3">
        <v>0.25</v>
      </c>
      <c r="H3">
        <v>0.5</v>
      </c>
      <c r="I3">
        <v>1</v>
      </c>
      <c r="J3">
        <v>1.5</v>
      </c>
      <c r="K3">
        <v>2</v>
      </c>
      <c r="L3">
        <v>2.5</v>
      </c>
      <c r="M3">
        <v>3</v>
      </c>
      <c r="N3">
        <v>4</v>
      </c>
      <c r="O3">
        <v>2</v>
      </c>
      <c r="P3">
        <v>2</v>
      </c>
      <c r="Q3">
        <v>4</v>
      </c>
      <c r="R3">
        <v>6</v>
      </c>
      <c r="S3">
        <f t="shared" si="0"/>
        <v>60</v>
      </c>
    </row>
    <row r="4" spans="1:21" x14ac:dyDescent="0.25">
      <c r="A4" t="s">
        <v>443</v>
      </c>
      <c r="B4" t="s">
        <v>359</v>
      </c>
      <c r="C4" t="s">
        <v>359</v>
      </c>
      <c r="D4" s="1" t="s">
        <v>36</v>
      </c>
      <c r="E4">
        <v>135</v>
      </c>
      <c r="F4">
        <v>5000</v>
      </c>
      <c r="G4">
        <v>0.25</v>
      </c>
      <c r="H4">
        <v>0.5</v>
      </c>
      <c r="I4">
        <v>1</v>
      </c>
      <c r="J4">
        <v>1.5</v>
      </c>
      <c r="K4">
        <v>2</v>
      </c>
      <c r="L4">
        <v>2.5</v>
      </c>
      <c r="M4">
        <v>3</v>
      </c>
      <c r="N4">
        <v>4</v>
      </c>
      <c r="O4">
        <v>2</v>
      </c>
      <c r="P4">
        <v>2</v>
      </c>
      <c r="Q4">
        <v>4</v>
      </c>
      <c r="R4">
        <v>6</v>
      </c>
      <c r="S4">
        <f t="shared" si="0"/>
        <v>60</v>
      </c>
    </row>
    <row r="5" spans="1:21" x14ac:dyDescent="0.25">
      <c r="A5" t="s">
        <v>444</v>
      </c>
      <c r="B5" t="s">
        <v>47</v>
      </c>
      <c r="C5" t="s">
        <v>50</v>
      </c>
      <c r="D5" s="1" t="s">
        <v>36</v>
      </c>
      <c r="E5">
        <v>135</v>
      </c>
      <c r="F5">
        <v>1200</v>
      </c>
      <c r="G5">
        <v>0.25</v>
      </c>
      <c r="H5">
        <v>0.5</v>
      </c>
      <c r="I5">
        <v>1</v>
      </c>
      <c r="J5">
        <v>1.5</v>
      </c>
      <c r="K5">
        <v>2</v>
      </c>
      <c r="L5">
        <v>3</v>
      </c>
      <c r="M5">
        <v>4</v>
      </c>
      <c r="N5">
        <v>6</v>
      </c>
      <c r="O5">
        <v>2</v>
      </c>
      <c r="P5">
        <v>3</v>
      </c>
      <c r="Q5">
        <v>6</v>
      </c>
      <c r="R5">
        <v>6</v>
      </c>
      <c r="S5">
        <f t="shared" si="0"/>
        <v>60</v>
      </c>
    </row>
    <row r="6" spans="1:21" x14ac:dyDescent="0.25">
      <c r="A6" t="s">
        <v>445</v>
      </c>
      <c r="B6" t="s">
        <v>47</v>
      </c>
      <c r="C6" t="s">
        <v>51</v>
      </c>
      <c r="D6" s="1" t="s">
        <v>36</v>
      </c>
      <c r="E6">
        <v>135</v>
      </c>
      <c r="F6">
        <v>5000</v>
      </c>
      <c r="G6">
        <v>0.25</v>
      </c>
      <c r="H6">
        <v>0.5</v>
      </c>
      <c r="I6">
        <v>1</v>
      </c>
      <c r="J6">
        <v>1.5</v>
      </c>
      <c r="K6">
        <v>2</v>
      </c>
      <c r="L6">
        <v>3</v>
      </c>
      <c r="M6">
        <v>4</v>
      </c>
      <c r="N6">
        <v>6</v>
      </c>
      <c r="O6">
        <v>2</v>
      </c>
      <c r="P6">
        <v>3</v>
      </c>
      <c r="Q6">
        <v>6</v>
      </c>
      <c r="R6">
        <v>6</v>
      </c>
      <c r="S6">
        <f t="shared" si="0"/>
        <v>60</v>
      </c>
    </row>
    <row r="7" spans="1:21" x14ac:dyDescent="0.25">
      <c r="A7" t="s">
        <v>446</v>
      </c>
      <c r="B7" t="s">
        <v>359</v>
      </c>
      <c r="C7" t="s">
        <v>359</v>
      </c>
      <c r="D7" s="1" t="s">
        <v>36</v>
      </c>
      <c r="E7">
        <v>135</v>
      </c>
      <c r="F7">
        <v>5000</v>
      </c>
      <c r="G7">
        <v>0.25</v>
      </c>
      <c r="H7">
        <v>0.5</v>
      </c>
      <c r="I7">
        <v>1</v>
      </c>
      <c r="J7">
        <v>1.5</v>
      </c>
      <c r="K7">
        <v>2</v>
      </c>
      <c r="L7">
        <v>3</v>
      </c>
      <c r="M7">
        <v>4</v>
      </c>
      <c r="N7">
        <v>6</v>
      </c>
      <c r="O7">
        <v>2</v>
      </c>
      <c r="P7">
        <v>3</v>
      </c>
      <c r="Q7">
        <v>6</v>
      </c>
      <c r="R7">
        <v>6</v>
      </c>
      <c r="S7">
        <f t="shared" si="0"/>
        <v>60</v>
      </c>
    </row>
    <row r="8" spans="1:21" x14ac:dyDescent="0.25">
      <c r="A8" t="s">
        <v>447</v>
      </c>
      <c r="B8" t="s">
        <v>48</v>
      </c>
      <c r="C8" t="s">
        <v>50</v>
      </c>
      <c r="D8" s="1" t="s">
        <v>36</v>
      </c>
      <c r="E8">
        <v>150</v>
      </c>
      <c r="F8">
        <v>1200</v>
      </c>
      <c r="G8">
        <v>0.5</v>
      </c>
      <c r="H8">
        <v>1</v>
      </c>
      <c r="I8">
        <v>2</v>
      </c>
      <c r="J8">
        <v>3</v>
      </c>
      <c r="K8">
        <v>5</v>
      </c>
      <c r="L8">
        <v>6</v>
      </c>
      <c r="M8">
        <v>8</v>
      </c>
      <c r="N8">
        <v>10</v>
      </c>
      <c r="O8">
        <v>5</v>
      </c>
      <c r="P8">
        <v>5.5</v>
      </c>
      <c r="Q8">
        <v>10</v>
      </c>
      <c r="R8">
        <v>5</v>
      </c>
      <c r="S8">
        <f t="shared" si="0"/>
        <v>50</v>
      </c>
    </row>
    <row r="9" spans="1:21" x14ac:dyDescent="0.25">
      <c r="A9" t="s">
        <v>448</v>
      </c>
      <c r="B9" t="s">
        <v>357</v>
      </c>
      <c r="C9" t="s">
        <v>50</v>
      </c>
      <c r="D9" s="1" t="s">
        <v>36</v>
      </c>
      <c r="E9">
        <v>150</v>
      </c>
      <c r="F9">
        <v>600</v>
      </c>
      <c r="G9">
        <v>0.5</v>
      </c>
      <c r="H9">
        <v>1</v>
      </c>
      <c r="I9">
        <v>2</v>
      </c>
      <c r="J9">
        <v>3</v>
      </c>
      <c r="K9">
        <v>5</v>
      </c>
      <c r="L9">
        <v>6</v>
      </c>
      <c r="M9">
        <v>8</v>
      </c>
      <c r="N9">
        <v>10</v>
      </c>
      <c r="O9">
        <v>5</v>
      </c>
      <c r="P9">
        <v>5.5</v>
      </c>
      <c r="Q9">
        <v>10</v>
      </c>
      <c r="R9">
        <v>5</v>
      </c>
      <c r="S9">
        <f t="shared" si="0"/>
        <v>50</v>
      </c>
      <c r="U9" t="s">
        <v>357</v>
      </c>
    </row>
    <row r="10" spans="1:21" x14ac:dyDescent="0.25">
      <c r="A10" t="s">
        <v>449</v>
      </c>
      <c r="B10" t="s">
        <v>47</v>
      </c>
      <c r="C10" t="s">
        <v>50</v>
      </c>
      <c r="D10" s="1" t="s">
        <v>36</v>
      </c>
      <c r="E10">
        <v>150</v>
      </c>
      <c r="F10">
        <v>1200</v>
      </c>
      <c r="G10">
        <v>0.5</v>
      </c>
      <c r="H10">
        <v>1</v>
      </c>
      <c r="I10">
        <v>2</v>
      </c>
      <c r="J10">
        <v>3</v>
      </c>
      <c r="K10">
        <v>5</v>
      </c>
      <c r="L10">
        <v>6</v>
      </c>
      <c r="M10">
        <v>8</v>
      </c>
      <c r="N10">
        <v>10</v>
      </c>
      <c r="O10">
        <v>5</v>
      </c>
      <c r="P10">
        <v>5</v>
      </c>
      <c r="Q10">
        <v>10</v>
      </c>
      <c r="R10">
        <v>6</v>
      </c>
      <c r="S10">
        <f t="shared" si="0"/>
        <v>60</v>
      </c>
    </row>
    <row r="11" spans="1:21" x14ac:dyDescent="0.25">
      <c r="A11" t="s">
        <v>450</v>
      </c>
      <c r="B11" t="s">
        <v>47</v>
      </c>
      <c r="C11" t="s">
        <v>51</v>
      </c>
      <c r="D11" s="1" t="s">
        <v>36</v>
      </c>
      <c r="E11">
        <v>150</v>
      </c>
      <c r="F11">
        <v>5000</v>
      </c>
      <c r="G11">
        <v>0.5</v>
      </c>
      <c r="H11">
        <v>1</v>
      </c>
      <c r="I11">
        <v>2</v>
      </c>
      <c r="J11">
        <v>3</v>
      </c>
      <c r="K11">
        <v>5</v>
      </c>
      <c r="L11">
        <v>6</v>
      </c>
      <c r="M11">
        <v>8</v>
      </c>
      <c r="N11">
        <v>10</v>
      </c>
      <c r="O11">
        <v>5</v>
      </c>
      <c r="P11">
        <v>5</v>
      </c>
      <c r="Q11">
        <v>10</v>
      </c>
      <c r="R11">
        <v>6</v>
      </c>
      <c r="S11">
        <f t="shared" si="0"/>
        <v>60</v>
      </c>
    </row>
    <row r="12" spans="1:21" x14ac:dyDescent="0.25">
      <c r="A12" t="s">
        <v>451</v>
      </c>
      <c r="B12" t="s">
        <v>359</v>
      </c>
      <c r="C12" t="s">
        <v>359</v>
      </c>
      <c r="D12" s="1" t="s">
        <v>36</v>
      </c>
      <c r="E12">
        <v>150</v>
      </c>
      <c r="F12">
        <v>5000</v>
      </c>
      <c r="G12">
        <v>0.5</v>
      </c>
      <c r="H12">
        <v>1</v>
      </c>
      <c r="I12">
        <v>2</v>
      </c>
      <c r="J12">
        <v>3</v>
      </c>
      <c r="K12">
        <v>5</v>
      </c>
      <c r="L12">
        <v>6</v>
      </c>
      <c r="M12">
        <v>8</v>
      </c>
      <c r="N12">
        <v>10</v>
      </c>
      <c r="O12">
        <v>5</v>
      </c>
      <c r="P12">
        <v>5</v>
      </c>
      <c r="Q12">
        <v>10</v>
      </c>
      <c r="R12">
        <v>6</v>
      </c>
      <c r="S12">
        <f t="shared" si="0"/>
        <v>60</v>
      </c>
    </row>
    <row r="13" spans="1:21" x14ac:dyDescent="0.25">
      <c r="A13" t="s">
        <v>452</v>
      </c>
      <c r="B13" t="s">
        <v>48</v>
      </c>
      <c r="C13" t="s">
        <v>50</v>
      </c>
      <c r="D13" s="1" t="s">
        <v>36</v>
      </c>
      <c r="E13">
        <v>150</v>
      </c>
      <c r="F13">
        <v>1200</v>
      </c>
      <c r="G13">
        <v>0.5</v>
      </c>
      <c r="H13">
        <v>1</v>
      </c>
      <c r="I13">
        <v>2</v>
      </c>
      <c r="J13">
        <v>4</v>
      </c>
      <c r="K13">
        <v>6</v>
      </c>
      <c r="L13">
        <v>8</v>
      </c>
      <c r="M13">
        <v>10</v>
      </c>
      <c r="N13">
        <v>15</v>
      </c>
      <c r="O13">
        <v>5</v>
      </c>
      <c r="P13">
        <v>8</v>
      </c>
      <c r="Q13">
        <v>15</v>
      </c>
      <c r="R13">
        <v>5</v>
      </c>
      <c r="S13">
        <f t="shared" si="0"/>
        <v>50</v>
      </c>
    </row>
    <row r="14" spans="1:21" x14ac:dyDescent="0.25">
      <c r="A14" t="s">
        <v>453</v>
      </c>
      <c r="B14" t="s">
        <v>357</v>
      </c>
      <c r="C14" t="s">
        <v>50</v>
      </c>
      <c r="D14" s="1" t="s">
        <v>36</v>
      </c>
      <c r="E14">
        <v>150</v>
      </c>
      <c r="F14">
        <v>600</v>
      </c>
      <c r="G14">
        <v>0.5</v>
      </c>
      <c r="H14">
        <v>1</v>
      </c>
      <c r="I14">
        <v>2</v>
      </c>
      <c r="J14">
        <v>4</v>
      </c>
      <c r="K14">
        <v>6</v>
      </c>
      <c r="L14">
        <v>8</v>
      </c>
      <c r="M14">
        <v>10</v>
      </c>
      <c r="N14">
        <v>15</v>
      </c>
      <c r="O14">
        <v>5</v>
      </c>
      <c r="P14">
        <v>8</v>
      </c>
      <c r="Q14">
        <v>15</v>
      </c>
      <c r="R14">
        <v>5</v>
      </c>
      <c r="S14">
        <f t="shared" si="0"/>
        <v>50</v>
      </c>
      <c r="U14" t="s">
        <v>357</v>
      </c>
    </row>
    <row r="15" spans="1:21" x14ac:dyDescent="0.25">
      <c r="A15" t="s">
        <v>454</v>
      </c>
      <c r="B15" t="s">
        <v>48</v>
      </c>
      <c r="C15" t="s">
        <v>50</v>
      </c>
      <c r="D15" s="1" t="s">
        <v>36</v>
      </c>
      <c r="E15">
        <v>150</v>
      </c>
      <c r="F15">
        <v>1200</v>
      </c>
      <c r="G15">
        <v>1</v>
      </c>
      <c r="H15">
        <v>2</v>
      </c>
      <c r="I15">
        <v>5</v>
      </c>
      <c r="J15">
        <v>8</v>
      </c>
      <c r="K15">
        <v>10</v>
      </c>
      <c r="L15">
        <v>12</v>
      </c>
      <c r="M15">
        <v>15</v>
      </c>
      <c r="N15">
        <v>20</v>
      </c>
      <c r="O15">
        <v>5</v>
      </c>
      <c r="P15">
        <v>10</v>
      </c>
      <c r="Q15">
        <v>20</v>
      </c>
      <c r="R15" s="9">
        <v>5</v>
      </c>
      <c r="S15">
        <f t="shared" si="0"/>
        <v>50</v>
      </c>
    </row>
    <row r="16" spans="1:21" x14ac:dyDescent="0.25">
      <c r="A16" t="s">
        <v>455</v>
      </c>
      <c r="B16" t="s">
        <v>46</v>
      </c>
      <c r="C16" t="s">
        <v>50</v>
      </c>
      <c r="D16" s="1" t="s">
        <v>36</v>
      </c>
      <c r="E16">
        <v>150</v>
      </c>
      <c r="F16">
        <v>1200</v>
      </c>
      <c r="G16">
        <v>1</v>
      </c>
      <c r="H16">
        <v>2</v>
      </c>
      <c r="I16">
        <v>5</v>
      </c>
      <c r="J16">
        <v>8</v>
      </c>
      <c r="K16">
        <v>10</v>
      </c>
      <c r="L16">
        <v>12</v>
      </c>
      <c r="M16">
        <v>15</v>
      </c>
      <c r="N16">
        <v>20</v>
      </c>
      <c r="O16">
        <v>5</v>
      </c>
      <c r="P16">
        <v>14</v>
      </c>
      <c r="Q16">
        <v>20</v>
      </c>
      <c r="R16" s="9">
        <v>6</v>
      </c>
      <c r="S16">
        <f t="shared" si="0"/>
        <v>60</v>
      </c>
    </row>
    <row r="17" spans="1:19" x14ac:dyDescent="0.25">
      <c r="A17" t="s">
        <v>456</v>
      </c>
      <c r="B17" t="s">
        <v>46</v>
      </c>
      <c r="C17" t="s">
        <v>51</v>
      </c>
      <c r="D17" s="1" t="s">
        <v>36</v>
      </c>
      <c r="E17">
        <v>150</v>
      </c>
      <c r="F17">
        <v>1200</v>
      </c>
      <c r="G17">
        <v>1</v>
      </c>
      <c r="H17">
        <v>2</v>
      </c>
      <c r="I17">
        <v>5</v>
      </c>
      <c r="J17">
        <v>8</v>
      </c>
      <c r="K17">
        <v>10</v>
      </c>
      <c r="L17">
        <v>12</v>
      </c>
      <c r="M17">
        <v>15</v>
      </c>
      <c r="N17">
        <v>20</v>
      </c>
      <c r="O17">
        <v>5</v>
      </c>
      <c r="P17">
        <v>14</v>
      </c>
      <c r="Q17">
        <v>20</v>
      </c>
      <c r="R17">
        <v>6</v>
      </c>
      <c r="S17">
        <f t="shared" si="0"/>
        <v>60</v>
      </c>
    </row>
    <row r="18" spans="1:19" x14ac:dyDescent="0.25">
      <c r="A18" t="s">
        <v>457</v>
      </c>
      <c r="B18" t="s">
        <v>47</v>
      </c>
      <c r="C18" t="s">
        <v>50</v>
      </c>
      <c r="D18" t="s">
        <v>41</v>
      </c>
      <c r="E18">
        <v>150</v>
      </c>
      <c r="F18">
        <v>1200</v>
      </c>
      <c r="G18">
        <v>1</v>
      </c>
      <c r="H18">
        <v>2</v>
      </c>
      <c r="I18">
        <v>5</v>
      </c>
      <c r="J18">
        <v>8</v>
      </c>
      <c r="K18">
        <v>10</v>
      </c>
      <c r="L18">
        <v>12</v>
      </c>
      <c r="M18">
        <v>15</v>
      </c>
      <c r="N18">
        <v>20</v>
      </c>
      <c r="O18">
        <v>5</v>
      </c>
      <c r="P18">
        <v>10</v>
      </c>
      <c r="Q18">
        <v>20</v>
      </c>
      <c r="R18">
        <v>9</v>
      </c>
      <c r="S18">
        <f t="shared" si="0"/>
        <v>90</v>
      </c>
    </row>
    <row r="19" spans="1:19" x14ac:dyDescent="0.25">
      <c r="A19" t="s">
        <v>458</v>
      </c>
      <c r="B19" t="s">
        <v>47</v>
      </c>
      <c r="C19" t="s">
        <v>51</v>
      </c>
      <c r="D19" t="s">
        <v>41</v>
      </c>
      <c r="E19">
        <v>150</v>
      </c>
      <c r="F19">
        <v>5000</v>
      </c>
      <c r="G19">
        <v>1</v>
      </c>
      <c r="H19">
        <v>2</v>
      </c>
      <c r="I19">
        <v>5</v>
      </c>
      <c r="J19">
        <v>8</v>
      </c>
      <c r="K19">
        <v>10</v>
      </c>
      <c r="L19">
        <v>12</v>
      </c>
      <c r="M19">
        <v>15</v>
      </c>
      <c r="N19">
        <v>20</v>
      </c>
      <c r="O19">
        <v>5</v>
      </c>
      <c r="P19">
        <v>10</v>
      </c>
      <c r="Q19">
        <v>20</v>
      </c>
      <c r="R19">
        <v>9</v>
      </c>
      <c r="S19">
        <f t="shared" si="0"/>
        <v>90</v>
      </c>
    </row>
    <row r="20" spans="1:19" x14ac:dyDescent="0.25">
      <c r="A20" t="s">
        <v>459</v>
      </c>
      <c r="B20" t="s">
        <v>359</v>
      </c>
      <c r="C20" t="s">
        <v>359</v>
      </c>
      <c r="D20" t="s">
        <v>41</v>
      </c>
      <c r="E20">
        <v>150</v>
      </c>
      <c r="F20">
        <v>5000</v>
      </c>
      <c r="G20">
        <v>1</v>
      </c>
      <c r="H20">
        <v>2</v>
      </c>
      <c r="I20">
        <v>5</v>
      </c>
      <c r="J20">
        <v>8</v>
      </c>
      <c r="K20">
        <v>10</v>
      </c>
      <c r="L20">
        <v>12</v>
      </c>
      <c r="M20">
        <v>15</v>
      </c>
      <c r="N20">
        <v>20</v>
      </c>
      <c r="O20">
        <v>5</v>
      </c>
      <c r="P20">
        <v>10</v>
      </c>
      <c r="Q20">
        <v>20</v>
      </c>
      <c r="R20">
        <v>9</v>
      </c>
      <c r="S20">
        <f t="shared" si="0"/>
        <v>90</v>
      </c>
    </row>
    <row r="21" spans="1:19" x14ac:dyDescent="0.25">
      <c r="A21" t="s">
        <v>460</v>
      </c>
      <c r="B21" t="s">
        <v>47</v>
      </c>
      <c r="C21" t="s">
        <v>50</v>
      </c>
      <c r="D21" t="s">
        <v>41</v>
      </c>
      <c r="E21">
        <v>135</v>
      </c>
      <c r="F21">
        <v>1200</v>
      </c>
      <c r="G21">
        <v>1</v>
      </c>
      <c r="H21">
        <v>2</v>
      </c>
      <c r="I21">
        <v>5</v>
      </c>
      <c r="J21">
        <v>8</v>
      </c>
      <c r="K21">
        <v>10</v>
      </c>
      <c r="L21">
        <v>15</v>
      </c>
      <c r="M21">
        <v>20</v>
      </c>
      <c r="N21">
        <v>30</v>
      </c>
      <c r="O21">
        <v>5</v>
      </c>
      <c r="P21">
        <v>16</v>
      </c>
      <c r="Q21">
        <v>30</v>
      </c>
      <c r="R21">
        <v>15</v>
      </c>
      <c r="S21">
        <f t="shared" si="0"/>
        <v>150</v>
      </c>
    </row>
    <row r="22" spans="1:19" x14ac:dyDescent="0.25">
      <c r="A22" t="s">
        <v>461</v>
      </c>
      <c r="B22" t="s">
        <v>47</v>
      </c>
      <c r="C22" t="s">
        <v>51</v>
      </c>
      <c r="D22" t="s">
        <v>41</v>
      </c>
      <c r="E22">
        <v>135</v>
      </c>
      <c r="F22">
        <v>5000</v>
      </c>
      <c r="G22">
        <v>1</v>
      </c>
      <c r="H22">
        <v>2</v>
      </c>
      <c r="I22">
        <v>5</v>
      </c>
      <c r="J22">
        <v>8</v>
      </c>
      <c r="K22">
        <v>10</v>
      </c>
      <c r="L22">
        <v>15</v>
      </c>
      <c r="M22">
        <v>20</v>
      </c>
      <c r="N22">
        <v>30</v>
      </c>
      <c r="O22">
        <v>5</v>
      </c>
      <c r="P22">
        <v>16</v>
      </c>
      <c r="Q22">
        <v>30</v>
      </c>
      <c r="R22">
        <v>15</v>
      </c>
      <c r="S22">
        <f t="shared" si="0"/>
        <v>150</v>
      </c>
    </row>
    <row r="23" spans="1:19" x14ac:dyDescent="0.25">
      <c r="A23" t="s">
        <v>462</v>
      </c>
      <c r="B23" t="s">
        <v>359</v>
      </c>
      <c r="C23" t="s">
        <v>359</v>
      </c>
      <c r="D23" t="s">
        <v>41</v>
      </c>
      <c r="E23">
        <v>135</v>
      </c>
      <c r="F23">
        <v>5000</v>
      </c>
      <c r="G23">
        <v>1</v>
      </c>
      <c r="H23">
        <v>2</v>
      </c>
      <c r="I23">
        <v>5</v>
      </c>
      <c r="J23">
        <v>8</v>
      </c>
      <c r="K23">
        <v>10</v>
      </c>
      <c r="L23">
        <v>15</v>
      </c>
      <c r="M23">
        <v>20</v>
      </c>
      <c r="N23">
        <v>30</v>
      </c>
      <c r="O23">
        <v>5</v>
      </c>
      <c r="P23">
        <v>16</v>
      </c>
      <c r="Q23">
        <v>30</v>
      </c>
      <c r="R23">
        <v>15</v>
      </c>
      <c r="S23">
        <f t="shared" si="0"/>
        <v>150</v>
      </c>
    </row>
    <row r="24" spans="1:19" x14ac:dyDescent="0.25">
      <c r="A24" t="s">
        <v>463</v>
      </c>
      <c r="B24" t="s">
        <v>46</v>
      </c>
      <c r="C24" t="s">
        <v>50</v>
      </c>
      <c r="D24" t="s">
        <v>41</v>
      </c>
      <c r="E24">
        <v>135</v>
      </c>
      <c r="F24">
        <v>1200</v>
      </c>
      <c r="G24">
        <v>1</v>
      </c>
      <c r="H24">
        <v>2</v>
      </c>
      <c r="I24">
        <v>5</v>
      </c>
      <c r="J24">
        <v>8</v>
      </c>
      <c r="K24">
        <v>10</v>
      </c>
      <c r="L24">
        <v>15</v>
      </c>
      <c r="M24">
        <v>20</v>
      </c>
      <c r="N24">
        <v>30</v>
      </c>
      <c r="O24">
        <v>5</v>
      </c>
      <c r="P24">
        <v>16</v>
      </c>
      <c r="Q24">
        <v>30</v>
      </c>
      <c r="R24">
        <v>12</v>
      </c>
      <c r="S24">
        <f t="shared" si="0"/>
        <v>120</v>
      </c>
    </row>
    <row r="25" spans="1:19" x14ac:dyDescent="0.25">
      <c r="A25" t="s">
        <v>464</v>
      </c>
      <c r="B25" t="s">
        <v>46</v>
      </c>
      <c r="C25" t="s">
        <v>51</v>
      </c>
      <c r="D25" t="s">
        <v>41</v>
      </c>
      <c r="E25">
        <v>135</v>
      </c>
      <c r="F25">
        <v>1200</v>
      </c>
      <c r="G25">
        <v>1</v>
      </c>
      <c r="H25">
        <v>2</v>
      </c>
      <c r="I25">
        <v>5</v>
      </c>
      <c r="J25">
        <v>8</v>
      </c>
      <c r="K25">
        <v>10</v>
      </c>
      <c r="L25">
        <v>15</v>
      </c>
      <c r="M25">
        <v>20</v>
      </c>
      <c r="N25">
        <v>30</v>
      </c>
      <c r="O25">
        <v>5</v>
      </c>
      <c r="P25">
        <v>16</v>
      </c>
      <c r="Q25">
        <v>30</v>
      </c>
      <c r="R25">
        <v>12</v>
      </c>
      <c r="S25">
        <f t="shared" si="0"/>
        <v>120</v>
      </c>
    </row>
    <row r="26" spans="1:19" x14ac:dyDescent="0.25">
      <c r="A26" t="s">
        <v>465</v>
      </c>
      <c r="B26" t="s">
        <v>47</v>
      </c>
      <c r="C26" t="s">
        <v>50</v>
      </c>
      <c r="D26" t="s">
        <v>41</v>
      </c>
      <c r="E26">
        <v>135</v>
      </c>
      <c r="F26">
        <v>1200</v>
      </c>
      <c r="G26">
        <v>1</v>
      </c>
      <c r="H26">
        <v>5</v>
      </c>
      <c r="I26">
        <v>10</v>
      </c>
      <c r="J26">
        <v>15</v>
      </c>
      <c r="K26">
        <v>30</v>
      </c>
      <c r="L26">
        <v>35</v>
      </c>
      <c r="M26">
        <v>40</v>
      </c>
      <c r="N26">
        <v>48</v>
      </c>
      <c r="O26">
        <v>5</v>
      </c>
      <c r="P26">
        <v>16</v>
      </c>
      <c r="Q26">
        <v>48</v>
      </c>
      <c r="R26">
        <v>15</v>
      </c>
      <c r="S26">
        <f t="shared" si="0"/>
        <v>150</v>
      </c>
    </row>
    <row r="27" spans="1:19" x14ac:dyDescent="0.25">
      <c r="A27" t="s">
        <v>325</v>
      </c>
      <c r="B27" t="s">
        <v>47</v>
      </c>
      <c r="C27" t="s">
        <v>51</v>
      </c>
      <c r="D27" t="s">
        <v>41</v>
      </c>
      <c r="E27">
        <v>135</v>
      </c>
      <c r="F27">
        <v>5000</v>
      </c>
      <c r="G27">
        <v>1</v>
      </c>
      <c r="H27">
        <v>5</v>
      </c>
      <c r="I27">
        <v>10</v>
      </c>
      <c r="J27">
        <v>15</v>
      </c>
      <c r="K27">
        <v>30</v>
      </c>
      <c r="L27">
        <v>35</v>
      </c>
      <c r="M27">
        <v>40</v>
      </c>
      <c r="N27">
        <v>48</v>
      </c>
      <c r="O27">
        <v>5</v>
      </c>
      <c r="P27">
        <v>16</v>
      </c>
      <c r="Q27">
        <v>48</v>
      </c>
      <c r="R27">
        <v>15</v>
      </c>
      <c r="S27">
        <f t="shared" si="0"/>
        <v>150</v>
      </c>
    </row>
    <row r="28" spans="1:19" x14ac:dyDescent="0.25">
      <c r="A28" t="s">
        <v>466</v>
      </c>
      <c r="B28" t="s">
        <v>359</v>
      </c>
      <c r="C28" t="s">
        <v>359</v>
      </c>
      <c r="D28" t="s">
        <v>41</v>
      </c>
      <c r="E28">
        <v>135</v>
      </c>
      <c r="F28">
        <v>5000</v>
      </c>
      <c r="G28">
        <v>1</v>
      </c>
      <c r="H28">
        <v>5</v>
      </c>
      <c r="I28">
        <v>10</v>
      </c>
      <c r="J28">
        <v>15</v>
      </c>
      <c r="K28">
        <v>30</v>
      </c>
      <c r="L28">
        <v>35</v>
      </c>
      <c r="M28">
        <v>40</v>
      </c>
      <c r="N28">
        <v>48</v>
      </c>
      <c r="O28">
        <v>5</v>
      </c>
      <c r="P28">
        <v>16</v>
      </c>
      <c r="Q28">
        <v>48</v>
      </c>
      <c r="R28">
        <v>15</v>
      </c>
      <c r="S28">
        <f t="shared" si="0"/>
        <v>150</v>
      </c>
    </row>
    <row r="29" spans="1:19" x14ac:dyDescent="0.25">
      <c r="A29" t="s">
        <v>467</v>
      </c>
      <c r="B29" t="s">
        <v>46</v>
      </c>
      <c r="C29" t="s">
        <v>50</v>
      </c>
      <c r="D29" t="s">
        <v>41</v>
      </c>
      <c r="E29">
        <v>132</v>
      </c>
      <c r="F29">
        <v>1200</v>
      </c>
      <c r="G29">
        <v>1</v>
      </c>
      <c r="H29">
        <v>5</v>
      </c>
      <c r="I29">
        <v>10</v>
      </c>
      <c r="J29">
        <v>15</v>
      </c>
      <c r="K29">
        <v>30</v>
      </c>
      <c r="L29">
        <v>35</v>
      </c>
      <c r="M29">
        <v>40</v>
      </c>
      <c r="N29">
        <v>48</v>
      </c>
      <c r="O29">
        <v>5</v>
      </c>
      <c r="P29">
        <v>16</v>
      </c>
      <c r="Q29">
        <v>48</v>
      </c>
      <c r="R29">
        <v>12</v>
      </c>
      <c r="S29">
        <f t="shared" si="0"/>
        <v>120</v>
      </c>
    </row>
    <row r="30" spans="1:19" x14ac:dyDescent="0.25">
      <c r="A30" t="s">
        <v>468</v>
      </c>
      <c r="B30" t="s">
        <v>46</v>
      </c>
      <c r="C30" t="s">
        <v>51</v>
      </c>
      <c r="D30" t="s">
        <v>41</v>
      </c>
      <c r="E30">
        <v>132</v>
      </c>
      <c r="F30">
        <v>1200</v>
      </c>
      <c r="G30">
        <v>1</v>
      </c>
      <c r="H30">
        <v>5</v>
      </c>
      <c r="I30">
        <v>10</v>
      </c>
      <c r="J30">
        <v>15</v>
      </c>
      <c r="K30">
        <v>30</v>
      </c>
      <c r="L30">
        <v>35</v>
      </c>
      <c r="M30">
        <v>40</v>
      </c>
      <c r="N30">
        <v>48</v>
      </c>
      <c r="O30">
        <v>5</v>
      </c>
      <c r="P30">
        <v>16</v>
      </c>
      <c r="Q30">
        <v>48</v>
      </c>
      <c r="R30">
        <v>12</v>
      </c>
      <c r="S30">
        <f t="shared" si="0"/>
        <v>120</v>
      </c>
    </row>
    <row r="31" spans="1:19" x14ac:dyDescent="0.25">
      <c r="B31">
        <v>2</v>
      </c>
      <c r="C31">
        <v>3</v>
      </c>
      <c r="D31">
        <v>4</v>
      </c>
      <c r="E31">
        <v>5</v>
      </c>
      <c r="F31">
        <v>6</v>
      </c>
      <c r="G31">
        <v>7</v>
      </c>
      <c r="H31">
        <v>8</v>
      </c>
      <c r="I31">
        <v>9</v>
      </c>
      <c r="J31">
        <v>10</v>
      </c>
      <c r="K31">
        <v>11</v>
      </c>
      <c r="L31">
        <v>12</v>
      </c>
      <c r="M31">
        <v>13</v>
      </c>
      <c r="N31">
        <v>14</v>
      </c>
      <c r="O31">
        <v>15</v>
      </c>
      <c r="P31">
        <v>16</v>
      </c>
      <c r="Q31">
        <v>17</v>
      </c>
      <c r="R31">
        <v>18</v>
      </c>
      <c r="S31">
        <v>19</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5F2AC6-594B-431D-8783-4F74E542470B}">
  <dimension ref="A1:T26"/>
  <sheetViews>
    <sheetView workbookViewId="0">
      <selection activeCell="F300" sqref="F300:H300"/>
    </sheetView>
  </sheetViews>
  <sheetFormatPr defaultRowHeight="15" x14ac:dyDescent="0.25"/>
  <cols>
    <col min="1" max="1" width="15.5703125" bestFit="1" customWidth="1"/>
    <col min="15" max="15" width="13.28515625" bestFit="1" customWidth="1"/>
    <col min="16" max="17" width="13.28515625" customWidth="1"/>
  </cols>
  <sheetData>
    <row r="1" spans="1:20" x14ac:dyDescent="0.25">
      <c r="A1" t="s">
        <v>83</v>
      </c>
      <c r="B1" t="s">
        <v>232</v>
      </c>
      <c r="C1" t="s">
        <v>438</v>
      </c>
      <c r="D1" t="s">
        <v>90</v>
      </c>
      <c r="E1" t="s">
        <v>119</v>
      </c>
      <c r="F1" t="s">
        <v>145</v>
      </c>
      <c r="G1" t="s">
        <v>197</v>
      </c>
      <c r="H1" t="s">
        <v>198</v>
      </c>
      <c r="I1" t="s">
        <v>199</v>
      </c>
      <c r="J1" t="s">
        <v>200</v>
      </c>
      <c r="K1" t="s">
        <v>201</v>
      </c>
      <c r="L1" t="s">
        <v>202</v>
      </c>
      <c r="M1" t="s">
        <v>205</v>
      </c>
      <c r="N1" t="s">
        <v>203</v>
      </c>
      <c r="O1" t="s">
        <v>439</v>
      </c>
      <c r="P1" t="s">
        <v>440</v>
      </c>
      <c r="Q1" t="s">
        <v>236</v>
      </c>
      <c r="R1" t="s">
        <v>234</v>
      </c>
      <c r="S1" t="s">
        <v>237</v>
      </c>
      <c r="T1" t="s">
        <v>238</v>
      </c>
    </row>
    <row r="2" spans="1:20" x14ac:dyDescent="0.25">
      <c r="A2" t="s">
        <v>469</v>
      </c>
      <c r="B2" t="s">
        <v>47</v>
      </c>
      <c r="C2" t="s">
        <v>50</v>
      </c>
      <c r="D2" s="1" t="s">
        <v>36</v>
      </c>
      <c r="E2">
        <v>135</v>
      </c>
      <c r="F2">
        <v>1200</v>
      </c>
      <c r="G2">
        <v>0.25</v>
      </c>
      <c r="H2">
        <v>0.5</v>
      </c>
      <c r="I2">
        <v>1</v>
      </c>
      <c r="J2">
        <v>1.5</v>
      </c>
      <c r="K2">
        <v>2</v>
      </c>
      <c r="L2">
        <v>2.5</v>
      </c>
      <c r="M2">
        <v>3</v>
      </c>
      <c r="N2">
        <v>4</v>
      </c>
      <c r="O2">
        <v>2</v>
      </c>
      <c r="P2">
        <v>2</v>
      </c>
      <c r="Q2">
        <v>4</v>
      </c>
      <c r="R2">
        <v>6</v>
      </c>
      <c r="S2">
        <f t="shared" ref="S2:S25" si="0">R2*10</f>
        <v>60</v>
      </c>
    </row>
    <row r="3" spans="1:20" x14ac:dyDescent="0.25">
      <c r="A3" t="s">
        <v>470</v>
      </c>
      <c r="B3" t="s">
        <v>47</v>
      </c>
      <c r="C3" t="s">
        <v>51</v>
      </c>
      <c r="D3" s="1" t="s">
        <v>36</v>
      </c>
      <c r="E3">
        <v>135</v>
      </c>
      <c r="F3">
        <v>5000</v>
      </c>
      <c r="G3">
        <v>0.25</v>
      </c>
      <c r="H3">
        <v>0.5</v>
      </c>
      <c r="I3">
        <v>1</v>
      </c>
      <c r="J3">
        <v>1.5</v>
      </c>
      <c r="K3">
        <v>2</v>
      </c>
      <c r="L3">
        <v>2.5</v>
      </c>
      <c r="M3">
        <v>3</v>
      </c>
      <c r="N3">
        <v>4</v>
      </c>
      <c r="O3">
        <v>2</v>
      </c>
      <c r="P3">
        <v>2</v>
      </c>
      <c r="Q3">
        <v>4</v>
      </c>
      <c r="R3">
        <v>6</v>
      </c>
      <c r="S3">
        <f t="shared" si="0"/>
        <v>60</v>
      </c>
    </row>
    <row r="4" spans="1:20" x14ac:dyDescent="0.25">
      <c r="A4" t="s">
        <v>471</v>
      </c>
      <c r="B4" t="s">
        <v>359</v>
      </c>
      <c r="C4" t="s">
        <v>359</v>
      </c>
      <c r="D4" s="1" t="s">
        <v>36</v>
      </c>
      <c r="E4">
        <v>135</v>
      </c>
      <c r="F4">
        <v>5000</v>
      </c>
      <c r="G4">
        <v>0.25</v>
      </c>
      <c r="H4">
        <v>0.5</v>
      </c>
      <c r="I4">
        <v>1</v>
      </c>
      <c r="J4">
        <v>1.5</v>
      </c>
      <c r="K4">
        <v>2</v>
      </c>
      <c r="L4">
        <v>2.5</v>
      </c>
      <c r="M4">
        <v>3</v>
      </c>
      <c r="N4">
        <v>4</v>
      </c>
      <c r="O4">
        <v>2</v>
      </c>
      <c r="P4">
        <v>2</v>
      </c>
      <c r="Q4">
        <v>4</v>
      </c>
      <c r="R4">
        <v>6</v>
      </c>
      <c r="S4">
        <f t="shared" si="0"/>
        <v>60</v>
      </c>
    </row>
    <row r="5" spans="1:20" x14ac:dyDescent="0.25">
      <c r="A5" t="s">
        <v>472</v>
      </c>
      <c r="B5" t="s">
        <v>47</v>
      </c>
      <c r="C5" t="s">
        <v>50</v>
      </c>
      <c r="D5" s="1" t="s">
        <v>36</v>
      </c>
      <c r="E5">
        <v>135</v>
      </c>
      <c r="F5">
        <v>1200</v>
      </c>
      <c r="G5">
        <v>0.25</v>
      </c>
      <c r="H5">
        <v>0.5</v>
      </c>
      <c r="I5">
        <v>1</v>
      </c>
      <c r="J5">
        <v>1.5</v>
      </c>
      <c r="K5">
        <v>2</v>
      </c>
      <c r="L5">
        <v>3</v>
      </c>
      <c r="M5">
        <v>4</v>
      </c>
      <c r="N5">
        <v>6</v>
      </c>
      <c r="O5">
        <v>2</v>
      </c>
      <c r="P5">
        <v>3</v>
      </c>
      <c r="Q5">
        <v>6</v>
      </c>
      <c r="R5">
        <v>6</v>
      </c>
      <c r="S5">
        <f t="shared" si="0"/>
        <v>60</v>
      </c>
    </row>
    <row r="6" spans="1:20" x14ac:dyDescent="0.25">
      <c r="A6" t="s">
        <v>473</v>
      </c>
      <c r="B6" t="s">
        <v>47</v>
      </c>
      <c r="C6" t="s">
        <v>51</v>
      </c>
      <c r="D6" s="1" t="s">
        <v>36</v>
      </c>
      <c r="E6">
        <v>135</v>
      </c>
      <c r="F6">
        <v>5000</v>
      </c>
      <c r="G6">
        <v>0.25</v>
      </c>
      <c r="H6">
        <v>0.5</v>
      </c>
      <c r="I6">
        <v>1</v>
      </c>
      <c r="J6">
        <v>1.5</v>
      </c>
      <c r="K6">
        <v>2</v>
      </c>
      <c r="L6">
        <v>3</v>
      </c>
      <c r="M6">
        <v>4</v>
      </c>
      <c r="N6">
        <v>6</v>
      </c>
      <c r="O6">
        <v>2</v>
      </c>
      <c r="P6">
        <v>3</v>
      </c>
      <c r="Q6">
        <v>6</v>
      </c>
      <c r="R6">
        <v>6</v>
      </c>
      <c r="S6">
        <f t="shared" si="0"/>
        <v>60</v>
      </c>
    </row>
    <row r="7" spans="1:20" x14ac:dyDescent="0.25">
      <c r="A7" t="s">
        <v>474</v>
      </c>
      <c r="B7" t="s">
        <v>359</v>
      </c>
      <c r="C7" t="s">
        <v>359</v>
      </c>
      <c r="D7" s="1" t="s">
        <v>36</v>
      </c>
      <c r="E7">
        <v>135</v>
      </c>
      <c r="F7">
        <v>5000</v>
      </c>
      <c r="G7">
        <v>0.25</v>
      </c>
      <c r="H7">
        <v>0.5</v>
      </c>
      <c r="I7">
        <v>1</v>
      </c>
      <c r="J7">
        <v>1.5</v>
      </c>
      <c r="K7">
        <v>2</v>
      </c>
      <c r="L7">
        <v>3</v>
      </c>
      <c r="M7">
        <v>4</v>
      </c>
      <c r="N7">
        <v>6</v>
      </c>
      <c r="O7">
        <v>2</v>
      </c>
      <c r="P7">
        <v>3</v>
      </c>
      <c r="Q7">
        <v>6</v>
      </c>
      <c r="R7">
        <v>6</v>
      </c>
      <c r="S7">
        <f t="shared" si="0"/>
        <v>60</v>
      </c>
    </row>
    <row r="8" spans="1:20" x14ac:dyDescent="0.25">
      <c r="A8" t="s">
        <v>475</v>
      </c>
      <c r="B8" t="s">
        <v>47</v>
      </c>
      <c r="C8" t="s">
        <v>50</v>
      </c>
      <c r="D8" s="1" t="s">
        <v>36</v>
      </c>
      <c r="E8">
        <v>150</v>
      </c>
      <c r="F8">
        <v>1200</v>
      </c>
      <c r="G8">
        <v>0.5</v>
      </c>
      <c r="H8">
        <v>1</v>
      </c>
      <c r="I8">
        <v>2</v>
      </c>
      <c r="J8">
        <v>3</v>
      </c>
      <c r="K8">
        <v>5</v>
      </c>
      <c r="L8">
        <v>6</v>
      </c>
      <c r="M8">
        <v>8</v>
      </c>
      <c r="N8">
        <v>10</v>
      </c>
      <c r="O8">
        <v>5</v>
      </c>
      <c r="P8">
        <v>5</v>
      </c>
      <c r="Q8">
        <v>10</v>
      </c>
      <c r="R8">
        <v>6</v>
      </c>
      <c r="S8">
        <f t="shared" si="0"/>
        <v>60</v>
      </c>
    </row>
    <row r="9" spans="1:20" x14ac:dyDescent="0.25">
      <c r="A9" t="s">
        <v>476</v>
      </c>
      <c r="B9" t="s">
        <v>47</v>
      </c>
      <c r="C9" t="s">
        <v>51</v>
      </c>
      <c r="D9" s="1" t="s">
        <v>36</v>
      </c>
      <c r="E9">
        <v>150</v>
      </c>
      <c r="F9">
        <v>5000</v>
      </c>
      <c r="G9">
        <v>0.5</v>
      </c>
      <c r="H9">
        <v>1</v>
      </c>
      <c r="I9">
        <v>2</v>
      </c>
      <c r="J9">
        <v>3</v>
      </c>
      <c r="K9">
        <v>5</v>
      </c>
      <c r="L9">
        <v>6</v>
      </c>
      <c r="M9">
        <v>8</v>
      </c>
      <c r="N9">
        <v>10</v>
      </c>
      <c r="O9">
        <v>5</v>
      </c>
      <c r="P9">
        <v>5</v>
      </c>
      <c r="Q9">
        <v>10</v>
      </c>
      <c r="R9">
        <v>6</v>
      </c>
      <c r="S9">
        <f t="shared" si="0"/>
        <v>60</v>
      </c>
    </row>
    <row r="10" spans="1:20" x14ac:dyDescent="0.25">
      <c r="A10" t="s">
        <v>477</v>
      </c>
      <c r="B10" t="s">
        <v>359</v>
      </c>
      <c r="C10" t="s">
        <v>359</v>
      </c>
      <c r="D10" s="1" t="s">
        <v>36</v>
      </c>
      <c r="E10">
        <v>150</v>
      </c>
      <c r="F10">
        <v>5000</v>
      </c>
      <c r="G10">
        <v>0.5</v>
      </c>
      <c r="H10">
        <v>1</v>
      </c>
      <c r="I10">
        <v>2</v>
      </c>
      <c r="J10">
        <v>3</v>
      </c>
      <c r="K10">
        <v>5</v>
      </c>
      <c r="L10">
        <v>6</v>
      </c>
      <c r="M10">
        <v>8</v>
      </c>
      <c r="N10">
        <v>10</v>
      </c>
      <c r="O10">
        <v>5</v>
      </c>
      <c r="P10">
        <v>5</v>
      </c>
      <c r="Q10">
        <v>10</v>
      </c>
      <c r="R10">
        <v>6</v>
      </c>
      <c r="S10">
        <f t="shared" si="0"/>
        <v>60</v>
      </c>
    </row>
    <row r="11" spans="1:20" x14ac:dyDescent="0.25">
      <c r="A11" t="s">
        <v>478</v>
      </c>
      <c r="B11" t="s">
        <v>46</v>
      </c>
      <c r="C11" t="s">
        <v>50</v>
      </c>
      <c r="D11" s="1" t="s">
        <v>36</v>
      </c>
      <c r="E11">
        <v>150</v>
      </c>
      <c r="F11">
        <v>1200</v>
      </c>
      <c r="G11">
        <v>1</v>
      </c>
      <c r="H11">
        <v>2</v>
      </c>
      <c r="I11">
        <v>5</v>
      </c>
      <c r="J11">
        <v>8</v>
      </c>
      <c r="K11">
        <v>10</v>
      </c>
      <c r="L11">
        <v>12</v>
      </c>
      <c r="M11">
        <v>15</v>
      </c>
      <c r="N11">
        <v>20</v>
      </c>
      <c r="O11">
        <v>5</v>
      </c>
      <c r="P11">
        <v>14</v>
      </c>
      <c r="Q11">
        <v>20</v>
      </c>
      <c r="R11" s="9">
        <v>6</v>
      </c>
      <c r="S11">
        <f t="shared" si="0"/>
        <v>60</v>
      </c>
    </row>
    <row r="12" spans="1:20" x14ac:dyDescent="0.25">
      <c r="A12" t="s">
        <v>479</v>
      </c>
      <c r="B12" t="s">
        <v>46</v>
      </c>
      <c r="C12" t="s">
        <v>51</v>
      </c>
      <c r="D12" s="1" t="s">
        <v>36</v>
      </c>
      <c r="E12">
        <v>150</v>
      </c>
      <c r="F12">
        <v>1200</v>
      </c>
      <c r="G12">
        <v>1</v>
      </c>
      <c r="H12">
        <v>2</v>
      </c>
      <c r="I12">
        <v>5</v>
      </c>
      <c r="J12">
        <v>8</v>
      </c>
      <c r="K12">
        <v>10</v>
      </c>
      <c r="L12">
        <v>12</v>
      </c>
      <c r="M12">
        <v>15</v>
      </c>
      <c r="N12">
        <v>20</v>
      </c>
      <c r="O12">
        <v>5</v>
      </c>
      <c r="P12">
        <v>14</v>
      </c>
      <c r="Q12">
        <v>20</v>
      </c>
      <c r="R12">
        <v>6</v>
      </c>
      <c r="S12">
        <f t="shared" si="0"/>
        <v>60</v>
      </c>
    </row>
    <row r="13" spans="1:20" x14ac:dyDescent="0.25">
      <c r="A13" t="s">
        <v>480</v>
      </c>
      <c r="B13" t="s">
        <v>47</v>
      </c>
      <c r="C13" t="s">
        <v>50</v>
      </c>
      <c r="D13" t="s">
        <v>41</v>
      </c>
      <c r="E13">
        <v>150</v>
      </c>
      <c r="F13">
        <v>1200</v>
      </c>
      <c r="G13">
        <v>1</v>
      </c>
      <c r="H13">
        <v>2</v>
      </c>
      <c r="I13">
        <v>5</v>
      </c>
      <c r="J13">
        <v>8</v>
      </c>
      <c r="K13">
        <v>10</v>
      </c>
      <c r="L13">
        <v>12</v>
      </c>
      <c r="M13">
        <v>15</v>
      </c>
      <c r="N13">
        <v>20</v>
      </c>
      <c r="O13">
        <v>5</v>
      </c>
      <c r="P13">
        <v>10</v>
      </c>
      <c r="Q13">
        <v>20</v>
      </c>
      <c r="R13">
        <v>9</v>
      </c>
      <c r="S13">
        <f t="shared" si="0"/>
        <v>90</v>
      </c>
    </row>
    <row r="14" spans="1:20" x14ac:dyDescent="0.25">
      <c r="A14" t="s">
        <v>481</v>
      </c>
      <c r="B14" t="s">
        <v>47</v>
      </c>
      <c r="C14" t="s">
        <v>51</v>
      </c>
      <c r="D14" t="s">
        <v>41</v>
      </c>
      <c r="E14">
        <v>150</v>
      </c>
      <c r="F14">
        <v>5000</v>
      </c>
      <c r="G14">
        <v>1</v>
      </c>
      <c r="H14">
        <v>2</v>
      </c>
      <c r="I14">
        <v>5</v>
      </c>
      <c r="J14">
        <v>8</v>
      </c>
      <c r="K14">
        <v>10</v>
      </c>
      <c r="L14">
        <v>12</v>
      </c>
      <c r="M14">
        <v>15</v>
      </c>
      <c r="N14">
        <v>20</v>
      </c>
      <c r="O14">
        <v>5</v>
      </c>
      <c r="P14">
        <v>10</v>
      </c>
      <c r="Q14">
        <v>20</v>
      </c>
      <c r="R14">
        <v>9</v>
      </c>
      <c r="S14">
        <f t="shared" si="0"/>
        <v>90</v>
      </c>
    </row>
    <row r="15" spans="1:20" x14ac:dyDescent="0.25">
      <c r="A15" t="s">
        <v>482</v>
      </c>
      <c r="B15" t="s">
        <v>359</v>
      </c>
      <c r="C15" t="s">
        <v>359</v>
      </c>
      <c r="D15" t="s">
        <v>41</v>
      </c>
      <c r="E15">
        <v>150</v>
      </c>
      <c r="F15">
        <v>5000</v>
      </c>
      <c r="G15">
        <v>1</v>
      </c>
      <c r="H15">
        <v>2</v>
      </c>
      <c r="I15">
        <v>5</v>
      </c>
      <c r="J15">
        <v>8</v>
      </c>
      <c r="K15">
        <v>10</v>
      </c>
      <c r="L15">
        <v>12</v>
      </c>
      <c r="M15">
        <v>15</v>
      </c>
      <c r="N15">
        <v>20</v>
      </c>
      <c r="O15">
        <v>5</v>
      </c>
      <c r="P15">
        <v>10</v>
      </c>
      <c r="Q15">
        <v>20</v>
      </c>
      <c r="R15">
        <v>9</v>
      </c>
      <c r="S15">
        <f t="shared" si="0"/>
        <v>90</v>
      </c>
    </row>
    <row r="16" spans="1:20" x14ac:dyDescent="0.25">
      <c r="A16" t="s">
        <v>483</v>
      </c>
      <c r="B16" t="s">
        <v>47</v>
      </c>
      <c r="C16" t="s">
        <v>50</v>
      </c>
      <c r="D16" t="s">
        <v>41</v>
      </c>
      <c r="E16">
        <v>135</v>
      </c>
      <c r="F16">
        <v>1200</v>
      </c>
      <c r="G16">
        <v>1</v>
      </c>
      <c r="H16">
        <v>2</v>
      </c>
      <c r="I16">
        <v>5</v>
      </c>
      <c r="J16">
        <v>8</v>
      </c>
      <c r="K16">
        <v>10</v>
      </c>
      <c r="L16">
        <v>15</v>
      </c>
      <c r="M16">
        <v>20</v>
      </c>
      <c r="N16">
        <v>30</v>
      </c>
      <c r="O16">
        <v>5</v>
      </c>
      <c r="P16">
        <v>16</v>
      </c>
      <c r="Q16">
        <v>30</v>
      </c>
      <c r="R16">
        <v>15</v>
      </c>
      <c r="S16">
        <f t="shared" si="0"/>
        <v>150</v>
      </c>
    </row>
    <row r="17" spans="1:19" x14ac:dyDescent="0.25">
      <c r="A17" t="s">
        <v>484</v>
      </c>
      <c r="B17" t="s">
        <v>47</v>
      </c>
      <c r="C17" t="s">
        <v>51</v>
      </c>
      <c r="D17" t="s">
        <v>41</v>
      </c>
      <c r="E17">
        <v>135</v>
      </c>
      <c r="F17">
        <v>5000</v>
      </c>
      <c r="G17">
        <v>1</v>
      </c>
      <c r="H17">
        <v>2</v>
      </c>
      <c r="I17">
        <v>5</v>
      </c>
      <c r="J17">
        <v>8</v>
      </c>
      <c r="K17">
        <v>10</v>
      </c>
      <c r="L17">
        <v>15</v>
      </c>
      <c r="M17">
        <v>20</v>
      </c>
      <c r="N17">
        <v>30</v>
      </c>
      <c r="O17">
        <v>5</v>
      </c>
      <c r="P17">
        <v>16</v>
      </c>
      <c r="Q17">
        <v>30</v>
      </c>
      <c r="R17">
        <v>15</v>
      </c>
      <c r="S17">
        <f t="shared" si="0"/>
        <v>150</v>
      </c>
    </row>
    <row r="18" spans="1:19" x14ac:dyDescent="0.25">
      <c r="A18" t="s">
        <v>485</v>
      </c>
      <c r="B18" t="s">
        <v>359</v>
      </c>
      <c r="C18" t="s">
        <v>359</v>
      </c>
      <c r="D18" t="s">
        <v>41</v>
      </c>
      <c r="E18">
        <v>135</v>
      </c>
      <c r="F18">
        <v>5000</v>
      </c>
      <c r="G18">
        <v>1</v>
      </c>
      <c r="H18">
        <v>2</v>
      </c>
      <c r="I18">
        <v>5</v>
      </c>
      <c r="J18">
        <v>8</v>
      </c>
      <c r="K18">
        <v>10</v>
      </c>
      <c r="L18">
        <v>15</v>
      </c>
      <c r="M18">
        <v>20</v>
      </c>
      <c r="N18">
        <v>30</v>
      </c>
      <c r="O18">
        <v>5</v>
      </c>
      <c r="P18">
        <v>16</v>
      </c>
      <c r="Q18">
        <v>30</v>
      </c>
      <c r="R18">
        <v>15</v>
      </c>
      <c r="S18">
        <f t="shared" si="0"/>
        <v>150</v>
      </c>
    </row>
    <row r="19" spans="1:19" x14ac:dyDescent="0.25">
      <c r="A19" t="s">
        <v>486</v>
      </c>
      <c r="B19" t="s">
        <v>46</v>
      </c>
      <c r="C19" t="s">
        <v>50</v>
      </c>
      <c r="D19" t="s">
        <v>41</v>
      </c>
      <c r="E19">
        <v>135</v>
      </c>
      <c r="F19">
        <v>1200</v>
      </c>
      <c r="G19">
        <v>1</v>
      </c>
      <c r="H19">
        <v>2</v>
      </c>
      <c r="I19">
        <v>5</v>
      </c>
      <c r="J19">
        <v>8</v>
      </c>
      <c r="K19">
        <v>10</v>
      </c>
      <c r="L19">
        <v>15</v>
      </c>
      <c r="M19">
        <v>20</v>
      </c>
      <c r="N19">
        <v>30</v>
      </c>
      <c r="O19">
        <v>5</v>
      </c>
      <c r="P19">
        <v>16</v>
      </c>
      <c r="Q19">
        <v>30</v>
      </c>
      <c r="R19">
        <v>12</v>
      </c>
      <c r="S19">
        <f t="shared" si="0"/>
        <v>120</v>
      </c>
    </row>
    <row r="20" spans="1:19" x14ac:dyDescent="0.25">
      <c r="A20" t="s">
        <v>487</v>
      </c>
      <c r="B20" t="s">
        <v>46</v>
      </c>
      <c r="C20" t="s">
        <v>51</v>
      </c>
      <c r="D20" t="s">
        <v>41</v>
      </c>
      <c r="E20">
        <v>135</v>
      </c>
      <c r="F20">
        <v>1200</v>
      </c>
      <c r="G20">
        <v>1</v>
      </c>
      <c r="H20">
        <v>2</v>
      </c>
      <c r="I20">
        <v>5</v>
      </c>
      <c r="J20">
        <v>8</v>
      </c>
      <c r="K20">
        <v>10</v>
      </c>
      <c r="L20">
        <v>15</v>
      </c>
      <c r="M20">
        <v>20</v>
      </c>
      <c r="N20">
        <v>30</v>
      </c>
      <c r="O20">
        <v>5</v>
      </c>
      <c r="P20">
        <v>16</v>
      </c>
      <c r="Q20">
        <v>30</v>
      </c>
      <c r="R20">
        <v>12</v>
      </c>
      <c r="S20">
        <f t="shared" si="0"/>
        <v>120</v>
      </c>
    </row>
    <row r="21" spans="1:19" x14ac:dyDescent="0.25">
      <c r="A21" t="s">
        <v>488</v>
      </c>
      <c r="B21" t="s">
        <v>47</v>
      </c>
      <c r="C21" t="s">
        <v>50</v>
      </c>
      <c r="D21" t="s">
        <v>41</v>
      </c>
      <c r="E21">
        <v>135</v>
      </c>
      <c r="F21">
        <v>1200</v>
      </c>
      <c r="G21">
        <v>1</v>
      </c>
      <c r="H21">
        <v>5</v>
      </c>
      <c r="I21">
        <v>10</v>
      </c>
      <c r="J21">
        <v>15</v>
      </c>
      <c r="K21">
        <v>30</v>
      </c>
      <c r="L21">
        <v>35</v>
      </c>
      <c r="M21">
        <v>40</v>
      </c>
      <c r="N21">
        <v>48</v>
      </c>
      <c r="O21">
        <v>5</v>
      </c>
      <c r="P21">
        <v>16</v>
      </c>
      <c r="Q21">
        <v>48</v>
      </c>
      <c r="R21">
        <v>15</v>
      </c>
      <c r="S21">
        <f t="shared" si="0"/>
        <v>150</v>
      </c>
    </row>
    <row r="22" spans="1:19" x14ac:dyDescent="0.25">
      <c r="A22" t="s">
        <v>338</v>
      </c>
      <c r="B22" t="s">
        <v>47</v>
      </c>
      <c r="C22" t="s">
        <v>51</v>
      </c>
      <c r="D22" t="s">
        <v>41</v>
      </c>
      <c r="E22">
        <v>135</v>
      </c>
      <c r="F22">
        <v>5000</v>
      </c>
      <c r="G22">
        <v>1</v>
      </c>
      <c r="H22">
        <v>5</v>
      </c>
      <c r="I22">
        <v>10</v>
      </c>
      <c r="J22">
        <v>15</v>
      </c>
      <c r="K22">
        <v>30</v>
      </c>
      <c r="L22">
        <v>35</v>
      </c>
      <c r="M22">
        <v>40</v>
      </c>
      <c r="N22">
        <v>48</v>
      </c>
      <c r="O22">
        <v>5</v>
      </c>
      <c r="P22">
        <v>16</v>
      </c>
      <c r="Q22">
        <v>48</v>
      </c>
      <c r="R22">
        <v>15</v>
      </c>
      <c r="S22">
        <f t="shared" si="0"/>
        <v>150</v>
      </c>
    </row>
    <row r="23" spans="1:19" x14ac:dyDescent="0.25">
      <c r="A23" t="s">
        <v>489</v>
      </c>
      <c r="B23" t="s">
        <v>359</v>
      </c>
      <c r="C23" t="s">
        <v>359</v>
      </c>
      <c r="D23" t="s">
        <v>41</v>
      </c>
      <c r="E23">
        <v>135</v>
      </c>
      <c r="F23">
        <v>5000</v>
      </c>
      <c r="G23">
        <v>1</v>
      </c>
      <c r="H23">
        <v>5</v>
      </c>
      <c r="I23">
        <v>10</v>
      </c>
      <c r="J23">
        <v>15</v>
      </c>
      <c r="K23">
        <v>30</v>
      </c>
      <c r="L23">
        <v>35</v>
      </c>
      <c r="M23">
        <v>40</v>
      </c>
      <c r="N23">
        <v>48</v>
      </c>
      <c r="O23">
        <v>5</v>
      </c>
      <c r="P23">
        <v>16</v>
      </c>
      <c r="Q23">
        <v>48</v>
      </c>
      <c r="R23">
        <v>15</v>
      </c>
      <c r="S23">
        <f t="shared" si="0"/>
        <v>150</v>
      </c>
    </row>
    <row r="24" spans="1:19" x14ac:dyDescent="0.25">
      <c r="A24" t="s">
        <v>490</v>
      </c>
      <c r="B24" t="s">
        <v>46</v>
      </c>
      <c r="C24" t="s">
        <v>50</v>
      </c>
      <c r="D24" t="s">
        <v>41</v>
      </c>
      <c r="E24">
        <v>132</v>
      </c>
      <c r="F24">
        <v>1200</v>
      </c>
      <c r="G24">
        <v>1</v>
      </c>
      <c r="H24">
        <v>5</v>
      </c>
      <c r="I24">
        <v>10</v>
      </c>
      <c r="J24">
        <v>15</v>
      </c>
      <c r="K24">
        <v>30</v>
      </c>
      <c r="L24">
        <v>35</v>
      </c>
      <c r="M24">
        <v>40</v>
      </c>
      <c r="N24">
        <v>48</v>
      </c>
      <c r="O24">
        <v>5</v>
      </c>
      <c r="P24">
        <v>16</v>
      </c>
      <c r="Q24">
        <v>48</v>
      </c>
      <c r="R24">
        <v>12</v>
      </c>
      <c r="S24">
        <f t="shared" si="0"/>
        <v>120</v>
      </c>
    </row>
    <row r="25" spans="1:19" x14ac:dyDescent="0.25">
      <c r="A25" t="s">
        <v>491</v>
      </c>
      <c r="B25" t="s">
        <v>46</v>
      </c>
      <c r="C25" t="s">
        <v>51</v>
      </c>
      <c r="D25" t="s">
        <v>41</v>
      </c>
      <c r="E25">
        <v>132</v>
      </c>
      <c r="F25">
        <v>1200</v>
      </c>
      <c r="G25">
        <v>1</v>
      </c>
      <c r="H25">
        <v>5</v>
      </c>
      <c r="I25">
        <v>10</v>
      </c>
      <c r="J25">
        <v>15</v>
      </c>
      <c r="K25">
        <v>30</v>
      </c>
      <c r="L25">
        <v>35</v>
      </c>
      <c r="M25">
        <v>40</v>
      </c>
      <c r="N25">
        <v>48</v>
      </c>
      <c r="O25">
        <v>5</v>
      </c>
      <c r="P25">
        <v>16</v>
      </c>
      <c r="Q25">
        <v>48</v>
      </c>
      <c r="R25">
        <v>12</v>
      </c>
      <c r="S25">
        <f t="shared" si="0"/>
        <v>120</v>
      </c>
    </row>
    <row r="26" spans="1:19" x14ac:dyDescent="0.25">
      <c r="B26">
        <v>2</v>
      </c>
      <c r="C26">
        <v>3</v>
      </c>
      <c r="D26">
        <v>4</v>
      </c>
      <c r="E26">
        <v>5</v>
      </c>
      <c r="F26">
        <v>6</v>
      </c>
      <c r="G26">
        <v>7</v>
      </c>
      <c r="H26">
        <v>8</v>
      </c>
      <c r="I26">
        <v>9</v>
      </c>
      <c r="J26">
        <v>10</v>
      </c>
      <c r="K26">
        <v>11</v>
      </c>
      <c r="L26">
        <v>12</v>
      </c>
      <c r="M26">
        <v>13</v>
      </c>
      <c r="N26">
        <v>14</v>
      </c>
      <c r="O26">
        <v>15</v>
      </c>
      <c r="P26">
        <v>16</v>
      </c>
      <c r="Q26">
        <v>17</v>
      </c>
      <c r="R26">
        <v>18</v>
      </c>
      <c r="S26">
        <v>19</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BF9527-B45D-425A-AB87-34171BC5824A}">
  <dimension ref="A1:T12"/>
  <sheetViews>
    <sheetView workbookViewId="0">
      <selection activeCell="F300" sqref="F300:H300"/>
    </sheetView>
  </sheetViews>
  <sheetFormatPr defaultRowHeight="15" x14ac:dyDescent="0.25"/>
  <cols>
    <col min="1" max="1" width="13.85546875" bestFit="1" customWidth="1"/>
    <col min="15" max="15" width="13.28515625" bestFit="1" customWidth="1"/>
    <col min="16" max="17" width="13.28515625" customWidth="1"/>
  </cols>
  <sheetData>
    <row r="1" spans="1:20" x14ac:dyDescent="0.25">
      <c r="A1" t="s">
        <v>83</v>
      </c>
      <c r="B1" t="s">
        <v>232</v>
      </c>
      <c r="C1" t="s">
        <v>438</v>
      </c>
      <c r="D1" t="s">
        <v>90</v>
      </c>
      <c r="E1" t="s">
        <v>119</v>
      </c>
      <c r="F1" t="s">
        <v>145</v>
      </c>
      <c r="G1" t="s">
        <v>197</v>
      </c>
      <c r="H1" t="s">
        <v>198</v>
      </c>
      <c r="I1" t="s">
        <v>199</v>
      </c>
      <c r="J1" t="s">
        <v>200</v>
      </c>
      <c r="K1" t="s">
        <v>201</v>
      </c>
      <c r="L1" t="s">
        <v>202</v>
      </c>
      <c r="M1" t="s">
        <v>205</v>
      </c>
      <c r="N1" t="s">
        <v>203</v>
      </c>
      <c r="O1" t="s">
        <v>204</v>
      </c>
      <c r="P1" t="s">
        <v>440</v>
      </c>
      <c r="Q1" t="s">
        <v>236</v>
      </c>
      <c r="R1" t="s">
        <v>234</v>
      </c>
      <c r="S1" t="s">
        <v>237</v>
      </c>
      <c r="T1" t="s">
        <v>238</v>
      </c>
    </row>
    <row r="2" spans="1:20" x14ac:dyDescent="0.25">
      <c r="A2" t="s">
        <v>341</v>
      </c>
      <c r="B2" t="s">
        <v>46</v>
      </c>
      <c r="C2" t="s">
        <v>50</v>
      </c>
      <c r="D2" s="1" t="s">
        <v>36</v>
      </c>
      <c r="E2">
        <v>132</v>
      </c>
      <c r="F2">
        <v>1200</v>
      </c>
      <c r="G2">
        <v>0.5</v>
      </c>
      <c r="H2">
        <v>1</v>
      </c>
      <c r="I2">
        <v>2</v>
      </c>
      <c r="J2">
        <v>4</v>
      </c>
      <c r="K2">
        <v>6</v>
      </c>
      <c r="L2">
        <v>8</v>
      </c>
      <c r="M2">
        <v>10</v>
      </c>
      <c r="N2">
        <v>15</v>
      </c>
      <c r="P2">
        <v>2</v>
      </c>
      <c r="Q2">
        <v>15</v>
      </c>
      <c r="R2">
        <v>4</v>
      </c>
      <c r="S2">
        <f t="shared" ref="S2:S3" si="0">R2*10</f>
        <v>40</v>
      </c>
    </row>
    <row r="3" spans="1:20" x14ac:dyDescent="0.25">
      <c r="A3" t="s">
        <v>492</v>
      </c>
      <c r="B3" t="s">
        <v>46</v>
      </c>
      <c r="C3" t="s">
        <v>51</v>
      </c>
      <c r="D3" s="1" t="s">
        <v>36</v>
      </c>
      <c r="E3">
        <v>132</v>
      </c>
      <c r="F3">
        <v>1200</v>
      </c>
      <c r="G3">
        <v>0.5</v>
      </c>
      <c r="H3">
        <v>1</v>
      </c>
      <c r="I3">
        <v>2</v>
      </c>
      <c r="J3">
        <v>4</v>
      </c>
      <c r="K3">
        <v>6</v>
      </c>
      <c r="L3">
        <v>8</v>
      </c>
      <c r="M3">
        <v>10</v>
      </c>
      <c r="N3">
        <v>15</v>
      </c>
      <c r="P3">
        <v>2</v>
      </c>
      <c r="Q3">
        <v>15</v>
      </c>
      <c r="R3">
        <v>4</v>
      </c>
      <c r="S3">
        <f t="shared" si="0"/>
        <v>40</v>
      </c>
    </row>
    <row r="4" spans="1:20" x14ac:dyDescent="0.25">
      <c r="D4" s="1"/>
    </row>
    <row r="5" spans="1:20" x14ac:dyDescent="0.25">
      <c r="D5" s="1"/>
    </row>
    <row r="6" spans="1:20" x14ac:dyDescent="0.25">
      <c r="D6" s="1"/>
    </row>
    <row r="7" spans="1:20" x14ac:dyDescent="0.25">
      <c r="D7" s="1"/>
    </row>
    <row r="8" spans="1:20" x14ac:dyDescent="0.25">
      <c r="D8" s="1"/>
    </row>
    <row r="9" spans="1:20" x14ac:dyDescent="0.25">
      <c r="D9" s="1"/>
    </row>
    <row r="10" spans="1:20" x14ac:dyDescent="0.25">
      <c r="D10" s="1"/>
      <c r="R10" s="9"/>
    </row>
    <row r="11" spans="1:20" x14ac:dyDescent="0.25">
      <c r="D11" s="1"/>
      <c r="R11" s="9"/>
    </row>
    <row r="12" spans="1:20" x14ac:dyDescent="0.25">
      <c r="D12" s="1"/>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5E0D65-992A-4449-940A-BDC353033884}">
  <dimension ref="A1:T12"/>
  <sheetViews>
    <sheetView workbookViewId="0">
      <selection activeCell="F300" sqref="F300:H300"/>
    </sheetView>
  </sheetViews>
  <sheetFormatPr defaultRowHeight="15" x14ac:dyDescent="0.25"/>
  <cols>
    <col min="1" max="1" width="13.85546875" bestFit="1" customWidth="1"/>
    <col min="15" max="15" width="13.28515625" bestFit="1" customWidth="1"/>
    <col min="16" max="17" width="13.28515625" customWidth="1"/>
  </cols>
  <sheetData>
    <row r="1" spans="1:20" x14ac:dyDescent="0.25">
      <c r="A1" t="s">
        <v>83</v>
      </c>
      <c r="B1" t="s">
        <v>232</v>
      </c>
      <c r="C1" t="s">
        <v>438</v>
      </c>
      <c r="D1" t="s">
        <v>90</v>
      </c>
      <c r="E1" t="s">
        <v>119</v>
      </c>
      <c r="F1" t="s">
        <v>145</v>
      </c>
      <c r="G1" t="s">
        <v>197</v>
      </c>
      <c r="H1" t="s">
        <v>198</v>
      </c>
      <c r="I1" t="s">
        <v>199</v>
      </c>
      <c r="J1" t="s">
        <v>200</v>
      </c>
      <c r="K1" t="s">
        <v>201</v>
      </c>
      <c r="L1" t="s">
        <v>202</v>
      </c>
      <c r="M1" t="s">
        <v>205</v>
      </c>
      <c r="N1" t="s">
        <v>203</v>
      </c>
      <c r="O1" t="s">
        <v>204</v>
      </c>
      <c r="P1" t="s">
        <v>440</v>
      </c>
      <c r="Q1" t="s">
        <v>236</v>
      </c>
      <c r="R1" t="s">
        <v>234</v>
      </c>
      <c r="S1" t="s">
        <v>237</v>
      </c>
      <c r="T1" t="s">
        <v>238</v>
      </c>
    </row>
    <row r="2" spans="1:20" x14ac:dyDescent="0.25">
      <c r="A2" t="s">
        <v>493</v>
      </c>
      <c r="B2" t="s">
        <v>46</v>
      </c>
      <c r="C2" t="s">
        <v>50</v>
      </c>
      <c r="D2" s="1" t="s">
        <v>36</v>
      </c>
      <c r="E2">
        <v>132</v>
      </c>
      <c r="F2">
        <v>1200</v>
      </c>
      <c r="G2">
        <v>0.5</v>
      </c>
      <c r="H2">
        <v>1</v>
      </c>
      <c r="I2">
        <v>2</v>
      </c>
      <c r="J2">
        <v>4</v>
      </c>
      <c r="K2">
        <v>6</v>
      </c>
      <c r="L2">
        <v>8</v>
      </c>
      <c r="M2">
        <v>10</v>
      </c>
      <c r="N2">
        <v>15</v>
      </c>
      <c r="P2">
        <v>2</v>
      </c>
      <c r="Q2">
        <v>15</v>
      </c>
      <c r="R2">
        <v>4</v>
      </c>
      <c r="S2">
        <f t="shared" ref="S2:S3" si="0">R2*10</f>
        <v>40</v>
      </c>
    </row>
    <row r="3" spans="1:20" x14ac:dyDescent="0.25">
      <c r="A3" t="s">
        <v>347</v>
      </c>
      <c r="B3" t="s">
        <v>46</v>
      </c>
      <c r="C3" t="s">
        <v>51</v>
      </c>
      <c r="D3" s="1" t="s">
        <v>36</v>
      </c>
      <c r="E3">
        <v>132</v>
      </c>
      <c r="F3">
        <v>1200</v>
      </c>
      <c r="G3">
        <v>0.5</v>
      </c>
      <c r="H3">
        <v>1</v>
      </c>
      <c r="I3">
        <v>2</v>
      </c>
      <c r="J3">
        <v>4</v>
      </c>
      <c r="K3">
        <v>6</v>
      </c>
      <c r="L3">
        <v>8</v>
      </c>
      <c r="M3">
        <v>10</v>
      </c>
      <c r="N3">
        <v>15</v>
      </c>
      <c r="P3">
        <v>2</v>
      </c>
      <c r="Q3">
        <v>15</v>
      </c>
      <c r="R3">
        <v>4</v>
      </c>
      <c r="S3">
        <f t="shared" si="0"/>
        <v>40</v>
      </c>
    </row>
    <row r="4" spans="1:20" x14ac:dyDescent="0.25">
      <c r="D4" s="1"/>
    </row>
    <row r="5" spans="1:20" x14ac:dyDescent="0.25">
      <c r="D5" s="1"/>
    </row>
    <row r="6" spans="1:20" x14ac:dyDescent="0.25">
      <c r="D6" s="1"/>
    </row>
    <row r="7" spans="1:20" x14ac:dyDescent="0.25">
      <c r="D7" s="1"/>
    </row>
    <row r="8" spans="1:20" x14ac:dyDescent="0.25">
      <c r="D8" s="1"/>
    </row>
    <row r="9" spans="1:20" x14ac:dyDescent="0.25">
      <c r="D9" s="1"/>
    </row>
    <row r="10" spans="1:20" x14ac:dyDescent="0.25">
      <c r="D10" s="1"/>
      <c r="R10" s="9"/>
    </row>
    <row r="11" spans="1:20" x14ac:dyDescent="0.25">
      <c r="D11" s="1"/>
      <c r="R11" s="9"/>
    </row>
    <row r="12" spans="1:20" x14ac:dyDescent="0.25">
      <c r="D12" s="1"/>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0F6CCE-5F11-4C3C-AF5F-D729B8889C9F}">
  <dimension ref="J1:J27"/>
  <sheetViews>
    <sheetView workbookViewId="0">
      <selection activeCell="F300" sqref="F300:H300"/>
    </sheetView>
  </sheetViews>
  <sheetFormatPr defaultRowHeight="15" x14ac:dyDescent="0.25"/>
  <sheetData>
    <row r="1" spans="10:10" x14ac:dyDescent="0.25">
      <c r="J1" t="s">
        <v>39</v>
      </c>
    </row>
    <row r="2" spans="10:10" x14ac:dyDescent="0.25">
      <c r="J2" t="s">
        <v>38</v>
      </c>
    </row>
    <row r="3" spans="10:10" x14ac:dyDescent="0.25">
      <c r="J3" t="s">
        <v>40</v>
      </c>
    </row>
    <row r="5" spans="10:10" x14ac:dyDescent="0.25">
      <c r="J5" s="1" t="s">
        <v>36</v>
      </c>
    </row>
    <row r="6" spans="10:10" x14ac:dyDescent="0.25">
      <c r="J6" t="s">
        <v>41</v>
      </c>
    </row>
    <row r="8" spans="10:10" x14ac:dyDescent="0.25">
      <c r="J8" t="s">
        <v>42</v>
      </c>
    </row>
    <row r="9" spans="10:10" x14ac:dyDescent="0.25">
      <c r="J9" t="s">
        <v>44</v>
      </c>
    </row>
    <row r="10" spans="10:10" x14ac:dyDescent="0.25">
      <c r="J10" t="s">
        <v>45</v>
      </c>
    </row>
    <row r="12" spans="10:10" x14ac:dyDescent="0.25">
      <c r="J12" t="s">
        <v>46</v>
      </c>
    </row>
    <row r="13" spans="10:10" x14ac:dyDescent="0.25">
      <c r="J13" t="s">
        <v>47</v>
      </c>
    </row>
    <row r="14" spans="10:10" x14ac:dyDescent="0.25">
      <c r="J14" t="s">
        <v>48</v>
      </c>
    </row>
    <row r="15" spans="10:10" x14ac:dyDescent="0.25">
      <c r="J15" t="s">
        <v>357</v>
      </c>
    </row>
    <row r="16" spans="10:10" x14ac:dyDescent="0.25">
      <c r="J16" t="s">
        <v>49</v>
      </c>
    </row>
    <row r="17" spans="10:10" x14ac:dyDescent="0.25">
      <c r="J17" t="s">
        <v>359</v>
      </c>
    </row>
    <row r="18" spans="10:10" x14ac:dyDescent="0.25">
      <c r="J18" t="s">
        <v>50</v>
      </c>
    </row>
    <row r="19" spans="10:10" x14ac:dyDescent="0.25">
      <c r="J19" t="s">
        <v>51</v>
      </c>
    </row>
    <row r="20" spans="10:10" x14ac:dyDescent="0.25">
      <c r="J20" t="s">
        <v>52</v>
      </c>
    </row>
    <row r="21" spans="10:10" x14ac:dyDescent="0.25">
      <c r="J21" t="s">
        <v>53</v>
      </c>
    </row>
    <row r="22" spans="10:10" x14ac:dyDescent="0.25">
      <c r="J22" t="s">
        <v>54</v>
      </c>
    </row>
    <row r="24" spans="10:10" x14ac:dyDescent="0.25">
      <c r="J24" t="s">
        <v>191</v>
      </c>
    </row>
    <row r="25" spans="10:10" x14ac:dyDescent="0.25">
      <c r="J25" t="s">
        <v>192</v>
      </c>
    </row>
    <row r="27" spans="10:10" x14ac:dyDescent="0.25">
      <c r="J27" t="s">
        <v>193</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649D0C-33A5-43F7-86F2-9672ECDA4D99}">
  <dimension ref="A1:L51"/>
  <sheetViews>
    <sheetView workbookViewId="0">
      <selection activeCell="F300" sqref="F300:H300"/>
    </sheetView>
  </sheetViews>
  <sheetFormatPr defaultRowHeight="15" x14ac:dyDescent="0.25"/>
  <sheetData>
    <row r="1" spans="1:12" x14ac:dyDescent="0.25">
      <c r="A1" t="s">
        <v>215</v>
      </c>
      <c r="H1" t="s">
        <v>218</v>
      </c>
      <c r="L1" t="s">
        <v>234</v>
      </c>
    </row>
    <row r="2" spans="1:12" x14ac:dyDescent="0.25">
      <c r="A2" t="s">
        <v>102</v>
      </c>
      <c r="B2" t="s">
        <v>216</v>
      </c>
      <c r="C2" t="s">
        <v>217</v>
      </c>
      <c r="H2" t="s">
        <v>219</v>
      </c>
    </row>
    <row r="3" spans="1:12" x14ac:dyDescent="0.25">
      <c r="B3" t="s">
        <v>220</v>
      </c>
      <c r="C3" t="s">
        <v>221</v>
      </c>
    </row>
    <row r="4" spans="1:12" x14ac:dyDescent="0.25">
      <c r="C4">
        <v>400</v>
      </c>
    </row>
    <row r="5" spans="1:12" x14ac:dyDescent="0.25">
      <c r="C5">
        <v>1200</v>
      </c>
    </row>
    <row r="8" spans="1:12" x14ac:dyDescent="0.25">
      <c r="A8" t="s">
        <v>222</v>
      </c>
      <c r="B8" t="s">
        <v>216</v>
      </c>
      <c r="C8" t="s">
        <v>223</v>
      </c>
      <c r="H8" t="s">
        <v>224</v>
      </c>
    </row>
    <row r="9" spans="1:12" x14ac:dyDescent="0.25">
      <c r="B9" t="s">
        <v>220</v>
      </c>
      <c r="C9" t="s">
        <v>231</v>
      </c>
    </row>
    <row r="10" spans="1:12" x14ac:dyDescent="0.25">
      <c r="C10">
        <f>0.5/100*150</f>
        <v>0.75</v>
      </c>
      <c r="H10">
        <f>0.5*375/100</f>
        <v>1.875</v>
      </c>
    </row>
    <row r="14" spans="1:12" x14ac:dyDescent="0.25">
      <c r="A14" t="s">
        <v>225</v>
      </c>
      <c r="B14" t="s">
        <v>216</v>
      </c>
      <c r="C14" s="205" t="s">
        <v>227</v>
      </c>
      <c r="D14" s="205"/>
      <c r="E14" s="205"/>
      <c r="F14" s="205"/>
      <c r="G14" s="205"/>
      <c r="H14" s="205"/>
    </row>
    <row r="15" spans="1:12" x14ac:dyDescent="0.25">
      <c r="B15" t="s">
        <v>220</v>
      </c>
      <c r="C15" t="s">
        <v>228</v>
      </c>
      <c r="H15" t="s">
        <v>229</v>
      </c>
    </row>
    <row r="16" spans="1:12" x14ac:dyDescent="0.25">
      <c r="H16" t="s">
        <v>230</v>
      </c>
    </row>
    <row r="18" spans="1:1" x14ac:dyDescent="0.25">
      <c r="A18" t="s">
        <v>226</v>
      </c>
    </row>
    <row r="51" spans="8:8" x14ac:dyDescent="0.25">
      <c r="H51">
        <v>0</v>
      </c>
    </row>
  </sheetData>
  <mergeCells count="1">
    <mergeCell ref="C14:H1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626B0B-2D6A-4484-A159-A9B293C2129D}">
  <sheetPr>
    <pageSetUpPr fitToPage="1"/>
  </sheetPr>
  <dimension ref="A1:H39"/>
  <sheetViews>
    <sheetView showGridLines="0" view="pageLayout" zoomScale="85" zoomScaleNormal="70" zoomScalePageLayoutView="85" workbookViewId="0">
      <selection activeCell="E12" sqref="E12"/>
    </sheetView>
  </sheetViews>
  <sheetFormatPr defaultRowHeight="22.5" customHeight="1" x14ac:dyDescent="0.25"/>
  <cols>
    <col min="1" max="1" width="2.42578125" style="10" customWidth="1"/>
    <col min="2" max="2" width="22.85546875" style="10" customWidth="1"/>
    <col min="3" max="3" width="21.85546875" style="10" customWidth="1"/>
    <col min="4" max="4" width="26.28515625" style="10" customWidth="1"/>
    <col min="5" max="5" width="25.42578125" style="10" customWidth="1"/>
    <col min="6" max="6" width="25.28515625" style="10" customWidth="1"/>
    <col min="7" max="7" width="26.5703125" style="10" customWidth="1"/>
    <col min="8" max="8" width="20.7109375" style="10" customWidth="1"/>
    <col min="9" max="9" width="2.5703125" customWidth="1"/>
  </cols>
  <sheetData>
    <row r="1" spans="1:8" ht="22.5" customHeight="1" x14ac:dyDescent="0.25">
      <c r="A1" s="81"/>
      <c r="B1" s="81"/>
      <c r="C1" s="81"/>
      <c r="D1" s="81"/>
      <c r="E1" s="81"/>
      <c r="F1" s="81"/>
      <c r="G1" s="81"/>
      <c r="H1" s="81"/>
    </row>
    <row r="2" spans="1:8" ht="22.5" customHeight="1" x14ac:dyDescent="0.25">
      <c r="A2" s="81"/>
      <c r="B2" s="81"/>
      <c r="C2" s="81"/>
      <c r="D2" s="81"/>
      <c r="E2" s="81"/>
      <c r="F2" s="81"/>
      <c r="G2" s="81"/>
      <c r="H2" s="81"/>
    </row>
    <row r="3" spans="1:8" ht="22.5" customHeight="1" x14ac:dyDescent="0.25">
      <c r="A3" s="81"/>
      <c r="B3" s="81"/>
      <c r="C3" s="81"/>
      <c r="D3" s="81"/>
      <c r="E3" s="81"/>
      <c r="F3" s="81"/>
      <c r="G3" s="81"/>
      <c r="H3" s="81"/>
    </row>
    <row r="4" spans="1:8" ht="22.5" customHeight="1" x14ac:dyDescent="0.25">
      <c r="A4" s="81"/>
      <c r="B4" s="81"/>
      <c r="C4" s="81"/>
      <c r="D4" s="81"/>
      <c r="E4" s="81"/>
      <c r="F4" s="81"/>
      <c r="G4" s="81"/>
      <c r="H4" s="81"/>
    </row>
    <row r="5" spans="1:8" ht="22.5" customHeight="1" x14ac:dyDescent="0.25">
      <c r="A5" s="81"/>
      <c r="B5" s="81"/>
      <c r="C5" s="81"/>
      <c r="D5" s="81"/>
      <c r="E5" s="81"/>
      <c r="F5" s="81"/>
      <c r="G5" s="81"/>
      <c r="H5" s="81"/>
    </row>
    <row r="6" spans="1:8" ht="22.5" customHeight="1" x14ac:dyDescent="0.25">
      <c r="A6" s="81"/>
      <c r="B6" s="81"/>
      <c r="C6" s="81"/>
      <c r="D6" s="81"/>
      <c r="E6" s="81"/>
      <c r="F6" s="81"/>
      <c r="G6" s="81"/>
      <c r="H6" s="81"/>
    </row>
    <row r="7" spans="1:8" ht="22.5" customHeight="1" x14ac:dyDescent="0.25">
      <c r="A7" s="82"/>
      <c r="B7" s="82"/>
      <c r="C7" s="82"/>
      <c r="D7" s="82"/>
      <c r="E7" s="82"/>
      <c r="F7" s="82"/>
      <c r="G7" s="82"/>
      <c r="H7" s="82"/>
    </row>
    <row r="8" spans="1:8" ht="22.5" customHeight="1" x14ac:dyDescent="0.25">
      <c r="A8" s="19"/>
      <c r="B8" s="19"/>
      <c r="C8" s="19"/>
      <c r="D8" s="18"/>
      <c r="E8" s="18"/>
      <c r="F8" s="18"/>
      <c r="G8" s="18"/>
      <c r="H8" s="18"/>
    </row>
    <row r="9" spans="1:8" ht="22.5" customHeight="1" x14ac:dyDescent="0.25">
      <c r="A9" s="19"/>
      <c r="B9" s="19"/>
      <c r="C9" s="19"/>
      <c r="D9" s="18"/>
      <c r="E9" s="18"/>
      <c r="F9" s="18"/>
      <c r="G9" s="18"/>
      <c r="H9" s="18"/>
    </row>
    <row r="10" spans="1:8" ht="22.5" customHeight="1" thickBot="1" x14ac:dyDescent="0.3">
      <c r="A10" s="19"/>
      <c r="B10" s="19"/>
      <c r="C10" s="19"/>
      <c r="D10" s="18"/>
      <c r="E10" s="18"/>
      <c r="H10" s="18"/>
    </row>
    <row r="11" spans="1:8" ht="22.5" customHeight="1" thickBot="1" x14ac:dyDescent="0.3">
      <c r="G11" s="41" t="s">
        <v>242</v>
      </c>
      <c r="H11" s="13"/>
    </row>
    <row r="12" spans="1:8" ht="22.5" customHeight="1" thickBot="1" x14ac:dyDescent="0.3">
      <c r="G12" s="41" t="s">
        <v>241</v>
      </c>
      <c r="H12" s="13"/>
    </row>
    <row r="13" spans="1:8" ht="22.5" customHeight="1" thickBot="1" x14ac:dyDescent="0.3">
      <c r="G13" s="42" t="s">
        <v>240</v>
      </c>
      <c r="H13" s="12">
        <f>H12-H11</f>
        <v>0</v>
      </c>
    </row>
    <row r="16" spans="1:8" ht="22.5" customHeight="1" x14ac:dyDescent="0.25">
      <c r="B16" s="83" t="s">
        <v>254</v>
      </c>
      <c r="C16" s="83"/>
      <c r="D16" s="83"/>
      <c r="E16" s="83" t="s">
        <v>253</v>
      </c>
      <c r="F16" s="83"/>
      <c r="G16" s="83"/>
      <c r="H16" s="83"/>
    </row>
    <row r="17" spans="1:8" ht="22.5" customHeight="1" x14ac:dyDescent="0.25">
      <c r="B17" s="56" t="s">
        <v>252</v>
      </c>
      <c r="C17" s="84"/>
      <c r="D17" s="84"/>
      <c r="E17" s="78" t="s">
        <v>251</v>
      </c>
      <c r="F17" s="78"/>
      <c r="G17" s="77" t="s">
        <v>250</v>
      </c>
      <c r="H17" s="77"/>
    </row>
    <row r="18" spans="1:8" ht="22.5" customHeight="1" x14ac:dyDescent="0.25">
      <c r="B18" s="56" t="s">
        <v>249</v>
      </c>
      <c r="C18" s="77"/>
      <c r="D18" s="77"/>
      <c r="E18" s="78" t="s">
        <v>247</v>
      </c>
      <c r="F18" s="78"/>
      <c r="G18" s="77" t="s">
        <v>248</v>
      </c>
      <c r="H18" s="77"/>
    </row>
    <row r="19" spans="1:8" ht="22.5" customHeight="1" x14ac:dyDescent="0.25">
      <c r="B19" s="56" t="s">
        <v>247</v>
      </c>
      <c r="C19" s="77">
        <f>'Front Page'!C19</f>
        <v>0</v>
      </c>
      <c r="D19" s="77"/>
      <c r="E19" s="78" t="s">
        <v>246</v>
      </c>
      <c r="F19" s="78"/>
      <c r="G19" s="77"/>
      <c r="H19" s="77"/>
    </row>
    <row r="20" spans="1:8" ht="22.5" customHeight="1" x14ac:dyDescent="0.25">
      <c r="A20" s="17"/>
      <c r="B20" s="56" t="s">
        <v>246</v>
      </c>
      <c r="C20" s="77"/>
      <c r="D20" s="77"/>
      <c r="E20" s="78" t="s">
        <v>245</v>
      </c>
      <c r="F20" s="78"/>
      <c r="G20" s="77"/>
      <c r="H20" s="77"/>
    </row>
    <row r="21" spans="1:8" ht="22.5" customHeight="1" x14ac:dyDescent="0.25">
      <c r="B21" s="56" t="s">
        <v>244</v>
      </c>
      <c r="C21" s="77"/>
      <c r="D21" s="77"/>
      <c r="E21" s="78" t="s">
        <v>243</v>
      </c>
      <c r="F21" s="78"/>
      <c r="G21" s="79"/>
      <c r="H21" s="79"/>
    </row>
    <row r="24" spans="1:8" ht="22.5" customHeight="1" x14ac:dyDescent="0.25">
      <c r="B24" s="74" t="s">
        <v>232</v>
      </c>
      <c r="C24" s="74" t="s">
        <v>505</v>
      </c>
      <c r="D24" s="74" t="s">
        <v>504</v>
      </c>
      <c r="E24" s="74" t="s">
        <v>506</v>
      </c>
      <c r="F24" s="74" t="s">
        <v>232</v>
      </c>
    </row>
    <row r="25" spans="1:8" ht="22.5" customHeight="1" x14ac:dyDescent="0.25">
      <c r="B25" s="74" t="s">
        <v>494</v>
      </c>
      <c r="C25" s="74" t="str">
        <f>IFERROR(VLOOKUP($C$19,'3Ph data'!A:A,1,0),"0")</f>
        <v>0</v>
      </c>
      <c r="D25" s="74" t="str">
        <f t="shared" ref="D25:D31" si="0">IF(C25="0","0","1")</f>
        <v>0</v>
      </c>
      <c r="E25" s="75" t="e">
        <f>VLOOKUP(E26,'All types'!A144:B149,2,0)</f>
        <v>#N/A</v>
      </c>
      <c r="F25" s="74" t="str">
        <f>IFERROR(VLOOKUP(C19,'All types'!A:G,6,0),"")</f>
        <v/>
      </c>
    </row>
    <row r="26" spans="1:8" ht="22.5" customHeight="1" x14ac:dyDescent="0.25">
      <c r="B26" s="74" t="s">
        <v>495</v>
      </c>
      <c r="C26" s="74" t="str">
        <f>IFERROR(VLOOKUP($C$19,'3PhT data'!A:A,1,0),"0")</f>
        <v>0</v>
      </c>
      <c r="D26" s="74" t="str">
        <f t="shared" si="0"/>
        <v>0</v>
      </c>
      <c r="E26" s="74" t="str">
        <f>IFERROR(VLOOKUP(C19,'All types'!A:F,5,0),"")</f>
        <v/>
      </c>
      <c r="F26" s="74" t="str">
        <f>IFERROR(VLOOKUP(C20,'All types'!A:G,6,0),"")</f>
        <v/>
      </c>
    </row>
    <row r="27" spans="1:8" ht="22.5" customHeight="1" x14ac:dyDescent="0.25">
      <c r="B27" s="74" t="s">
        <v>496</v>
      </c>
      <c r="C27" s="74" t="str">
        <f>IFERROR(VLOOKUP($C$19,AFX!A:A,1,0),"0")</f>
        <v>0</v>
      </c>
      <c r="D27" s="74" t="str">
        <f t="shared" si="0"/>
        <v>0</v>
      </c>
      <c r="E27" s="14"/>
      <c r="F27" s="14"/>
    </row>
    <row r="28" spans="1:8" ht="22.5" customHeight="1" x14ac:dyDescent="0.25">
      <c r="B28" s="74" t="s">
        <v>497</v>
      </c>
      <c r="C28" s="74" t="str">
        <f>IFERROR(VLOOKUP($C$19,'2Ph data'!A:A,1,0),"0")</f>
        <v>0</v>
      </c>
      <c r="D28" s="74" t="str">
        <f t="shared" si="0"/>
        <v>0</v>
      </c>
      <c r="E28" s="14"/>
      <c r="F28" s="14"/>
    </row>
    <row r="29" spans="1:8" ht="22.5" customHeight="1" x14ac:dyDescent="0.25">
      <c r="B29" s="74" t="s">
        <v>498</v>
      </c>
      <c r="C29" s="74" t="str">
        <f>IFERROR(VLOOKUP($C$19,'2PhT data'!A:A,1,0),"0")</f>
        <v>0</v>
      </c>
      <c r="D29" s="74" t="str">
        <f t="shared" si="0"/>
        <v>0</v>
      </c>
      <c r="E29" s="14"/>
      <c r="F29" s="14"/>
    </row>
    <row r="30" spans="1:8" ht="22.5" customHeight="1" x14ac:dyDescent="0.25">
      <c r="B30" s="74" t="s">
        <v>499</v>
      </c>
      <c r="C30" s="74" t="str">
        <f>IFERROR(VLOOKUP($C$19,'1Ph data'!A:A,1,0),"0")</f>
        <v>0</v>
      </c>
      <c r="D30" s="74" t="str">
        <f t="shared" si="0"/>
        <v>0</v>
      </c>
      <c r="E30" s="14"/>
      <c r="F30" s="14"/>
    </row>
    <row r="31" spans="1:8" ht="22.5" customHeight="1" x14ac:dyDescent="0.25">
      <c r="B31" s="74" t="s">
        <v>500</v>
      </c>
      <c r="C31" s="74" t="str">
        <f>IFERROR(VLOOKUP($C$19,'1PhT data'!A:A,1,0),"0")</f>
        <v>0</v>
      </c>
      <c r="D31" s="74" t="str">
        <f t="shared" si="0"/>
        <v>0</v>
      </c>
      <c r="E31" s="14"/>
      <c r="F31" s="14"/>
    </row>
    <row r="34" spans="2:8" ht="22.5" customHeight="1" x14ac:dyDescent="0.25">
      <c r="B34" s="15"/>
      <c r="C34" s="11"/>
      <c r="D34" s="44"/>
      <c r="E34" s="16"/>
      <c r="F34" s="45"/>
      <c r="G34" s="46"/>
      <c r="H34" s="47"/>
    </row>
    <row r="35" spans="2:8" ht="22.5" customHeight="1" x14ac:dyDescent="0.25">
      <c r="B35" s="15"/>
      <c r="C35" s="11"/>
      <c r="D35" s="44"/>
      <c r="E35" s="16"/>
      <c r="F35" s="45"/>
      <c r="G35" s="46"/>
      <c r="H35" s="47"/>
    </row>
    <row r="36" spans="2:8" ht="22.5" customHeight="1" x14ac:dyDescent="0.25">
      <c r="B36" s="15"/>
      <c r="C36" s="11"/>
      <c r="D36" s="44"/>
      <c r="E36" s="16"/>
      <c r="F36" s="45"/>
      <c r="G36" s="46"/>
      <c r="H36" s="47"/>
    </row>
    <row r="37" spans="2:8" ht="22.5" customHeight="1" x14ac:dyDescent="0.25">
      <c r="B37" s="15"/>
      <c r="C37" s="11"/>
      <c r="D37" s="44"/>
      <c r="E37" s="16"/>
      <c r="F37" s="45"/>
      <c r="G37" s="46"/>
      <c r="H37" s="47"/>
    </row>
    <row r="38" spans="2:8" ht="22.5" customHeight="1" x14ac:dyDescent="0.25">
      <c r="B38" s="15"/>
      <c r="C38" s="11"/>
      <c r="D38" s="44"/>
      <c r="E38" s="16"/>
      <c r="F38" s="45"/>
      <c r="G38" s="46"/>
      <c r="H38" s="47"/>
    </row>
    <row r="39" spans="2:8" ht="22.5" customHeight="1" x14ac:dyDescent="0.25">
      <c r="B39" s="15"/>
      <c r="C39" s="11"/>
      <c r="D39" s="44"/>
      <c r="E39" s="16"/>
      <c r="F39" s="45"/>
      <c r="G39" s="46"/>
      <c r="H39" s="47"/>
    </row>
  </sheetData>
  <sheetProtection formatCells="0" formatColumns="0" formatRows="0" insertColumns="0" insertRows="0" insertHyperlinks="0" deleteColumns="0" deleteRows="0" sort="0" autoFilter="0" pivotTables="0"/>
  <mergeCells count="19">
    <mergeCell ref="C20:D20"/>
    <mergeCell ref="E20:F20"/>
    <mergeCell ref="G20:H20"/>
    <mergeCell ref="C21:D21"/>
    <mergeCell ref="E21:F21"/>
    <mergeCell ref="G21:H21"/>
    <mergeCell ref="C18:D18"/>
    <mergeCell ref="E18:F18"/>
    <mergeCell ref="G18:H18"/>
    <mergeCell ref="C19:D19"/>
    <mergeCell ref="E19:F19"/>
    <mergeCell ref="G19:H19"/>
    <mergeCell ref="A1:H6"/>
    <mergeCell ref="A7:H7"/>
    <mergeCell ref="B16:D16"/>
    <mergeCell ref="E16:H16"/>
    <mergeCell ref="C17:D17"/>
    <mergeCell ref="E17:F17"/>
    <mergeCell ref="G17:H17"/>
  </mergeCells>
  <conditionalFormatting sqref="H35:H36">
    <cfRule type="containsText" dxfId="34" priority="132" operator="containsText" text="fail">
      <formula>NOT(ISERROR(SEARCH("fail",H35)))</formula>
    </cfRule>
    <cfRule type="containsText" dxfId="33" priority="133" operator="containsText" text="Pass">
      <formula>NOT(ISERROR(SEARCH("Pass",H35)))</formula>
    </cfRule>
    <cfRule type="containsText" dxfId="32" priority="134" operator="containsText" text="Fail">
      <formula>NOT(ISERROR(SEARCH("Fail",H35)))</formula>
    </cfRule>
  </conditionalFormatting>
  <conditionalFormatting sqref="H34:H36">
    <cfRule type="colorScale" priority="130">
      <colorScale>
        <cfvo type="formula" val="&quot;Pass&quot;"/>
        <cfvo type="formula" val="&quot;Fail&quot;"/>
        <color rgb="FF00B050"/>
        <color rgb="FFFF0000"/>
      </colorScale>
    </cfRule>
    <cfRule type="colorScale" priority="131">
      <colorScale>
        <cfvo type="min"/>
        <cfvo type="percentile" val="50"/>
        <cfvo type="max"/>
        <color rgb="FFF8696B"/>
        <color rgb="FFFFEB84"/>
        <color rgb="FF63BE7B"/>
      </colorScale>
    </cfRule>
  </conditionalFormatting>
  <conditionalFormatting sqref="H34:H36">
    <cfRule type="containsText" dxfId="31" priority="127" operator="containsText" text="fail">
      <formula>NOT(ISERROR(SEARCH("fail",H34)))</formula>
    </cfRule>
    <cfRule type="containsText" dxfId="30" priority="128" operator="containsText" text="Pass">
      <formula>NOT(ISERROR(SEARCH("Pass",H34)))</formula>
    </cfRule>
    <cfRule type="containsText" dxfId="29" priority="129" operator="containsText" text="Fail">
      <formula>NOT(ISERROR(SEARCH("Fail",H34)))</formula>
    </cfRule>
  </conditionalFormatting>
  <conditionalFormatting sqref="H34:H36">
    <cfRule type="colorScale" priority="125">
      <colorScale>
        <cfvo type="formula" val="&quot;Pass&quot;"/>
        <cfvo type="formula" val="&quot;Fail&quot;"/>
        <color rgb="FF00B050"/>
        <color rgb="FFFF0000"/>
      </colorScale>
    </cfRule>
    <cfRule type="colorScale" priority="126">
      <colorScale>
        <cfvo type="min"/>
        <cfvo type="percentile" val="50"/>
        <cfvo type="max"/>
        <color rgb="FFF8696B"/>
        <color rgb="FFFFEB84"/>
        <color rgb="FF63BE7B"/>
      </colorScale>
    </cfRule>
  </conditionalFormatting>
  <conditionalFormatting sqref="H34:H36">
    <cfRule type="colorScale" priority="123">
      <colorScale>
        <cfvo type="formula" val="&quot;Pass&quot;"/>
        <cfvo type="formula" val="&quot;Fail&quot;"/>
        <color rgb="FF00B050"/>
        <color rgb="FFFF0000"/>
      </colorScale>
    </cfRule>
    <cfRule type="colorScale" priority="124">
      <colorScale>
        <cfvo type="min"/>
        <cfvo type="percentile" val="50"/>
        <cfvo type="max"/>
        <color rgb="FFF8696B"/>
        <color rgb="FFFFEB84"/>
        <color rgb="FF63BE7B"/>
      </colorScale>
    </cfRule>
  </conditionalFormatting>
  <conditionalFormatting sqref="H34:H36">
    <cfRule type="colorScale" priority="121">
      <colorScale>
        <cfvo type="formula" val="&quot;Pass&quot;"/>
        <cfvo type="formula" val="&quot;Fail&quot;"/>
        <color rgb="FF00B050"/>
        <color rgb="FFFF0000"/>
      </colorScale>
    </cfRule>
    <cfRule type="colorScale" priority="122">
      <colorScale>
        <cfvo type="min"/>
        <cfvo type="percentile" val="50"/>
        <cfvo type="max"/>
        <color rgb="FFF8696B"/>
        <color rgb="FFFFEB84"/>
        <color rgb="FF63BE7B"/>
      </colorScale>
    </cfRule>
  </conditionalFormatting>
  <conditionalFormatting sqref="H34:H36">
    <cfRule type="colorScale" priority="119">
      <colorScale>
        <cfvo type="formula" val="&quot;Pass&quot;"/>
        <cfvo type="formula" val="&quot;Fail&quot;"/>
        <color rgb="FF00B050"/>
        <color rgb="FFFF0000"/>
      </colorScale>
    </cfRule>
    <cfRule type="colorScale" priority="120">
      <colorScale>
        <cfvo type="min"/>
        <cfvo type="percentile" val="50"/>
        <cfvo type="max"/>
        <color rgb="FFF8696B"/>
        <color rgb="FFFFEB84"/>
        <color rgb="FF63BE7B"/>
      </colorScale>
    </cfRule>
  </conditionalFormatting>
  <conditionalFormatting sqref="H34:H36">
    <cfRule type="colorScale" priority="117">
      <colorScale>
        <cfvo type="formula" val="&quot;Pass&quot;"/>
        <cfvo type="formula" val="&quot;Fail&quot;"/>
        <color rgb="FF00B050"/>
        <color rgb="FFFF0000"/>
      </colorScale>
    </cfRule>
    <cfRule type="colorScale" priority="118">
      <colorScale>
        <cfvo type="min"/>
        <cfvo type="percentile" val="50"/>
        <cfvo type="max"/>
        <color rgb="FFF8696B"/>
        <color rgb="FFFFEB84"/>
        <color rgb="FF63BE7B"/>
      </colorScale>
    </cfRule>
  </conditionalFormatting>
  <conditionalFormatting sqref="H34:H36">
    <cfRule type="colorScale" priority="115">
      <colorScale>
        <cfvo type="formula" val="&quot;Pass&quot;"/>
        <cfvo type="formula" val="&quot;Fail&quot;"/>
        <color rgb="FF00B050"/>
        <color rgb="FFFF0000"/>
      </colorScale>
    </cfRule>
    <cfRule type="colorScale" priority="116">
      <colorScale>
        <cfvo type="min"/>
        <cfvo type="percentile" val="50"/>
        <cfvo type="max"/>
        <color rgb="FFF8696B"/>
        <color rgb="FFFFEB84"/>
        <color rgb="FF63BE7B"/>
      </colorScale>
    </cfRule>
  </conditionalFormatting>
  <conditionalFormatting sqref="H34:H36">
    <cfRule type="colorScale" priority="113">
      <colorScale>
        <cfvo type="formula" val="&quot;Pass&quot;"/>
        <cfvo type="formula" val="&quot;Fail&quot;"/>
        <color rgb="FF00B050"/>
        <color rgb="FFFF0000"/>
      </colorScale>
    </cfRule>
    <cfRule type="colorScale" priority="114">
      <colorScale>
        <cfvo type="min"/>
        <cfvo type="percentile" val="50"/>
        <cfvo type="max"/>
        <color rgb="FFF8696B"/>
        <color rgb="FFFFEB84"/>
        <color rgb="FF63BE7B"/>
      </colorScale>
    </cfRule>
  </conditionalFormatting>
  <conditionalFormatting sqref="H34:H36">
    <cfRule type="colorScale" priority="111">
      <colorScale>
        <cfvo type="formula" val="&quot;Pass&quot;"/>
        <cfvo type="formula" val="&quot;Fail&quot;"/>
        <color rgb="FF00B050"/>
        <color rgb="FFFF0000"/>
      </colorScale>
    </cfRule>
    <cfRule type="colorScale" priority="112">
      <colorScale>
        <cfvo type="min"/>
        <cfvo type="percentile" val="50"/>
        <cfvo type="max"/>
        <color rgb="FFF8696B"/>
        <color rgb="FFFFEB84"/>
        <color rgb="FF63BE7B"/>
      </colorScale>
    </cfRule>
  </conditionalFormatting>
  <conditionalFormatting sqref="H34:H36">
    <cfRule type="colorScale" priority="109">
      <colorScale>
        <cfvo type="formula" val="&quot;Pass&quot;"/>
        <cfvo type="formula" val="&quot;Fail&quot;"/>
        <color rgb="FF00B050"/>
        <color rgb="FFFF0000"/>
      </colorScale>
    </cfRule>
    <cfRule type="colorScale" priority="110">
      <colorScale>
        <cfvo type="min"/>
        <cfvo type="percentile" val="50"/>
        <cfvo type="max"/>
        <color rgb="FFF8696B"/>
        <color rgb="FFFFEB84"/>
        <color rgb="FF63BE7B"/>
      </colorScale>
    </cfRule>
  </conditionalFormatting>
  <conditionalFormatting sqref="H34:H36">
    <cfRule type="colorScale" priority="107">
      <colorScale>
        <cfvo type="formula" val="&quot;Pass&quot;"/>
        <cfvo type="formula" val="&quot;Fail&quot;"/>
        <color rgb="FF00B050"/>
        <color rgb="FFFF0000"/>
      </colorScale>
    </cfRule>
    <cfRule type="colorScale" priority="108">
      <colorScale>
        <cfvo type="min"/>
        <cfvo type="percentile" val="50"/>
        <cfvo type="max"/>
        <color rgb="FFF8696B"/>
        <color rgb="FFFFEB84"/>
        <color rgb="FF63BE7B"/>
      </colorScale>
    </cfRule>
  </conditionalFormatting>
  <conditionalFormatting sqref="H34:H36">
    <cfRule type="colorScale" priority="105">
      <colorScale>
        <cfvo type="formula" val="&quot;Pass&quot;"/>
        <cfvo type="formula" val="&quot;Fail&quot;"/>
        <color rgb="FF00B050"/>
        <color rgb="FFFF0000"/>
      </colorScale>
    </cfRule>
    <cfRule type="colorScale" priority="106">
      <colorScale>
        <cfvo type="min"/>
        <cfvo type="percentile" val="50"/>
        <cfvo type="max"/>
        <color rgb="FFF8696B"/>
        <color rgb="FFFFEB84"/>
        <color rgb="FF63BE7B"/>
      </colorScale>
    </cfRule>
  </conditionalFormatting>
  <conditionalFormatting sqref="H34:H36">
    <cfRule type="colorScale" priority="103">
      <colorScale>
        <cfvo type="formula" val="&quot;Pass&quot;"/>
        <cfvo type="formula" val="&quot;Fail&quot;"/>
        <color rgb="FF00B050"/>
        <color rgb="FFFF0000"/>
      </colorScale>
    </cfRule>
    <cfRule type="colorScale" priority="104">
      <colorScale>
        <cfvo type="min"/>
        <cfvo type="percentile" val="50"/>
        <cfvo type="max"/>
        <color rgb="FFF8696B"/>
        <color rgb="FFFFEB84"/>
        <color rgb="FF63BE7B"/>
      </colorScale>
    </cfRule>
  </conditionalFormatting>
  <conditionalFormatting sqref="H34:H36">
    <cfRule type="colorScale" priority="101">
      <colorScale>
        <cfvo type="formula" val="&quot;Pass&quot;"/>
        <cfvo type="formula" val="&quot;Fail&quot;"/>
        <color rgb="FF00B050"/>
        <color rgb="FFFF0000"/>
      </colorScale>
    </cfRule>
    <cfRule type="colorScale" priority="102">
      <colorScale>
        <cfvo type="min"/>
        <cfvo type="percentile" val="50"/>
        <cfvo type="max"/>
        <color rgb="FFF8696B"/>
        <color rgb="FFFFEB84"/>
        <color rgb="FF63BE7B"/>
      </colorScale>
    </cfRule>
  </conditionalFormatting>
  <conditionalFormatting sqref="H34:H36">
    <cfRule type="colorScale" priority="99">
      <colorScale>
        <cfvo type="formula" val="&quot;Pass&quot;"/>
        <cfvo type="formula" val="&quot;Fail&quot;"/>
        <color rgb="FF00B050"/>
        <color rgb="FFFF0000"/>
      </colorScale>
    </cfRule>
    <cfRule type="colorScale" priority="100">
      <colorScale>
        <cfvo type="min"/>
        <cfvo type="percentile" val="50"/>
        <cfvo type="max"/>
        <color rgb="FFF8696B"/>
        <color rgb="FFFFEB84"/>
        <color rgb="FF63BE7B"/>
      </colorScale>
    </cfRule>
  </conditionalFormatting>
  <conditionalFormatting sqref="H34:H36">
    <cfRule type="colorScale" priority="97">
      <colorScale>
        <cfvo type="formula" val="&quot;Pass&quot;"/>
        <cfvo type="formula" val="&quot;Fail&quot;"/>
        <color rgb="FF00B050"/>
        <color rgb="FFFF0000"/>
      </colorScale>
    </cfRule>
    <cfRule type="colorScale" priority="98">
      <colorScale>
        <cfvo type="min"/>
        <cfvo type="percentile" val="50"/>
        <cfvo type="max"/>
        <color rgb="FFF8696B"/>
        <color rgb="FFFFEB84"/>
        <color rgb="FF63BE7B"/>
      </colorScale>
    </cfRule>
  </conditionalFormatting>
  <conditionalFormatting sqref="H34:H36">
    <cfRule type="colorScale" priority="95">
      <colorScale>
        <cfvo type="formula" val="&quot;Pass&quot;"/>
        <cfvo type="formula" val="&quot;Fail&quot;"/>
        <color rgb="FF00B050"/>
        <color rgb="FFFF0000"/>
      </colorScale>
    </cfRule>
    <cfRule type="colorScale" priority="96">
      <colorScale>
        <cfvo type="min"/>
        <cfvo type="percentile" val="50"/>
        <cfvo type="max"/>
        <color rgb="FFF8696B"/>
        <color rgb="FFFFEB84"/>
        <color rgb="FF63BE7B"/>
      </colorScale>
    </cfRule>
  </conditionalFormatting>
  <conditionalFormatting sqref="H34:H36">
    <cfRule type="colorScale" priority="93">
      <colorScale>
        <cfvo type="formula" val="&quot;Pass&quot;"/>
        <cfvo type="formula" val="&quot;Fail&quot;"/>
        <color rgb="FF00B050"/>
        <color rgb="FFFF0000"/>
      </colorScale>
    </cfRule>
    <cfRule type="colorScale" priority="94">
      <colorScale>
        <cfvo type="min"/>
        <cfvo type="percentile" val="50"/>
        <cfvo type="max"/>
        <color rgb="FFF8696B"/>
        <color rgb="FFFFEB84"/>
        <color rgb="FF63BE7B"/>
      </colorScale>
    </cfRule>
  </conditionalFormatting>
  <conditionalFormatting sqref="H34:H36">
    <cfRule type="colorScale" priority="91">
      <colorScale>
        <cfvo type="formula" val="&quot;Pass&quot;"/>
        <cfvo type="formula" val="&quot;Fail&quot;"/>
        <color rgb="FF00B050"/>
        <color rgb="FFFF0000"/>
      </colorScale>
    </cfRule>
    <cfRule type="colorScale" priority="92">
      <colorScale>
        <cfvo type="min"/>
        <cfvo type="percentile" val="50"/>
        <cfvo type="max"/>
        <color rgb="FFF8696B"/>
        <color rgb="FFFFEB84"/>
        <color rgb="FF63BE7B"/>
      </colorScale>
    </cfRule>
  </conditionalFormatting>
  <conditionalFormatting sqref="H34:H36">
    <cfRule type="colorScale" priority="89">
      <colorScale>
        <cfvo type="formula" val="&quot;Pass&quot;"/>
        <cfvo type="formula" val="&quot;Fail&quot;"/>
        <color rgb="FF00B050"/>
        <color rgb="FFFF0000"/>
      </colorScale>
    </cfRule>
    <cfRule type="colorScale" priority="90">
      <colorScale>
        <cfvo type="min"/>
        <cfvo type="percentile" val="50"/>
        <cfvo type="max"/>
        <color rgb="FFF8696B"/>
        <color rgb="FFFFEB84"/>
        <color rgb="FF63BE7B"/>
      </colorScale>
    </cfRule>
  </conditionalFormatting>
  <conditionalFormatting sqref="H34:H36">
    <cfRule type="colorScale" priority="87">
      <colorScale>
        <cfvo type="formula" val="&quot;Pass&quot;"/>
        <cfvo type="formula" val="&quot;Fail&quot;"/>
        <color rgb="FF00B050"/>
        <color rgb="FFFF0000"/>
      </colorScale>
    </cfRule>
    <cfRule type="colorScale" priority="88">
      <colorScale>
        <cfvo type="min"/>
        <cfvo type="percentile" val="50"/>
        <cfvo type="max"/>
        <color rgb="FFF8696B"/>
        <color rgb="FFFFEB84"/>
        <color rgb="FF63BE7B"/>
      </colorScale>
    </cfRule>
  </conditionalFormatting>
  <conditionalFormatting sqref="H34:H36">
    <cfRule type="colorScale" priority="85">
      <colorScale>
        <cfvo type="formula" val="&quot;Pass&quot;"/>
        <cfvo type="formula" val="&quot;Fail&quot;"/>
        <color rgb="FF00B050"/>
        <color rgb="FFFF0000"/>
      </colorScale>
    </cfRule>
    <cfRule type="colorScale" priority="86">
      <colorScale>
        <cfvo type="min"/>
        <cfvo type="percentile" val="50"/>
        <cfvo type="max"/>
        <color rgb="FFF8696B"/>
        <color rgb="FFFFEB84"/>
        <color rgb="FF63BE7B"/>
      </colorScale>
    </cfRule>
  </conditionalFormatting>
  <conditionalFormatting sqref="H34:H36">
    <cfRule type="colorScale" priority="83">
      <colorScale>
        <cfvo type="formula" val="&quot;Pass&quot;"/>
        <cfvo type="formula" val="&quot;Fail&quot;"/>
        <color rgb="FF00B050"/>
        <color rgb="FFFF0000"/>
      </colorScale>
    </cfRule>
    <cfRule type="colorScale" priority="84">
      <colorScale>
        <cfvo type="min"/>
        <cfvo type="percentile" val="50"/>
        <cfvo type="max"/>
        <color rgb="FFF8696B"/>
        <color rgb="FFFFEB84"/>
        <color rgb="FF63BE7B"/>
      </colorScale>
    </cfRule>
  </conditionalFormatting>
  <conditionalFormatting sqref="H34:H36">
    <cfRule type="colorScale" priority="81">
      <colorScale>
        <cfvo type="formula" val="&quot;Pass&quot;"/>
        <cfvo type="formula" val="&quot;Fail&quot;"/>
        <color rgb="FF00B050"/>
        <color rgb="FFFF0000"/>
      </colorScale>
    </cfRule>
    <cfRule type="colorScale" priority="82">
      <colorScale>
        <cfvo type="min"/>
        <cfvo type="percentile" val="50"/>
        <cfvo type="max"/>
        <color rgb="FFF8696B"/>
        <color rgb="FFFFEB84"/>
        <color rgb="FF63BE7B"/>
      </colorScale>
    </cfRule>
  </conditionalFormatting>
  <conditionalFormatting sqref="H34:H36">
    <cfRule type="colorScale" priority="79">
      <colorScale>
        <cfvo type="formula" val="&quot;Pass&quot;"/>
        <cfvo type="formula" val="&quot;Fail&quot;"/>
        <color rgb="FF00B050"/>
        <color rgb="FFFF0000"/>
      </colorScale>
    </cfRule>
    <cfRule type="colorScale" priority="80">
      <colorScale>
        <cfvo type="min"/>
        <cfvo type="percentile" val="50"/>
        <cfvo type="max"/>
        <color rgb="FFF8696B"/>
        <color rgb="FFFFEB84"/>
        <color rgb="FF63BE7B"/>
      </colorScale>
    </cfRule>
  </conditionalFormatting>
  <conditionalFormatting sqref="H34:H36">
    <cfRule type="colorScale" priority="77">
      <colorScale>
        <cfvo type="formula" val="&quot;Pass&quot;"/>
        <cfvo type="formula" val="&quot;Fail&quot;"/>
        <color rgb="FF00B050"/>
        <color rgb="FFFF0000"/>
      </colorScale>
    </cfRule>
    <cfRule type="colorScale" priority="78">
      <colorScale>
        <cfvo type="min"/>
        <cfvo type="percentile" val="50"/>
        <cfvo type="max"/>
        <color rgb="FFF8696B"/>
        <color rgb="FFFFEB84"/>
        <color rgb="FF63BE7B"/>
      </colorScale>
    </cfRule>
  </conditionalFormatting>
  <conditionalFormatting sqref="H34:H36">
    <cfRule type="colorScale" priority="75">
      <colorScale>
        <cfvo type="formula" val="&quot;Pass&quot;"/>
        <cfvo type="formula" val="&quot;Fail&quot;"/>
        <color rgb="FF00B050"/>
        <color rgb="FFFF0000"/>
      </colorScale>
    </cfRule>
    <cfRule type="colorScale" priority="76">
      <colorScale>
        <cfvo type="min"/>
        <cfvo type="percentile" val="50"/>
        <cfvo type="max"/>
        <color rgb="FFF8696B"/>
        <color rgb="FFFFEB84"/>
        <color rgb="FF63BE7B"/>
      </colorScale>
    </cfRule>
  </conditionalFormatting>
  <conditionalFormatting sqref="H34:H36">
    <cfRule type="colorScale" priority="73">
      <colorScale>
        <cfvo type="formula" val="&quot;Pass&quot;"/>
        <cfvo type="formula" val="&quot;Fail&quot;"/>
        <color rgb="FF00B050"/>
        <color rgb="FFFF0000"/>
      </colorScale>
    </cfRule>
    <cfRule type="colorScale" priority="74">
      <colorScale>
        <cfvo type="min"/>
        <cfvo type="percentile" val="50"/>
        <cfvo type="max"/>
        <color rgb="FFF8696B"/>
        <color rgb="FFFFEB84"/>
        <color rgb="FF63BE7B"/>
      </colorScale>
    </cfRule>
  </conditionalFormatting>
  <conditionalFormatting sqref="H34:H36">
    <cfRule type="colorScale" priority="71">
      <colorScale>
        <cfvo type="formula" val="&quot;Pass&quot;"/>
        <cfvo type="formula" val="&quot;Fail&quot;"/>
        <color rgb="FF00B050"/>
        <color rgb="FFFF0000"/>
      </colorScale>
    </cfRule>
    <cfRule type="colorScale" priority="72">
      <colorScale>
        <cfvo type="min"/>
        <cfvo type="percentile" val="50"/>
        <cfvo type="max"/>
        <color rgb="FFF8696B"/>
        <color rgb="FFFFEB84"/>
        <color rgb="FF63BE7B"/>
      </colorScale>
    </cfRule>
  </conditionalFormatting>
  <conditionalFormatting sqref="H34:H36">
    <cfRule type="containsText" dxfId="28" priority="68" operator="containsText" text="fail">
      <formula>NOT(ISERROR(SEARCH("fail",H34)))</formula>
    </cfRule>
    <cfRule type="containsText" dxfId="27" priority="69" operator="containsText" text="Pass">
      <formula>NOT(ISERROR(SEARCH("Pass",H34)))</formula>
    </cfRule>
    <cfRule type="containsText" dxfId="26" priority="70" operator="containsText" text="Fail">
      <formula>NOT(ISERROR(SEARCH("Fail",H34)))</formula>
    </cfRule>
  </conditionalFormatting>
  <conditionalFormatting sqref="H38:H39">
    <cfRule type="containsText" dxfId="25" priority="65" operator="containsText" text="fail">
      <formula>NOT(ISERROR(SEARCH("fail",H38)))</formula>
    </cfRule>
    <cfRule type="containsText" dxfId="24" priority="66" operator="containsText" text="Pass">
      <formula>NOT(ISERROR(SEARCH("Pass",H38)))</formula>
    </cfRule>
    <cfRule type="containsText" dxfId="23" priority="67" operator="containsText" text="Fail">
      <formula>NOT(ISERROR(SEARCH("Fail",H38)))</formula>
    </cfRule>
  </conditionalFormatting>
  <conditionalFormatting sqref="H37:H39">
    <cfRule type="colorScale" priority="63">
      <colorScale>
        <cfvo type="formula" val="&quot;Pass&quot;"/>
        <cfvo type="formula" val="&quot;Fail&quot;"/>
        <color rgb="FF00B050"/>
        <color rgb="FFFF0000"/>
      </colorScale>
    </cfRule>
    <cfRule type="colorScale" priority="64">
      <colorScale>
        <cfvo type="min"/>
        <cfvo type="percentile" val="50"/>
        <cfvo type="max"/>
        <color rgb="FFF8696B"/>
        <color rgb="FFFFEB84"/>
        <color rgb="FF63BE7B"/>
      </colorScale>
    </cfRule>
  </conditionalFormatting>
  <conditionalFormatting sqref="H37:H39">
    <cfRule type="containsText" dxfId="22" priority="60" operator="containsText" text="fail">
      <formula>NOT(ISERROR(SEARCH("fail",H37)))</formula>
    </cfRule>
    <cfRule type="containsText" dxfId="21" priority="61" operator="containsText" text="Pass">
      <formula>NOT(ISERROR(SEARCH("Pass",H37)))</formula>
    </cfRule>
    <cfRule type="containsText" dxfId="20" priority="62" operator="containsText" text="Fail">
      <formula>NOT(ISERROR(SEARCH("Fail",H37)))</formula>
    </cfRule>
  </conditionalFormatting>
  <conditionalFormatting sqref="H37:H39">
    <cfRule type="colorScale" priority="58">
      <colorScale>
        <cfvo type="formula" val="&quot;Pass&quot;"/>
        <cfvo type="formula" val="&quot;Fail&quot;"/>
        <color rgb="FF00B050"/>
        <color rgb="FFFF0000"/>
      </colorScale>
    </cfRule>
    <cfRule type="colorScale" priority="59">
      <colorScale>
        <cfvo type="min"/>
        <cfvo type="percentile" val="50"/>
        <cfvo type="max"/>
        <color rgb="FFF8696B"/>
        <color rgb="FFFFEB84"/>
        <color rgb="FF63BE7B"/>
      </colorScale>
    </cfRule>
  </conditionalFormatting>
  <conditionalFormatting sqref="H37:H39">
    <cfRule type="colorScale" priority="56">
      <colorScale>
        <cfvo type="formula" val="&quot;Pass&quot;"/>
        <cfvo type="formula" val="&quot;Fail&quot;"/>
        <color rgb="FF00B050"/>
        <color rgb="FFFF0000"/>
      </colorScale>
    </cfRule>
    <cfRule type="colorScale" priority="57">
      <colorScale>
        <cfvo type="min"/>
        <cfvo type="percentile" val="50"/>
        <cfvo type="max"/>
        <color rgb="FFF8696B"/>
        <color rgb="FFFFEB84"/>
        <color rgb="FF63BE7B"/>
      </colorScale>
    </cfRule>
  </conditionalFormatting>
  <conditionalFormatting sqref="H37:H39">
    <cfRule type="colorScale" priority="54">
      <colorScale>
        <cfvo type="formula" val="&quot;Pass&quot;"/>
        <cfvo type="formula" val="&quot;Fail&quot;"/>
        <color rgb="FF00B050"/>
        <color rgb="FFFF0000"/>
      </colorScale>
    </cfRule>
    <cfRule type="colorScale" priority="55">
      <colorScale>
        <cfvo type="min"/>
        <cfvo type="percentile" val="50"/>
        <cfvo type="max"/>
        <color rgb="FFF8696B"/>
        <color rgb="FFFFEB84"/>
        <color rgb="FF63BE7B"/>
      </colorScale>
    </cfRule>
  </conditionalFormatting>
  <conditionalFormatting sqref="H37:H39">
    <cfRule type="colorScale" priority="52">
      <colorScale>
        <cfvo type="formula" val="&quot;Pass&quot;"/>
        <cfvo type="formula" val="&quot;Fail&quot;"/>
        <color rgb="FF00B050"/>
        <color rgb="FFFF0000"/>
      </colorScale>
    </cfRule>
    <cfRule type="colorScale" priority="53">
      <colorScale>
        <cfvo type="min"/>
        <cfvo type="percentile" val="50"/>
        <cfvo type="max"/>
        <color rgb="FFF8696B"/>
        <color rgb="FFFFEB84"/>
        <color rgb="FF63BE7B"/>
      </colorScale>
    </cfRule>
  </conditionalFormatting>
  <conditionalFormatting sqref="H37:H39">
    <cfRule type="colorScale" priority="50">
      <colorScale>
        <cfvo type="formula" val="&quot;Pass&quot;"/>
        <cfvo type="formula" val="&quot;Fail&quot;"/>
        <color rgb="FF00B050"/>
        <color rgb="FFFF0000"/>
      </colorScale>
    </cfRule>
    <cfRule type="colorScale" priority="51">
      <colorScale>
        <cfvo type="min"/>
        <cfvo type="percentile" val="50"/>
        <cfvo type="max"/>
        <color rgb="FFF8696B"/>
        <color rgb="FFFFEB84"/>
        <color rgb="FF63BE7B"/>
      </colorScale>
    </cfRule>
  </conditionalFormatting>
  <conditionalFormatting sqref="H37:H39">
    <cfRule type="colorScale" priority="48">
      <colorScale>
        <cfvo type="formula" val="&quot;Pass&quot;"/>
        <cfvo type="formula" val="&quot;Fail&quot;"/>
        <color rgb="FF00B050"/>
        <color rgb="FFFF0000"/>
      </colorScale>
    </cfRule>
    <cfRule type="colorScale" priority="49">
      <colorScale>
        <cfvo type="min"/>
        <cfvo type="percentile" val="50"/>
        <cfvo type="max"/>
        <color rgb="FFF8696B"/>
        <color rgb="FFFFEB84"/>
        <color rgb="FF63BE7B"/>
      </colorScale>
    </cfRule>
  </conditionalFormatting>
  <conditionalFormatting sqref="H37:H39">
    <cfRule type="colorScale" priority="46">
      <colorScale>
        <cfvo type="formula" val="&quot;Pass&quot;"/>
        <cfvo type="formula" val="&quot;Fail&quot;"/>
        <color rgb="FF00B050"/>
        <color rgb="FFFF0000"/>
      </colorScale>
    </cfRule>
    <cfRule type="colorScale" priority="47">
      <colorScale>
        <cfvo type="min"/>
        <cfvo type="percentile" val="50"/>
        <cfvo type="max"/>
        <color rgb="FFF8696B"/>
        <color rgb="FFFFEB84"/>
        <color rgb="FF63BE7B"/>
      </colorScale>
    </cfRule>
  </conditionalFormatting>
  <conditionalFormatting sqref="H37:H39">
    <cfRule type="colorScale" priority="44">
      <colorScale>
        <cfvo type="formula" val="&quot;Pass&quot;"/>
        <cfvo type="formula" val="&quot;Fail&quot;"/>
        <color rgb="FF00B050"/>
        <color rgb="FFFF0000"/>
      </colorScale>
    </cfRule>
    <cfRule type="colorScale" priority="45">
      <colorScale>
        <cfvo type="min"/>
        <cfvo type="percentile" val="50"/>
        <cfvo type="max"/>
        <color rgb="FFF8696B"/>
        <color rgb="FFFFEB84"/>
        <color rgb="FF63BE7B"/>
      </colorScale>
    </cfRule>
  </conditionalFormatting>
  <conditionalFormatting sqref="H37:H39">
    <cfRule type="colorScale" priority="42">
      <colorScale>
        <cfvo type="formula" val="&quot;Pass&quot;"/>
        <cfvo type="formula" val="&quot;Fail&quot;"/>
        <color rgb="FF00B050"/>
        <color rgb="FFFF0000"/>
      </colorScale>
    </cfRule>
    <cfRule type="colorScale" priority="43">
      <colorScale>
        <cfvo type="min"/>
        <cfvo type="percentile" val="50"/>
        <cfvo type="max"/>
        <color rgb="FFF8696B"/>
        <color rgb="FFFFEB84"/>
        <color rgb="FF63BE7B"/>
      </colorScale>
    </cfRule>
  </conditionalFormatting>
  <conditionalFormatting sqref="H37:H39">
    <cfRule type="colorScale" priority="40">
      <colorScale>
        <cfvo type="formula" val="&quot;Pass&quot;"/>
        <cfvo type="formula" val="&quot;Fail&quot;"/>
        <color rgb="FF00B050"/>
        <color rgb="FFFF0000"/>
      </colorScale>
    </cfRule>
    <cfRule type="colorScale" priority="41">
      <colorScale>
        <cfvo type="min"/>
        <cfvo type="percentile" val="50"/>
        <cfvo type="max"/>
        <color rgb="FFF8696B"/>
        <color rgb="FFFFEB84"/>
        <color rgb="FF63BE7B"/>
      </colorScale>
    </cfRule>
  </conditionalFormatting>
  <conditionalFormatting sqref="H37:H39">
    <cfRule type="colorScale" priority="38">
      <colorScale>
        <cfvo type="formula" val="&quot;Pass&quot;"/>
        <cfvo type="formula" val="&quot;Fail&quot;"/>
        <color rgb="FF00B050"/>
        <color rgb="FFFF0000"/>
      </colorScale>
    </cfRule>
    <cfRule type="colorScale" priority="39">
      <colorScale>
        <cfvo type="min"/>
        <cfvo type="percentile" val="50"/>
        <cfvo type="max"/>
        <color rgb="FFF8696B"/>
        <color rgb="FFFFEB84"/>
        <color rgb="FF63BE7B"/>
      </colorScale>
    </cfRule>
  </conditionalFormatting>
  <conditionalFormatting sqref="H37:H39">
    <cfRule type="colorScale" priority="36">
      <colorScale>
        <cfvo type="formula" val="&quot;Pass&quot;"/>
        <cfvo type="formula" val="&quot;Fail&quot;"/>
        <color rgb="FF00B050"/>
        <color rgb="FFFF0000"/>
      </colorScale>
    </cfRule>
    <cfRule type="colorScale" priority="37">
      <colorScale>
        <cfvo type="min"/>
        <cfvo type="percentile" val="50"/>
        <cfvo type="max"/>
        <color rgb="FFF8696B"/>
        <color rgb="FFFFEB84"/>
        <color rgb="FF63BE7B"/>
      </colorScale>
    </cfRule>
  </conditionalFormatting>
  <conditionalFormatting sqref="H37:H39">
    <cfRule type="colorScale" priority="34">
      <colorScale>
        <cfvo type="formula" val="&quot;Pass&quot;"/>
        <cfvo type="formula" val="&quot;Fail&quot;"/>
        <color rgb="FF00B050"/>
        <color rgb="FFFF0000"/>
      </colorScale>
    </cfRule>
    <cfRule type="colorScale" priority="35">
      <colorScale>
        <cfvo type="min"/>
        <cfvo type="percentile" val="50"/>
        <cfvo type="max"/>
        <color rgb="FFF8696B"/>
        <color rgb="FFFFEB84"/>
        <color rgb="FF63BE7B"/>
      </colorScale>
    </cfRule>
  </conditionalFormatting>
  <conditionalFormatting sqref="H37:H39">
    <cfRule type="colorScale" priority="32">
      <colorScale>
        <cfvo type="formula" val="&quot;Pass&quot;"/>
        <cfvo type="formula" val="&quot;Fail&quot;"/>
        <color rgb="FF00B050"/>
        <color rgb="FFFF0000"/>
      </colorScale>
    </cfRule>
    <cfRule type="colorScale" priority="33">
      <colorScale>
        <cfvo type="min"/>
        <cfvo type="percentile" val="50"/>
        <cfvo type="max"/>
        <color rgb="FFF8696B"/>
        <color rgb="FFFFEB84"/>
        <color rgb="FF63BE7B"/>
      </colorScale>
    </cfRule>
  </conditionalFormatting>
  <conditionalFormatting sqref="H37:H39">
    <cfRule type="colorScale" priority="30">
      <colorScale>
        <cfvo type="formula" val="&quot;Pass&quot;"/>
        <cfvo type="formula" val="&quot;Fail&quot;"/>
        <color rgb="FF00B050"/>
        <color rgb="FFFF0000"/>
      </colorScale>
    </cfRule>
    <cfRule type="colorScale" priority="31">
      <colorScale>
        <cfvo type="min"/>
        <cfvo type="percentile" val="50"/>
        <cfvo type="max"/>
        <color rgb="FFF8696B"/>
        <color rgb="FFFFEB84"/>
        <color rgb="FF63BE7B"/>
      </colorScale>
    </cfRule>
  </conditionalFormatting>
  <conditionalFormatting sqref="H37:H39">
    <cfRule type="colorScale" priority="28">
      <colorScale>
        <cfvo type="formula" val="&quot;Pass&quot;"/>
        <cfvo type="formula" val="&quot;Fail&quot;"/>
        <color rgb="FF00B050"/>
        <color rgb="FFFF0000"/>
      </colorScale>
    </cfRule>
    <cfRule type="colorScale" priority="29">
      <colorScale>
        <cfvo type="min"/>
        <cfvo type="percentile" val="50"/>
        <cfvo type="max"/>
        <color rgb="FFF8696B"/>
        <color rgb="FFFFEB84"/>
        <color rgb="FF63BE7B"/>
      </colorScale>
    </cfRule>
  </conditionalFormatting>
  <conditionalFormatting sqref="H37:H39">
    <cfRule type="colorScale" priority="26">
      <colorScale>
        <cfvo type="formula" val="&quot;Pass&quot;"/>
        <cfvo type="formula" val="&quot;Fail&quot;"/>
        <color rgb="FF00B050"/>
        <color rgb="FFFF0000"/>
      </colorScale>
    </cfRule>
    <cfRule type="colorScale" priority="27">
      <colorScale>
        <cfvo type="min"/>
        <cfvo type="percentile" val="50"/>
        <cfvo type="max"/>
        <color rgb="FFF8696B"/>
        <color rgb="FFFFEB84"/>
        <color rgb="FF63BE7B"/>
      </colorScale>
    </cfRule>
  </conditionalFormatting>
  <conditionalFormatting sqref="H37:H39">
    <cfRule type="colorScale" priority="24">
      <colorScale>
        <cfvo type="formula" val="&quot;Pass&quot;"/>
        <cfvo type="formula" val="&quot;Fail&quot;"/>
        <color rgb="FF00B050"/>
        <color rgb="FFFF0000"/>
      </colorScale>
    </cfRule>
    <cfRule type="colorScale" priority="25">
      <colorScale>
        <cfvo type="min"/>
        <cfvo type="percentile" val="50"/>
        <cfvo type="max"/>
        <color rgb="FFF8696B"/>
        <color rgb="FFFFEB84"/>
        <color rgb="FF63BE7B"/>
      </colorScale>
    </cfRule>
  </conditionalFormatting>
  <conditionalFormatting sqref="H37:H39">
    <cfRule type="colorScale" priority="22">
      <colorScale>
        <cfvo type="formula" val="&quot;Pass&quot;"/>
        <cfvo type="formula" val="&quot;Fail&quot;"/>
        <color rgb="FF00B050"/>
        <color rgb="FFFF0000"/>
      </colorScale>
    </cfRule>
    <cfRule type="colorScale" priority="23">
      <colorScale>
        <cfvo type="min"/>
        <cfvo type="percentile" val="50"/>
        <cfvo type="max"/>
        <color rgb="FFF8696B"/>
        <color rgb="FFFFEB84"/>
        <color rgb="FF63BE7B"/>
      </colorScale>
    </cfRule>
  </conditionalFormatting>
  <conditionalFormatting sqref="H37:H39">
    <cfRule type="colorScale" priority="20">
      <colorScale>
        <cfvo type="formula" val="&quot;Pass&quot;"/>
        <cfvo type="formula" val="&quot;Fail&quot;"/>
        <color rgb="FF00B050"/>
        <color rgb="FFFF0000"/>
      </colorScale>
    </cfRule>
    <cfRule type="colorScale" priority="21">
      <colorScale>
        <cfvo type="min"/>
        <cfvo type="percentile" val="50"/>
        <cfvo type="max"/>
        <color rgb="FFF8696B"/>
        <color rgb="FFFFEB84"/>
        <color rgb="FF63BE7B"/>
      </colorScale>
    </cfRule>
  </conditionalFormatting>
  <conditionalFormatting sqref="H37:H39">
    <cfRule type="colorScale" priority="18">
      <colorScale>
        <cfvo type="formula" val="&quot;Pass&quot;"/>
        <cfvo type="formula" val="&quot;Fail&quot;"/>
        <color rgb="FF00B050"/>
        <color rgb="FFFF0000"/>
      </colorScale>
    </cfRule>
    <cfRule type="colorScale" priority="19">
      <colorScale>
        <cfvo type="min"/>
        <cfvo type="percentile" val="50"/>
        <cfvo type="max"/>
        <color rgb="FFF8696B"/>
        <color rgb="FFFFEB84"/>
        <color rgb="FF63BE7B"/>
      </colorScale>
    </cfRule>
  </conditionalFormatting>
  <conditionalFormatting sqref="H37:H39">
    <cfRule type="colorScale" priority="16">
      <colorScale>
        <cfvo type="formula" val="&quot;Pass&quot;"/>
        <cfvo type="formula" val="&quot;Fail&quot;"/>
        <color rgb="FF00B050"/>
        <color rgb="FFFF0000"/>
      </colorScale>
    </cfRule>
    <cfRule type="colorScale" priority="17">
      <colorScale>
        <cfvo type="min"/>
        <cfvo type="percentile" val="50"/>
        <cfvo type="max"/>
        <color rgb="FFF8696B"/>
        <color rgb="FFFFEB84"/>
        <color rgb="FF63BE7B"/>
      </colorScale>
    </cfRule>
  </conditionalFormatting>
  <conditionalFormatting sqref="H37:H39">
    <cfRule type="colorScale" priority="14">
      <colorScale>
        <cfvo type="formula" val="&quot;Pass&quot;"/>
        <cfvo type="formula" val="&quot;Fail&quot;"/>
        <color rgb="FF00B050"/>
        <color rgb="FFFF0000"/>
      </colorScale>
    </cfRule>
    <cfRule type="colorScale" priority="15">
      <colorScale>
        <cfvo type="min"/>
        <cfvo type="percentile" val="50"/>
        <cfvo type="max"/>
        <color rgb="FFF8696B"/>
        <color rgb="FFFFEB84"/>
        <color rgb="FF63BE7B"/>
      </colorScale>
    </cfRule>
  </conditionalFormatting>
  <conditionalFormatting sqref="H37:H39">
    <cfRule type="colorScale" priority="12">
      <colorScale>
        <cfvo type="formula" val="&quot;Pass&quot;"/>
        <cfvo type="formula" val="&quot;Fail&quot;"/>
        <color rgb="FF00B050"/>
        <color rgb="FFFF0000"/>
      </colorScale>
    </cfRule>
    <cfRule type="colorScale" priority="13">
      <colorScale>
        <cfvo type="min"/>
        <cfvo type="percentile" val="50"/>
        <cfvo type="max"/>
        <color rgb="FFF8696B"/>
        <color rgb="FFFFEB84"/>
        <color rgb="FF63BE7B"/>
      </colorScale>
    </cfRule>
  </conditionalFormatting>
  <conditionalFormatting sqref="H37:H39">
    <cfRule type="colorScale" priority="10">
      <colorScale>
        <cfvo type="formula" val="&quot;Pass&quot;"/>
        <cfvo type="formula" val="&quot;Fail&quot;"/>
        <color rgb="FF00B050"/>
        <color rgb="FFFF0000"/>
      </colorScale>
    </cfRule>
    <cfRule type="colorScale" priority="11">
      <colorScale>
        <cfvo type="min"/>
        <cfvo type="percentile" val="50"/>
        <cfvo type="max"/>
        <color rgb="FFF8696B"/>
        <color rgb="FFFFEB84"/>
        <color rgb="FF63BE7B"/>
      </colorScale>
    </cfRule>
  </conditionalFormatting>
  <conditionalFormatting sqref="H37:H39">
    <cfRule type="colorScale" priority="8">
      <colorScale>
        <cfvo type="formula" val="&quot;Pass&quot;"/>
        <cfvo type="formula" val="&quot;Fail&quot;"/>
        <color rgb="FF00B050"/>
        <color rgb="FFFF0000"/>
      </colorScale>
    </cfRule>
    <cfRule type="colorScale" priority="9">
      <colorScale>
        <cfvo type="min"/>
        <cfvo type="percentile" val="50"/>
        <cfvo type="max"/>
        <color rgb="FFF8696B"/>
        <color rgb="FFFFEB84"/>
        <color rgb="FF63BE7B"/>
      </colorScale>
    </cfRule>
  </conditionalFormatting>
  <conditionalFormatting sqref="H37:H39">
    <cfRule type="colorScale" priority="6">
      <colorScale>
        <cfvo type="formula" val="&quot;Pass&quot;"/>
        <cfvo type="formula" val="&quot;Fail&quot;"/>
        <color rgb="FF00B050"/>
        <color rgb="FFFF0000"/>
      </colorScale>
    </cfRule>
    <cfRule type="colorScale" priority="7">
      <colorScale>
        <cfvo type="min"/>
        <cfvo type="percentile" val="50"/>
        <cfvo type="max"/>
        <color rgb="FFF8696B"/>
        <color rgb="FFFFEB84"/>
        <color rgb="FF63BE7B"/>
      </colorScale>
    </cfRule>
  </conditionalFormatting>
  <conditionalFormatting sqref="H37:H39">
    <cfRule type="colorScale" priority="4">
      <colorScale>
        <cfvo type="formula" val="&quot;Pass&quot;"/>
        <cfvo type="formula" val="&quot;Fail&quot;"/>
        <color rgb="FF00B050"/>
        <color rgb="FFFF0000"/>
      </colorScale>
    </cfRule>
    <cfRule type="colorScale" priority="5">
      <colorScale>
        <cfvo type="min"/>
        <cfvo type="percentile" val="50"/>
        <cfvo type="max"/>
        <color rgb="FFF8696B"/>
        <color rgb="FFFFEB84"/>
        <color rgb="FF63BE7B"/>
      </colorScale>
    </cfRule>
  </conditionalFormatting>
  <conditionalFormatting sqref="H37:H39">
    <cfRule type="containsText" dxfId="19" priority="1" operator="containsText" text="fail">
      <formula>NOT(ISERROR(SEARCH("fail",H37)))</formula>
    </cfRule>
    <cfRule type="containsText" dxfId="18" priority="2" operator="containsText" text="Pass">
      <formula>NOT(ISERROR(SEARCH("Pass",H37)))</formula>
    </cfRule>
    <cfRule type="containsText" dxfId="17" priority="3" operator="containsText" text="Fail">
      <formula>NOT(ISERROR(SEARCH("Fail",H37)))</formula>
    </cfRule>
  </conditionalFormatting>
  <pageMargins left="0.75980392156862742" right="0.7" top="0.75" bottom="0.75" header="0.3" footer="0.3"/>
  <pageSetup paperSize="9" scale="50" orientation="portrait"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55C2E7-CACC-4DE4-BFA8-C5AF364A2540}">
  <dimension ref="A1:F149"/>
  <sheetViews>
    <sheetView workbookViewId="0">
      <selection activeCell="H17" sqref="H17"/>
    </sheetView>
  </sheetViews>
  <sheetFormatPr defaultRowHeight="15" x14ac:dyDescent="0.25"/>
  <cols>
    <col min="1" max="1" width="15.140625" bestFit="1" customWidth="1"/>
  </cols>
  <sheetData>
    <row r="1" spans="1:6" ht="15" customHeight="1" x14ac:dyDescent="0.25">
      <c r="A1" t="s">
        <v>83</v>
      </c>
      <c r="B1" t="s">
        <v>119</v>
      </c>
      <c r="C1" t="s">
        <v>145</v>
      </c>
      <c r="D1" t="s">
        <v>501</v>
      </c>
      <c r="E1" t="s">
        <v>502</v>
      </c>
      <c r="F1" t="s">
        <v>503</v>
      </c>
    </row>
    <row r="2" spans="1:6" ht="15" customHeight="1" x14ac:dyDescent="0.25">
      <c r="A2" t="s">
        <v>55</v>
      </c>
      <c r="B2">
        <v>135</v>
      </c>
      <c r="C2">
        <v>1200</v>
      </c>
      <c r="D2">
        <f>B2*2</f>
        <v>270</v>
      </c>
      <c r="E2" t="s">
        <v>54</v>
      </c>
      <c r="F2" t="s">
        <v>47</v>
      </c>
    </row>
    <row r="3" spans="1:6" ht="15.75" customHeight="1" x14ac:dyDescent="0.25">
      <c r="A3" t="s">
        <v>56</v>
      </c>
      <c r="B3">
        <v>135</v>
      </c>
      <c r="C3">
        <v>5000</v>
      </c>
      <c r="D3">
        <f t="shared" ref="D3:D66" si="0">B3*2</f>
        <v>270</v>
      </c>
      <c r="E3" t="s">
        <v>53</v>
      </c>
      <c r="F3" t="s">
        <v>47</v>
      </c>
    </row>
    <row r="4" spans="1:6" ht="15" customHeight="1" x14ac:dyDescent="0.25">
      <c r="A4" t="s">
        <v>377</v>
      </c>
      <c r="B4">
        <v>135</v>
      </c>
      <c r="C4">
        <v>5000</v>
      </c>
      <c r="D4">
        <f t="shared" si="0"/>
        <v>270</v>
      </c>
      <c r="E4" t="s">
        <v>359</v>
      </c>
      <c r="F4" t="s">
        <v>359</v>
      </c>
    </row>
    <row r="5" spans="1:6" ht="15" customHeight="1" x14ac:dyDescent="0.25">
      <c r="A5" t="s">
        <v>57</v>
      </c>
      <c r="B5">
        <v>135</v>
      </c>
      <c r="C5">
        <v>1200</v>
      </c>
      <c r="D5">
        <f t="shared" si="0"/>
        <v>270</v>
      </c>
      <c r="E5" t="s">
        <v>54</v>
      </c>
      <c r="F5" t="s">
        <v>47</v>
      </c>
    </row>
    <row r="6" spans="1:6" ht="15.75" customHeight="1" x14ac:dyDescent="0.25">
      <c r="A6" t="s">
        <v>58</v>
      </c>
      <c r="B6">
        <v>135</v>
      </c>
      <c r="C6">
        <v>5000</v>
      </c>
      <c r="D6">
        <f t="shared" si="0"/>
        <v>270</v>
      </c>
      <c r="E6" t="s">
        <v>53</v>
      </c>
      <c r="F6" t="s">
        <v>47</v>
      </c>
    </row>
    <row r="7" spans="1:6" ht="15" customHeight="1" x14ac:dyDescent="0.25">
      <c r="A7" t="s">
        <v>378</v>
      </c>
      <c r="B7">
        <v>135</v>
      </c>
      <c r="C7">
        <v>5000</v>
      </c>
      <c r="D7">
        <f t="shared" si="0"/>
        <v>270</v>
      </c>
      <c r="E7" t="s">
        <v>359</v>
      </c>
      <c r="F7" t="s">
        <v>359</v>
      </c>
    </row>
    <row r="8" spans="1:6" ht="15" customHeight="1" x14ac:dyDescent="0.25">
      <c r="A8" t="s">
        <v>59</v>
      </c>
      <c r="B8">
        <v>135</v>
      </c>
      <c r="C8">
        <v>1200</v>
      </c>
      <c r="D8">
        <f t="shared" si="0"/>
        <v>270</v>
      </c>
      <c r="E8" t="s">
        <v>54</v>
      </c>
      <c r="F8" t="s">
        <v>47</v>
      </c>
    </row>
    <row r="9" spans="1:6" ht="15.75" customHeight="1" x14ac:dyDescent="0.25">
      <c r="A9" t="s">
        <v>60</v>
      </c>
      <c r="B9">
        <v>135</v>
      </c>
      <c r="C9">
        <v>5000</v>
      </c>
      <c r="D9">
        <f t="shared" si="0"/>
        <v>270</v>
      </c>
      <c r="E9" t="s">
        <v>53</v>
      </c>
      <c r="F9" t="s">
        <v>47</v>
      </c>
    </row>
    <row r="10" spans="1:6" ht="15" customHeight="1" x14ac:dyDescent="0.25">
      <c r="A10" t="s">
        <v>379</v>
      </c>
      <c r="B10">
        <v>135</v>
      </c>
      <c r="C10">
        <v>5000</v>
      </c>
      <c r="D10">
        <f t="shared" si="0"/>
        <v>270</v>
      </c>
      <c r="E10" t="s">
        <v>359</v>
      </c>
      <c r="F10" t="s">
        <v>359</v>
      </c>
    </row>
    <row r="11" spans="1:6" ht="15" customHeight="1" x14ac:dyDescent="0.25">
      <c r="A11" t="s">
        <v>61</v>
      </c>
      <c r="B11">
        <v>132</v>
      </c>
      <c r="C11">
        <v>1200</v>
      </c>
      <c r="D11">
        <f t="shared" si="0"/>
        <v>264</v>
      </c>
      <c r="E11" t="s">
        <v>54</v>
      </c>
      <c r="F11" t="s">
        <v>46</v>
      </c>
    </row>
    <row r="12" spans="1:6" ht="15.75" customHeight="1" x14ac:dyDescent="0.25">
      <c r="A12" t="s">
        <v>62</v>
      </c>
      <c r="B12">
        <v>132</v>
      </c>
      <c r="C12">
        <v>1200</v>
      </c>
      <c r="D12">
        <f t="shared" si="0"/>
        <v>264</v>
      </c>
      <c r="E12" t="s">
        <v>53</v>
      </c>
      <c r="F12" t="s">
        <v>46</v>
      </c>
    </row>
    <row r="13" spans="1:6" ht="15" customHeight="1" x14ac:dyDescent="0.25">
      <c r="A13" t="s">
        <v>63</v>
      </c>
      <c r="B13">
        <v>135</v>
      </c>
      <c r="C13">
        <v>1200</v>
      </c>
      <c r="D13">
        <f t="shared" si="0"/>
        <v>270</v>
      </c>
      <c r="E13" t="s">
        <v>54</v>
      </c>
      <c r="F13" t="s">
        <v>47</v>
      </c>
    </row>
    <row r="14" spans="1:6" ht="15" customHeight="1" x14ac:dyDescent="0.25">
      <c r="A14" t="s">
        <v>64</v>
      </c>
      <c r="B14">
        <v>135</v>
      </c>
      <c r="C14">
        <v>5000</v>
      </c>
      <c r="D14">
        <f t="shared" si="0"/>
        <v>270</v>
      </c>
      <c r="E14" t="s">
        <v>53</v>
      </c>
      <c r="F14" t="s">
        <v>47</v>
      </c>
    </row>
    <row r="15" spans="1:6" ht="15.75" customHeight="1" x14ac:dyDescent="0.25">
      <c r="A15" t="s">
        <v>380</v>
      </c>
      <c r="B15">
        <v>135</v>
      </c>
      <c r="C15">
        <v>5000</v>
      </c>
      <c r="D15">
        <f t="shared" si="0"/>
        <v>270</v>
      </c>
      <c r="E15" t="s">
        <v>359</v>
      </c>
      <c r="F15" t="s">
        <v>359</v>
      </c>
    </row>
    <row r="16" spans="1:6" ht="15" customHeight="1" x14ac:dyDescent="0.25">
      <c r="A16" t="s">
        <v>65</v>
      </c>
      <c r="B16">
        <v>150</v>
      </c>
      <c r="C16">
        <v>1200</v>
      </c>
      <c r="D16">
        <f t="shared" si="0"/>
        <v>300</v>
      </c>
      <c r="E16" t="s">
        <v>54</v>
      </c>
      <c r="F16" t="s">
        <v>46</v>
      </c>
    </row>
    <row r="17" spans="1:6" ht="15" customHeight="1" x14ac:dyDescent="0.25">
      <c r="A17" t="s">
        <v>66</v>
      </c>
      <c r="B17">
        <v>150</v>
      </c>
      <c r="C17">
        <v>1200</v>
      </c>
      <c r="D17">
        <f t="shared" si="0"/>
        <v>300</v>
      </c>
      <c r="E17" t="s">
        <v>53</v>
      </c>
      <c r="F17" t="s">
        <v>46</v>
      </c>
    </row>
    <row r="18" spans="1:6" ht="15.75" customHeight="1" x14ac:dyDescent="0.25">
      <c r="A18" t="s">
        <v>67</v>
      </c>
      <c r="B18">
        <v>135</v>
      </c>
      <c r="C18">
        <v>1200</v>
      </c>
      <c r="D18">
        <f t="shared" si="0"/>
        <v>270</v>
      </c>
      <c r="E18" t="s">
        <v>54</v>
      </c>
      <c r="F18" t="s">
        <v>47</v>
      </c>
    </row>
    <row r="19" spans="1:6" ht="15" customHeight="1" x14ac:dyDescent="0.25">
      <c r="A19" t="s">
        <v>68</v>
      </c>
      <c r="B19">
        <v>135</v>
      </c>
      <c r="C19">
        <v>5000</v>
      </c>
      <c r="D19">
        <f t="shared" si="0"/>
        <v>270</v>
      </c>
      <c r="E19" t="s">
        <v>53</v>
      </c>
      <c r="F19" t="s">
        <v>47</v>
      </c>
    </row>
    <row r="20" spans="1:6" ht="15" customHeight="1" x14ac:dyDescent="0.25">
      <c r="A20" t="s">
        <v>381</v>
      </c>
      <c r="B20">
        <v>135</v>
      </c>
      <c r="C20">
        <v>5000</v>
      </c>
      <c r="D20">
        <f t="shared" si="0"/>
        <v>270</v>
      </c>
      <c r="E20" t="s">
        <v>359</v>
      </c>
      <c r="F20" t="s">
        <v>359</v>
      </c>
    </row>
    <row r="21" spans="1:6" ht="15.75" customHeight="1" x14ac:dyDescent="0.25">
      <c r="A21" t="s">
        <v>69</v>
      </c>
      <c r="B21">
        <v>135</v>
      </c>
      <c r="C21">
        <v>1200</v>
      </c>
      <c r="D21">
        <f t="shared" si="0"/>
        <v>270</v>
      </c>
      <c r="E21" t="s">
        <v>54</v>
      </c>
      <c r="F21" t="s">
        <v>46</v>
      </c>
    </row>
    <row r="22" spans="1:6" ht="15" customHeight="1" x14ac:dyDescent="0.25">
      <c r="A22" t="s">
        <v>70</v>
      </c>
      <c r="B22">
        <v>135</v>
      </c>
      <c r="C22">
        <v>5000</v>
      </c>
      <c r="D22">
        <f t="shared" si="0"/>
        <v>270</v>
      </c>
      <c r="E22" t="s">
        <v>53</v>
      </c>
      <c r="F22" t="s">
        <v>46</v>
      </c>
    </row>
    <row r="23" spans="1:6" ht="15" customHeight="1" x14ac:dyDescent="0.25">
      <c r="A23" t="s">
        <v>71</v>
      </c>
      <c r="B23">
        <v>135</v>
      </c>
      <c r="C23">
        <v>1200</v>
      </c>
      <c r="D23">
        <f t="shared" si="0"/>
        <v>270</v>
      </c>
      <c r="E23" t="s">
        <v>54</v>
      </c>
      <c r="F23" t="s">
        <v>47</v>
      </c>
    </row>
    <row r="24" spans="1:6" ht="15.75" customHeight="1" x14ac:dyDescent="0.25">
      <c r="A24" t="s">
        <v>72</v>
      </c>
      <c r="B24">
        <v>135</v>
      </c>
      <c r="C24">
        <v>5000</v>
      </c>
      <c r="D24">
        <f t="shared" si="0"/>
        <v>270</v>
      </c>
      <c r="E24" t="s">
        <v>53</v>
      </c>
      <c r="F24" t="s">
        <v>47</v>
      </c>
    </row>
    <row r="25" spans="1:6" ht="15" customHeight="1" x14ac:dyDescent="0.25">
      <c r="A25" t="s">
        <v>382</v>
      </c>
      <c r="B25">
        <v>135</v>
      </c>
      <c r="C25">
        <v>5000</v>
      </c>
      <c r="D25">
        <f t="shared" si="0"/>
        <v>270</v>
      </c>
      <c r="E25" t="s">
        <v>359</v>
      </c>
      <c r="F25" t="s">
        <v>359</v>
      </c>
    </row>
    <row r="26" spans="1:6" ht="15" customHeight="1" x14ac:dyDescent="0.25">
      <c r="A26" t="s">
        <v>73</v>
      </c>
      <c r="B26">
        <v>132</v>
      </c>
      <c r="C26">
        <v>1200</v>
      </c>
      <c r="D26">
        <f t="shared" si="0"/>
        <v>264</v>
      </c>
      <c r="E26" t="s">
        <v>54</v>
      </c>
      <c r="F26" t="s">
        <v>46</v>
      </c>
    </row>
    <row r="27" spans="1:6" ht="15.75" customHeight="1" x14ac:dyDescent="0.25">
      <c r="A27" t="s">
        <v>74</v>
      </c>
      <c r="B27">
        <v>132</v>
      </c>
      <c r="C27">
        <v>1200</v>
      </c>
      <c r="D27">
        <f t="shared" si="0"/>
        <v>264</v>
      </c>
      <c r="E27" t="s">
        <v>53</v>
      </c>
      <c r="F27" t="s">
        <v>46</v>
      </c>
    </row>
    <row r="28" spans="1:6" ht="15" customHeight="1" x14ac:dyDescent="0.25">
      <c r="A28" t="s">
        <v>75</v>
      </c>
      <c r="B28">
        <v>135</v>
      </c>
      <c r="C28">
        <v>1200</v>
      </c>
      <c r="D28">
        <f t="shared" si="0"/>
        <v>270</v>
      </c>
      <c r="E28" t="s">
        <v>54</v>
      </c>
      <c r="F28" t="s">
        <v>47</v>
      </c>
    </row>
    <row r="29" spans="1:6" ht="15" customHeight="1" x14ac:dyDescent="0.25">
      <c r="A29" t="s">
        <v>76</v>
      </c>
      <c r="B29">
        <v>135</v>
      </c>
      <c r="C29">
        <v>5000</v>
      </c>
      <c r="D29">
        <f t="shared" si="0"/>
        <v>270</v>
      </c>
      <c r="E29" t="s">
        <v>53</v>
      </c>
      <c r="F29" t="s">
        <v>47</v>
      </c>
    </row>
    <row r="30" spans="1:6" ht="15.75" customHeight="1" x14ac:dyDescent="0.25">
      <c r="A30" t="s">
        <v>383</v>
      </c>
      <c r="B30">
        <v>135</v>
      </c>
      <c r="C30">
        <v>5000</v>
      </c>
      <c r="D30">
        <f t="shared" si="0"/>
        <v>270</v>
      </c>
      <c r="E30" t="s">
        <v>359</v>
      </c>
      <c r="F30" t="s">
        <v>359</v>
      </c>
    </row>
    <row r="31" spans="1:6" ht="15" customHeight="1" x14ac:dyDescent="0.25">
      <c r="A31" t="s">
        <v>77</v>
      </c>
      <c r="B31">
        <v>135</v>
      </c>
      <c r="C31">
        <v>1200</v>
      </c>
      <c r="D31">
        <f t="shared" si="0"/>
        <v>270</v>
      </c>
      <c r="E31" t="s">
        <v>54</v>
      </c>
      <c r="F31" t="s">
        <v>46</v>
      </c>
    </row>
    <row r="32" spans="1:6" ht="15" customHeight="1" x14ac:dyDescent="0.25">
      <c r="A32" t="s">
        <v>78</v>
      </c>
      <c r="B32">
        <v>135</v>
      </c>
      <c r="C32">
        <v>1200</v>
      </c>
      <c r="D32">
        <f t="shared" si="0"/>
        <v>270</v>
      </c>
      <c r="E32" t="s">
        <v>53</v>
      </c>
      <c r="F32" t="s">
        <v>46</v>
      </c>
    </row>
    <row r="33" spans="1:6" ht="15.75" customHeight="1" x14ac:dyDescent="0.25">
      <c r="A33" t="s">
        <v>79</v>
      </c>
      <c r="B33">
        <v>135</v>
      </c>
      <c r="C33">
        <v>1200</v>
      </c>
      <c r="D33">
        <f t="shared" si="0"/>
        <v>270</v>
      </c>
      <c r="E33" t="s">
        <v>54</v>
      </c>
      <c r="F33" t="s">
        <v>47</v>
      </c>
    </row>
    <row r="34" spans="1:6" ht="15" customHeight="1" x14ac:dyDescent="0.25">
      <c r="A34" t="s">
        <v>80</v>
      </c>
      <c r="B34">
        <v>135</v>
      </c>
      <c r="C34">
        <v>5000</v>
      </c>
      <c r="D34">
        <f t="shared" si="0"/>
        <v>270</v>
      </c>
      <c r="E34" t="s">
        <v>53</v>
      </c>
      <c r="F34" t="s">
        <v>47</v>
      </c>
    </row>
    <row r="35" spans="1:6" ht="15" customHeight="1" x14ac:dyDescent="0.25">
      <c r="A35" t="s">
        <v>384</v>
      </c>
      <c r="B35">
        <v>135</v>
      </c>
      <c r="C35">
        <v>5000</v>
      </c>
      <c r="D35">
        <f t="shared" si="0"/>
        <v>270</v>
      </c>
      <c r="E35" t="s">
        <v>359</v>
      </c>
      <c r="F35" t="s">
        <v>359</v>
      </c>
    </row>
    <row r="36" spans="1:6" ht="15.75" customHeight="1" x14ac:dyDescent="0.25">
      <c r="A36" t="s">
        <v>81</v>
      </c>
      <c r="B36">
        <v>135</v>
      </c>
      <c r="C36">
        <v>1200</v>
      </c>
      <c r="D36">
        <f t="shared" si="0"/>
        <v>270</v>
      </c>
      <c r="E36" t="s">
        <v>54</v>
      </c>
      <c r="F36" t="s">
        <v>46</v>
      </c>
    </row>
    <row r="37" spans="1:6" ht="15" customHeight="1" x14ac:dyDescent="0.25">
      <c r="A37" t="s">
        <v>82</v>
      </c>
      <c r="B37">
        <v>135</v>
      </c>
      <c r="C37">
        <v>1200</v>
      </c>
      <c r="D37">
        <f t="shared" si="0"/>
        <v>270</v>
      </c>
      <c r="E37" t="s">
        <v>53</v>
      </c>
      <c r="F37" t="s">
        <v>46</v>
      </c>
    </row>
    <row r="38" spans="1:6" ht="15" customHeight="1" x14ac:dyDescent="0.25">
      <c r="A38" t="s">
        <v>385</v>
      </c>
      <c r="B38">
        <v>135</v>
      </c>
      <c r="C38">
        <v>1200</v>
      </c>
      <c r="D38">
        <f t="shared" si="0"/>
        <v>270</v>
      </c>
      <c r="E38" t="s">
        <v>54</v>
      </c>
      <c r="F38" t="s">
        <v>47</v>
      </c>
    </row>
    <row r="39" spans="1:6" ht="15.75" customHeight="1" x14ac:dyDescent="0.25">
      <c r="A39" t="s">
        <v>386</v>
      </c>
      <c r="B39">
        <v>135</v>
      </c>
      <c r="C39">
        <v>5000</v>
      </c>
      <c r="D39">
        <f t="shared" si="0"/>
        <v>270</v>
      </c>
      <c r="E39" t="s">
        <v>53</v>
      </c>
      <c r="F39" t="s">
        <v>47</v>
      </c>
    </row>
    <row r="40" spans="1:6" ht="15" customHeight="1" x14ac:dyDescent="0.25">
      <c r="A40" t="s">
        <v>387</v>
      </c>
      <c r="B40">
        <v>135</v>
      </c>
      <c r="C40">
        <v>5000</v>
      </c>
      <c r="D40">
        <f t="shared" si="0"/>
        <v>270</v>
      </c>
      <c r="E40" t="s">
        <v>359</v>
      </c>
      <c r="F40" t="s">
        <v>359</v>
      </c>
    </row>
    <row r="41" spans="1:6" ht="15" customHeight="1" x14ac:dyDescent="0.25">
      <c r="A41" t="s">
        <v>388</v>
      </c>
      <c r="B41">
        <v>135</v>
      </c>
      <c r="C41">
        <v>1200</v>
      </c>
      <c r="D41">
        <f t="shared" si="0"/>
        <v>270</v>
      </c>
      <c r="E41" t="s">
        <v>54</v>
      </c>
      <c r="F41" t="s">
        <v>47</v>
      </c>
    </row>
    <row r="42" spans="1:6" ht="15.75" customHeight="1" x14ac:dyDescent="0.25">
      <c r="A42" t="s">
        <v>389</v>
      </c>
      <c r="B42">
        <v>135</v>
      </c>
      <c r="C42">
        <v>5000</v>
      </c>
      <c r="D42">
        <f t="shared" si="0"/>
        <v>270</v>
      </c>
      <c r="E42" t="s">
        <v>53</v>
      </c>
      <c r="F42" t="s">
        <v>47</v>
      </c>
    </row>
    <row r="43" spans="1:6" ht="15" customHeight="1" x14ac:dyDescent="0.25">
      <c r="A43" t="s">
        <v>390</v>
      </c>
      <c r="B43">
        <v>135</v>
      </c>
      <c r="C43">
        <v>5000</v>
      </c>
      <c r="D43">
        <f t="shared" si="0"/>
        <v>270</v>
      </c>
      <c r="E43" t="s">
        <v>359</v>
      </c>
      <c r="F43" t="s">
        <v>359</v>
      </c>
    </row>
    <row r="44" spans="1:6" ht="15" customHeight="1" x14ac:dyDescent="0.25">
      <c r="A44" t="s">
        <v>391</v>
      </c>
      <c r="B44">
        <v>135</v>
      </c>
      <c r="C44">
        <v>1200</v>
      </c>
      <c r="D44">
        <f t="shared" si="0"/>
        <v>270</v>
      </c>
      <c r="E44" t="s">
        <v>54</v>
      </c>
      <c r="F44" t="s">
        <v>47</v>
      </c>
    </row>
    <row r="45" spans="1:6" ht="15.75" customHeight="1" x14ac:dyDescent="0.25">
      <c r="A45" t="s">
        <v>392</v>
      </c>
      <c r="B45">
        <v>135</v>
      </c>
      <c r="C45">
        <v>5000</v>
      </c>
      <c r="D45">
        <f t="shared" si="0"/>
        <v>270</v>
      </c>
      <c r="E45" t="s">
        <v>53</v>
      </c>
      <c r="F45" t="s">
        <v>47</v>
      </c>
    </row>
    <row r="46" spans="1:6" ht="15" customHeight="1" x14ac:dyDescent="0.25">
      <c r="A46" t="s">
        <v>393</v>
      </c>
      <c r="B46">
        <v>135</v>
      </c>
      <c r="C46">
        <v>5000</v>
      </c>
      <c r="D46">
        <f t="shared" si="0"/>
        <v>270</v>
      </c>
      <c r="E46" t="s">
        <v>359</v>
      </c>
      <c r="F46" t="s">
        <v>359</v>
      </c>
    </row>
    <row r="47" spans="1:6" ht="15" customHeight="1" x14ac:dyDescent="0.25">
      <c r="A47" t="s">
        <v>394</v>
      </c>
      <c r="B47">
        <v>132</v>
      </c>
      <c r="C47">
        <v>1200</v>
      </c>
      <c r="D47">
        <f t="shared" si="0"/>
        <v>264</v>
      </c>
      <c r="E47" t="s">
        <v>54</v>
      </c>
      <c r="F47" t="s">
        <v>46</v>
      </c>
    </row>
    <row r="48" spans="1:6" ht="15.75" customHeight="1" x14ac:dyDescent="0.25">
      <c r="A48" t="s">
        <v>395</v>
      </c>
      <c r="B48">
        <v>132</v>
      </c>
      <c r="C48">
        <v>1200</v>
      </c>
      <c r="D48">
        <f t="shared" si="0"/>
        <v>264</v>
      </c>
      <c r="E48" t="s">
        <v>53</v>
      </c>
      <c r="F48" t="s">
        <v>46</v>
      </c>
    </row>
    <row r="49" spans="1:6" ht="15" customHeight="1" x14ac:dyDescent="0.25">
      <c r="A49" t="s">
        <v>396</v>
      </c>
      <c r="B49">
        <v>135</v>
      </c>
      <c r="C49">
        <v>1200</v>
      </c>
      <c r="D49">
        <f t="shared" si="0"/>
        <v>270</v>
      </c>
      <c r="E49" t="s">
        <v>54</v>
      </c>
      <c r="F49" t="s">
        <v>47</v>
      </c>
    </row>
    <row r="50" spans="1:6" ht="15" customHeight="1" x14ac:dyDescent="0.25">
      <c r="A50" t="s">
        <v>397</v>
      </c>
      <c r="B50">
        <v>135</v>
      </c>
      <c r="C50">
        <v>5000</v>
      </c>
      <c r="D50">
        <f t="shared" si="0"/>
        <v>270</v>
      </c>
      <c r="E50" t="s">
        <v>53</v>
      </c>
      <c r="F50" t="s">
        <v>47</v>
      </c>
    </row>
    <row r="51" spans="1:6" ht="15.75" customHeight="1" x14ac:dyDescent="0.25">
      <c r="A51" t="s">
        <v>398</v>
      </c>
      <c r="B51">
        <v>135</v>
      </c>
      <c r="C51">
        <v>5000</v>
      </c>
      <c r="D51">
        <f t="shared" si="0"/>
        <v>270</v>
      </c>
      <c r="E51" t="s">
        <v>359</v>
      </c>
      <c r="F51" t="s">
        <v>359</v>
      </c>
    </row>
    <row r="52" spans="1:6" ht="15" customHeight="1" x14ac:dyDescent="0.25">
      <c r="A52" t="s">
        <v>399</v>
      </c>
      <c r="B52">
        <v>150</v>
      </c>
      <c r="C52">
        <v>1200</v>
      </c>
      <c r="D52">
        <f t="shared" si="0"/>
        <v>300</v>
      </c>
      <c r="E52" t="s">
        <v>54</v>
      </c>
      <c r="F52" t="s">
        <v>46</v>
      </c>
    </row>
    <row r="53" spans="1:6" ht="15" customHeight="1" x14ac:dyDescent="0.25">
      <c r="A53" t="s">
        <v>400</v>
      </c>
      <c r="B53">
        <v>150</v>
      </c>
      <c r="C53">
        <v>1200</v>
      </c>
      <c r="D53">
        <f t="shared" si="0"/>
        <v>300</v>
      </c>
      <c r="E53" t="s">
        <v>53</v>
      </c>
      <c r="F53" t="s">
        <v>46</v>
      </c>
    </row>
    <row r="54" spans="1:6" ht="15.75" customHeight="1" x14ac:dyDescent="0.25">
      <c r="A54" t="s">
        <v>401</v>
      </c>
      <c r="B54">
        <v>135</v>
      </c>
      <c r="C54">
        <v>1200</v>
      </c>
      <c r="D54">
        <f t="shared" si="0"/>
        <v>270</v>
      </c>
      <c r="E54" t="s">
        <v>54</v>
      </c>
      <c r="F54" t="s">
        <v>47</v>
      </c>
    </row>
    <row r="55" spans="1:6" ht="15" customHeight="1" x14ac:dyDescent="0.25">
      <c r="A55" t="s">
        <v>402</v>
      </c>
      <c r="B55">
        <v>135</v>
      </c>
      <c r="C55">
        <v>5000</v>
      </c>
      <c r="D55">
        <f t="shared" si="0"/>
        <v>270</v>
      </c>
      <c r="E55" t="s">
        <v>53</v>
      </c>
      <c r="F55" t="s">
        <v>47</v>
      </c>
    </row>
    <row r="56" spans="1:6" ht="15" customHeight="1" x14ac:dyDescent="0.25">
      <c r="A56" t="s">
        <v>403</v>
      </c>
      <c r="B56">
        <v>135</v>
      </c>
      <c r="C56">
        <v>5000</v>
      </c>
      <c r="D56">
        <f t="shared" si="0"/>
        <v>270</v>
      </c>
      <c r="E56" t="s">
        <v>359</v>
      </c>
      <c r="F56" t="s">
        <v>359</v>
      </c>
    </row>
    <row r="57" spans="1:6" ht="15.75" customHeight="1" x14ac:dyDescent="0.25">
      <c r="A57" t="s">
        <v>404</v>
      </c>
      <c r="B57">
        <v>135</v>
      </c>
      <c r="C57">
        <v>1200</v>
      </c>
      <c r="D57">
        <f t="shared" si="0"/>
        <v>270</v>
      </c>
      <c r="E57" t="s">
        <v>54</v>
      </c>
      <c r="F57" t="s">
        <v>46</v>
      </c>
    </row>
    <row r="58" spans="1:6" ht="15" customHeight="1" x14ac:dyDescent="0.25">
      <c r="A58" t="s">
        <v>405</v>
      </c>
      <c r="B58">
        <v>135</v>
      </c>
      <c r="C58">
        <v>5000</v>
      </c>
      <c r="D58">
        <f t="shared" si="0"/>
        <v>270</v>
      </c>
      <c r="E58" t="s">
        <v>53</v>
      </c>
      <c r="F58" t="s">
        <v>46</v>
      </c>
    </row>
    <row r="59" spans="1:6" ht="15" customHeight="1" x14ac:dyDescent="0.25">
      <c r="A59" t="s">
        <v>406</v>
      </c>
      <c r="B59">
        <v>135</v>
      </c>
      <c r="C59">
        <v>1200</v>
      </c>
      <c r="D59">
        <f t="shared" si="0"/>
        <v>270</v>
      </c>
      <c r="E59" t="s">
        <v>54</v>
      </c>
      <c r="F59" t="s">
        <v>47</v>
      </c>
    </row>
    <row r="60" spans="1:6" ht="15.75" customHeight="1" x14ac:dyDescent="0.25">
      <c r="A60" t="s">
        <v>256</v>
      </c>
      <c r="B60">
        <v>135</v>
      </c>
      <c r="C60">
        <v>5000</v>
      </c>
      <c r="D60">
        <f t="shared" si="0"/>
        <v>270</v>
      </c>
      <c r="E60" t="s">
        <v>53</v>
      </c>
      <c r="F60" t="s">
        <v>47</v>
      </c>
    </row>
    <row r="61" spans="1:6" ht="15" customHeight="1" x14ac:dyDescent="0.25">
      <c r="A61" t="s">
        <v>407</v>
      </c>
      <c r="B61">
        <v>135</v>
      </c>
      <c r="C61">
        <v>5000</v>
      </c>
      <c r="D61">
        <f t="shared" si="0"/>
        <v>270</v>
      </c>
      <c r="E61" t="s">
        <v>359</v>
      </c>
      <c r="F61" t="s">
        <v>359</v>
      </c>
    </row>
    <row r="62" spans="1:6" ht="15" customHeight="1" x14ac:dyDescent="0.25">
      <c r="A62" t="s">
        <v>408</v>
      </c>
      <c r="B62">
        <v>132</v>
      </c>
      <c r="C62">
        <v>1200</v>
      </c>
      <c r="D62">
        <f t="shared" si="0"/>
        <v>264</v>
      </c>
      <c r="E62" t="s">
        <v>54</v>
      </c>
      <c r="F62" t="s">
        <v>46</v>
      </c>
    </row>
    <row r="63" spans="1:6" ht="15.75" customHeight="1" x14ac:dyDescent="0.25">
      <c r="A63" t="s">
        <v>409</v>
      </c>
      <c r="B63">
        <v>132</v>
      </c>
      <c r="C63">
        <v>1200</v>
      </c>
      <c r="D63">
        <f t="shared" si="0"/>
        <v>264</v>
      </c>
      <c r="E63" t="s">
        <v>53</v>
      </c>
      <c r="F63" t="s">
        <v>46</v>
      </c>
    </row>
    <row r="64" spans="1:6" ht="15" customHeight="1" x14ac:dyDescent="0.25">
      <c r="A64" t="s">
        <v>410</v>
      </c>
      <c r="B64">
        <v>135</v>
      </c>
      <c r="C64">
        <v>1200</v>
      </c>
      <c r="D64">
        <f t="shared" si="0"/>
        <v>270</v>
      </c>
      <c r="E64" t="s">
        <v>54</v>
      </c>
      <c r="F64" t="s">
        <v>47</v>
      </c>
    </row>
    <row r="65" spans="1:6" ht="15" customHeight="1" x14ac:dyDescent="0.25">
      <c r="A65" t="s">
        <v>411</v>
      </c>
      <c r="B65">
        <v>135</v>
      </c>
      <c r="C65">
        <v>5000</v>
      </c>
      <c r="D65">
        <f t="shared" si="0"/>
        <v>270</v>
      </c>
      <c r="E65" t="s">
        <v>53</v>
      </c>
      <c r="F65" t="s">
        <v>47</v>
      </c>
    </row>
    <row r="66" spans="1:6" ht="15.75" customHeight="1" x14ac:dyDescent="0.25">
      <c r="A66" t="s">
        <v>412</v>
      </c>
      <c r="B66">
        <v>135</v>
      </c>
      <c r="C66">
        <v>5000</v>
      </c>
      <c r="D66">
        <f t="shared" si="0"/>
        <v>270</v>
      </c>
      <c r="E66" t="s">
        <v>359</v>
      </c>
      <c r="F66" t="s">
        <v>359</v>
      </c>
    </row>
    <row r="67" spans="1:6" ht="15" customHeight="1" x14ac:dyDescent="0.25">
      <c r="A67" t="s">
        <v>413</v>
      </c>
      <c r="B67">
        <v>135</v>
      </c>
      <c r="C67">
        <v>1200</v>
      </c>
      <c r="D67">
        <f t="shared" ref="D67:D130" si="1">B67*2</f>
        <v>270</v>
      </c>
      <c r="E67" t="s">
        <v>54</v>
      </c>
      <c r="F67" t="s">
        <v>46</v>
      </c>
    </row>
    <row r="68" spans="1:6" ht="15" customHeight="1" x14ac:dyDescent="0.25">
      <c r="A68" t="s">
        <v>414</v>
      </c>
      <c r="B68">
        <v>135</v>
      </c>
      <c r="C68">
        <v>1200</v>
      </c>
      <c r="D68">
        <f t="shared" si="1"/>
        <v>270</v>
      </c>
      <c r="E68" t="s">
        <v>53</v>
      </c>
      <c r="F68" t="s">
        <v>46</v>
      </c>
    </row>
    <row r="69" spans="1:6" ht="15.75" customHeight="1" x14ac:dyDescent="0.25">
      <c r="A69" t="s">
        <v>415</v>
      </c>
      <c r="B69">
        <v>135</v>
      </c>
      <c r="C69">
        <v>1200</v>
      </c>
      <c r="D69">
        <f t="shared" si="1"/>
        <v>270</v>
      </c>
      <c r="E69" t="s">
        <v>54</v>
      </c>
      <c r="F69" t="s">
        <v>47</v>
      </c>
    </row>
    <row r="70" spans="1:6" ht="15" customHeight="1" x14ac:dyDescent="0.25">
      <c r="A70" t="s">
        <v>416</v>
      </c>
      <c r="B70">
        <v>135</v>
      </c>
      <c r="C70">
        <v>5000</v>
      </c>
      <c r="D70">
        <f t="shared" si="1"/>
        <v>270</v>
      </c>
      <c r="E70" t="s">
        <v>53</v>
      </c>
      <c r="F70" t="s">
        <v>47</v>
      </c>
    </row>
    <row r="71" spans="1:6" ht="15" customHeight="1" x14ac:dyDescent="0.25">
      <c r="A71" t="s">
        <v>417</v>
      </c>
      <c r="B71">
        <v>135</v>
      </c>
      <c r="C71">
        <v>5000</v>
      </c>
      <c r="D71">
        <f t="shared" si="1"/>
        <v>270</v>
      </c>
      <c r="E71" t="s">
        <v>359</v>
      </c>
      <c r="F71" t="s">
        <v>359</v>
      </c>
    </row>
    <row r="72" spans="1:6" ht="15.75" customHeight="1" x14ac:dyDescent="0.25">
      <c r="A72" t="s">
        <v>418</v>
      </c>
      <c r="B72">
        <v>135</v>
      </c>
      <c r="C72">
        <v>1200</v>
      </c>
      <c r="D72">
        <f t="shared" si="1"/>
        <v>270</v>
      </c>
      <c r="E72" t="s">
        <v>54</v>
      </c>
      <c r="F72" t="s">
        <v>46</v>
      </c>
    </row>
    <row r="73" spans="1:6" ht="15" customHeight="1" x14ac:dyDescent="0.25">
      <c r="A73" t="s">
        <v>419</v>
      </c>
      <c r="B73">
        <v>135</v>
      </c>
      <c r="C73">
        <v>1200</v>
      </c>
      <c r="D73">
        <f t="shared" si="1"/>
        <v>270</v>
      </c>
      <c r="E73" t="s">
        <v>53</v>
      </c>
      <c r="F73" t="s">
        <v>46</v>
      </c>
    </row>
    <row r="74" spans="1:6" ht="15" customHeight="1" x14ac:dyDescent="0.25">
      <c r="A74" t="s">
        <v>274</v>
      </c>
      <c r="B74">
        <v>300</v>
      </c>
      <c r="C74">
        <v>1200</v>
      </c>
      <c r="D74">
        <f t="shared" si="1"/>
        <v>600</v>
      </c>
      <c r="E74" t="s">
        <v>49</v>
      </c>
      <c r="F74" t="s">
        <v>49</v>
      </c>
    </row>
    <row r="75" spans="1:6" ht="15.75" customHeight="1" x14ac:dyDescent="0.25">
      <c r="A75" t="s">
        <v>428</v>
      </c>
      <c r="B75">
        <v>300</v>
      </c>
      <c r="C75">
        <v>5000</v>
      </c>
      <c r="D75">
        <f t="shared" si="1"/>
        <v>600</v>
      </c>
      <c r="E75" t="s">
        <v>49</v>
      </c>
      <c r="F75" t="s">
        <v>49</v>
      </c>
    </row>
    <row r="76" spans="1:6" ht="15" customHeight="1" x14ac:dyDescent="0.25">
      <c r="A76" t="s">
        <v>429</v>
      </c>
      <c r="B76">
        <v>300</v>
      </c>
      <c r="C76">
        <v>5000</v>
      </c>
      <c r="D76">
        <f t="shared" si="1"/>
        <v>600</v>
      </c>
      <c r="E76" t="s">
        <v>49</v>
      </c>
      <c r="F76" t="s">
        <v>49</v>
      </c>
    </row>
    <row r="77" spans="1:6" ht="15" customHeight="1" x14ac:dyDescent="0.25">
      <c r="A77" t="s">
        <v>430</v>
      </c>
      <c r="B77">
        <v>300</v>
      </c>
      <c r="C77">
        <v>1200</v>
      </c>
      <c r="D77">
        <f t="shared" si="1"/>
        <v>600</v>
      </c>
      <c r="E77" t="s">
        <v>49</v>
      </c>
      <c r="F77" t="s">
        <v>49</v>
      </c>
    </row>
    <row r="78" spans="1:6" ht="15.75" customHeight="1" x14ac:dyDescent="0.25">
      <c r="A78" t="s">
        <v>431</v>
      </c>
      <c r="B78">
        <v>300</v>
      </c>
      <c r="C78">
        <v>5000</v>
      </c>
      <c r="D78">
        <f t="shared" si="1"/>
        <v>600</v>
      </c>
      <c r="E78" t="s">
        <v>49</v>
      </c>
      <c r="F78" t="s">
        <v>49</v>
      </c>
    </row>
    <row r="79" spans="1:6" ht="15" customHeight="1" x14ac:dyDescent="0.25">
      <c r="A79" t="s">
        <v>432</v>
      </c>
      <c r="B79">
        <v>300</v>
      </c>
      <c r="C79">
        <v>5000</v>
      </c>
      <c r="D79">
        <f t="shared" si="1"/>
        <v>600</v>
      </c>
      <c r="E79" t="s">
        <v>49</v>
      </c>
      <c r="F79" t="s">
        <v>49</v>
      </c>
    </row>
    <row r="80" spans="1:6" ht="15" customHeight="1" x14ac:dyDescent="0.25">
      <c r="A80" t="s">
        <v>433</v>
      </c>
      <c r="B80">
        <v>300</v>
      </c>
      <c r="C80">
        <v>1200</v>
      </c>
      <c r="D80">
        <f t="shared" si="1"/>
        <v>600</v>
      </c>
      <c r="E80" t="s">
        <v>49</v>
      </c>
      <c r="F80" t="s">
        <v>49</v>
      </c>
    </row>
    <row r="81" spans="1:6" ht="15.75" customHeight="1" x14ac:dyDescent="0.25">
      <c r="A81" t="s">
        <v>434</v>
      </c>
      <c r="B81">
        <v>300</v>
      </c>
      <c r="C81">
        <v>5000</v>
      </c>
      <c r="D81">
        <f t="shared" si="1"/>
        <v>600</v>
      </c>
      <c r="E81" t="s">
        <v>49</v>
      </c>
      <c r="F81" t="s">
        <v>49</v>
      </c>
    </row>
    <row r="82" spans="1:6" ht="15" customHeight="1" x14ac:dyDescent="0.25">
      <c r="A82" t="s">
        <v>435</v>
      </c>
      <c r="B82">
        <v>300</v>
      </c>
      <c r="C82">
        <v>5000</v>
      </c>
      <c r="D82">
        <f t="shared" si="1"/>
        <v>600</v>
      </c>
      <c r="E82" t="s">
        <v>49</v>
      </c>
      <c r="F82" t="s">
        <v>49</v>
      </c>
    </row>
    <row r="83" spans="1:6" ht="15" customHeight="1" x14ac:dyDescent="0.25">
      <c r="A83" t="s">
        <v>436</v>
      </c>
      <c r="B83">
        <v>300</v>
      </c>
      <c r="C83">
        <v>1200</v>
      </c>
      <c r="D83">
        <f t="shared" si="1"/>
        <v>600</v>
      </c>
      <c r="E83" t="s">
        <v>49</v>
      </c>
      <c r="F83" t="s">
        <v>49</v>
      </c>
    </row>
    <row r="84" spans="1:6" ht="15.75" customHeight="1" x14ac:dyDescent="0.25">
      <c r="A84" t="s">
        <v>437</v>
      </c>
      <c r="B84">
        <v>300</v>
      </c>
      <c r="C84">
        <v>1200</v>
      </c>
      <c r="D84">
        <f t="shared" si="1"/>
        <v>600</v>
      </c>
      <c r="E84" t="s">
        <v>49</v>
      </c>
      <c r="F84" t="s">
        <v>49</v>
      </c>
    </row>
    <row r="85" spans="1:6" ht="15" customHeight="1" x14ac:dyDescent="0.25">
      <c r="A85" t="s">
        <v>441</v>
      </c>
      <c r="B85">
        <v>135</v>
      </c>
      <c r="C85">
        <v>1200</v>
      </c>
      <c r="D85">
        <f t="shared" si="1"/>
        <v>270</v>
      </c>
      <c r="E85" t="s">
        <v>50</v>
      </c>
      <c r="F85" t="s">
        <v>47</v>
      </c>
    </row>
    <row r="86" spans="1:6" ht="15" customHeight="1" x14ac:dyDescent="0.25">
      <c r="A86" t="s">
        <v>442</v>
      </c>
      <c r="B86">
        <v>135</v>
      </c>
      <c r="C86">
        <v>5000</v>
      </c>
      <c r="D86">
        <f t="shared" si="1"/>
        <v>270</v>
      </c>
      <c r="E86" t="s">
        <v>51</v>
      </c>
      <c r="F86" t="s">
        <v>47</v>
      </c>
    </row>
    <row r="87" spans="1:6" ht="15.75" customHeight="1" x14ac:dyDescent="0.25">
      <c r="A87" t="s">
        <v>443</v>
      </c>
      <c r="B87">
        <v>135</v>
      </c>
      <c r="C87">
        <v>5000</v>
      </c>
      <c r="D87">
        <f t="shared" si="1"/>
        <v>270</v>
      </c>
      <c r="E87" t="s">
        <v>359</v>
      </c>
      <c r="F87" t="s">
        <v>359</v>
      </c>
    </row>
    <row r="88" spans="1:6" ht="15" customHeight="1" x14ac:dyDescent="0.25">
      <c r="A88" t="s">
        <v>444</v>
      </c>
      <c r="B88">
        <v>135</v>
      </c>
      <c r="C88">
        <v>1200</v>
      </c>
      <c r="D88">
        <f t="shared" si="1"/>
        <v>270</v>
      </c>
      <c r="E88" t="s">
        <v>50</v>
      </c>
      <c r="F88" t="s">
        <v>47</v>
      </c>
    </row>
    <row r="89" spans="1:6" ht="15" customHeight="1" x14ac:dyDescent="0.25">
      <c r="A89" t="s">
        <v>445</v>
      </c>
      <c r="B89">
        <v>135</v>
      </c>
      <c r="C89">
        <v>5000</v>
      </c>
      <c r="D89">
        <f t="shared" si="1"/>
        <v>270</v>
      </c>
      <c r="E89" t="s">
        <v>51</v>
      </c>
      <c r="F89" t="s">
        <v>47</v>
      </c>
    </row>
    <row r="90" spans="1:6" ht="15.75" customHeight="1" x14ac:dyDescent="0.25">
      <c r="A90" t="s">
        <v>446</v>
      </c>
      <c r="B90">
        <v>135</v>
      </c>
      <c r="C90">
        <v>5000</v>
      </c>
      <c r="D90">
        <f t="shared" si="1"/>
        <v>270</v>
      </c>
      <c r="E90" t="s">
        <v>359</v>
      </c>
      <c r="F90" t="s">
        <v>359</v>
      </c>
    </row>
    <row r="91" spans="1:6" ht="15" customHeight="1" x14ac:dyDescent="0.25">
      <c r="A91" t="s">
        <v>447</v>
      </c>
      <c r="B91">
        <v>150</v>
      </c>
      <c r="C91">
        <v>1200</v>
      </c>
      <c r="D91">
        <f t="shared" si="1"/>
        <v>300</v>
      </c>
      <c r="E91" t="s">
        <v>50</v>
      </c>
      <c r="F91" t="s">
        <v>48</v>
      </c>
    </row>
    <row r="92" spans="1:6" ht="15" customHeight="1" x14ac:dyDescent="0.25">
      <c r="A92" t="s">
        <v>448</v>
      </c>
      <c r="B92">
        <v>150</v>
      </c>
      <c r="C92">
        <v>600</v>
      </c>
      <c r="D92">
        <f t="shared" si="1"/>
        <v>300</v>
      </c>
      <c r="E92" t="s">
        <v>50</v>
      </c>
      <c r="F92" t="s">
        <v>357</v>
      </c>
    </row>
    <row r="93" spans="1:6" ht="15.75" customHeight="1" x14ac:dyDescent="0.25">
      <c r="A93" t="s">
        <v>449</v>
      </c>
      <c r="B93">
        <v>150</v>
      </c>
      <c r="C93">
        <v>1200</v>
      </c>
      <c r="D93">
        <f t="shared" si="1"/>
        <v>300</v>
      </c>
      <c r="E93" t="s">
        <v>50</v>
      </c>
      <c r="F93" t="s">
        <v>47</v>
      </c>
    </row>
    <row r="94" spans="1:6" ht="15" customHeight="1" x14ac:dyDescent="0.25">
      <c r="A94" t="s">
        <v>450</v>
      </c>
      <c r="B94">
        <v>150</v>
      </c>
      <c r="C94">
        <v>5000</v>
      </c>
      <c r="D94">
        <f t="shared" si="1"/>
        <v>300</v>
      </c>
      <c r="E94" t="s">
        <v>51</v>
      </c>
      <c r="F94" t="s">
        <v>47</v>
      </c>
    </row>
    <row r="95" spans="1:6" ht="15" customHeight="1" x14ac:dyDescent="0.25">
      <c r="A95" t="s">
        <v>451</v>
      </c>
      <c r="B95">
        <v>150</v>
      </c>
      <c r="C95">
        <v>5000</v>
      </c>
      <c r="D95">
        <f t="shared" si="1"/>
        <v>300</v>
      </c>
      <c r="E95" t="s">
        <v>359</v>
      </c>
      <c r="F95" t="s">
        <v>359</v>
      </c>
    </row>
    <row r="96" spans="1:6" ht="15.75" customHeight="1" x14ac:dyDescent="0.25">
      <c r="A96" t="s">
        <v>452</v>
      </c>
      <c r="B96">
        <v>150</v>
      </c>
      <c r="C96">
        <v>1200</v>
      </c>
      <c r="D96">
        <f t="shared" si="1"/>
        <v>300</v>
      </c>
      <c r="E96" t="s">
        <v>50</v>
      </c>
      <c r="F96" t="s">
        <v>48</v>
      </c>
    </row>
    <row r="97" spans="1:6" ht="15" customHeight="1" x14ac:dyDescent="0.25">
      <c r="A97" t="s">
        <v>453</v>
      </c>
      <c r="B97">
        <v>150</v>
      </c>
      <c r="C97">
        <v>600</v>
      </c>
      <c r="D97">
        <f t="shared" si="1"/>
        <v>300</v>
      </c>
      <c r="E97" t="s">
        <v>50</v>
      </c>
      <c r="F97" t="s">
        <v>357</v>
      </c>
    </row>
    <row r="98" spans="1:6" ht="15" customHeight="1" x14ac:dyDescent="0.25">
      <c r="A98" t="s">
        <v>454</v>
      </c>
      <c r="B98">
        <v>150</v>
      </c>
      <c r="C98">
        <v>1200</v>
      </c>
      <c r="D98">
        <f t="shared" si="1"/>
        <v>300</v>
      </c>
      <c r="E98" t="s">
        <v>50</v>
      </c>
      <c r="F98" t="s">
        <v>48</v>
      </c>
    </row>
    <row r="99" spans="1:6" ht="15.75" customHeight="1" x14ac:dyDescent="0.25">
      <c r="A99" t="s">
        <v>455</v>
      </c>
      <c r="B99">
        <v>150</v>
      </c>
      <c r="C99">
        <v>1200</v>
      </c>
      <c r="D99">
        <f t="shared" si="1"/>
        <v>300</v>
      </c>
      <c r="E99" t="s">
        <v>50</v>
      </c>
      <c r="F99" t="s">
        <v>46</v>
      </c>
    </row>
    <row r="100" spans="1:6" ht="15" customHeight="1" x14ac:dyDescent="0.25">
      <c r="A100" t="s">
        <v>456</v>
      </c>
      <c r="B100">
        <v>150</v>
      </c>
      <c r="C100">
        <v>1200</v>
      </c>
      <c r="D100">
        <f t="shared" si="1"/>
        <v>300</v>
      </c>
      <c r="E100" t="s">
        <v>51</v>
      </c>
      <c r="F100" t="s">
        <v>46</v>
      </c>
    </row>
    <row r="101" spans="1:6" ht="15" customHeight="1" x14ac:dyDescent="0.25">
      <c r="A101" t="s">
        <v>457</v>
      </c>
      <c r="B101">
        <v>150</v>
      </c>
      <c r="C101">
        <v>1200</v>
      </c>
      <c r="D101">
        <f t="shared" si="1"/>
        <v>300</v>
      </c>
      <c r="E101" t="s">
        <v>50</v>
      </c>
      <c r="F101" t="s">
        <v>47</v>
      </c>
    </row>
    <row r="102" spans="1:6" ht="15.75" customHeight="1" x14ac:dyDescent="0.25">
      <c r="A102" t="s">
        <v>458</v>
      </c>
      <c r="B102">
        <v>150</v>
      </c>
      <c r="C102">
        <v>5000</v>
      </c>
      <c r="D102">
        <f t="shared" si="1"/>
        <v>300</v>
      </c>
      <c r="E102" t="s">
        <v>51</v>
      </c>
      <c r="F102" t="s">
        <v>47</v>
      </c>
    </row>
    <row r="103" spans="1:6" ht="15" customHeight="1" x14ac:dyDescent="0.25">
      <c r="A103" t="s">
        <v>459</v>
      </c>
      <c r="B103">
        <v>150</v>
      </c>
      <c r="C103">
        <v>5000</v>
      </c>
      <c r="D103">
        <f t="shared" si="1"/>
        <v>300</v>
      </c>
      <c r="E103" t="s">
        <v>359</v>
      </c>
      <c r="F103" t="s">
        <v>359</v>
      </c>
    </row>
    <row r="104" spans="1:6" ht="15" customHeight="1" x14ac:dyDescent="0.25">
      <c r="A104" t="s">
        <v>460</v>
      </c>
      <c r="B104">
        <v>135</v>
      </c>
      <c r="C104">
        <v>1200</v>
      </c>
      <c r="D104">
        <f t="shared" si="1"/>
        <v>270</v>
      </c>
      <c r="E104" t="s">
        <v>50</v>
      </c>
      <c r="F104" t="s">
        <v>47</v>
      </c>
    </row>
    <row r="105" spans="1:6" ht="15.75" customHeight="1" x14ac:dyDescent="0.25">
      <c r="A105" t="s">
        <v>461</v>
      </c>
      <c r="B105">
        <v>135</v>
      </c>
      <c r="C105">
        <v>5000</v>
      </c>
      <c r="D105">
        <f t="shared" si="1"/>
        <v>270</v>
      </c>
      <c r="E105" t="s">
        <v>51</v>
      </c>
      <c r="F105" t="s">
        <v>47</v>
      </c>
    </row>
    <row r="106" spans="1:6" ht="15" customHeight="1" x14ac:dyDescent="0.25">
      <c r="A106" t="s">
        <v>462</v>
      </c>
      <c r="B106">
        <v>135</v>
      </c>
      <c r="C106">
        <v>5000</v>
      </c>
      <c r="D106">
        <f t="shared" si="1"/>
        <v>270</v>
      </c>
      <c r="E106" t="s">
        <v>359</v>
      </c>
      <c r="F106" t="s">
        <v>359</v>
      </c>
    </row>
    <row r="107" spans="1:6" ht="15" customHeight="1" x14ac:dyDescent="0.25">
      <c r="A107" t="s">
        <v>463</v>
      </c>
      <c r="B107">
        <v>135</v>
      </c>
      <c r="C107">
        <v>1200</v>
      </c>
      <c r="D107">
        <f t="shared" si="1"/>
        <v>270</v>
      </c>
      <c r="E107" t="s">
        <v>50</v>
      </c>
      <c r="F107" t="s">
        <v>46</v>
      </c>
    </row>
    <row r="108" spans="1:6" ht="15.75" customHeight="1" x14ac:dyDescent="0.25">
      <c r="A108" t="s">
        <v>464</v>
      </c>
      <c r="B108">
        <v>135</v>
      </c>
      <c r="C108">
        <v>1200</v>
      </c>
      <c r="D108">
        <f t="shared" si="1"/>
        <v>270</v>
      </c>
      <c r="E108" t="s">
        <v>51</v>
      </c>
      <c r="F108" t="s">
        <v>46</v>
      </c>
    </row>
    <row r="109" spans="1:6" ht="15" customHeight="1" x14ac:dyDescent="0.25">
      <c r="A109" t="s">
        <v>465</v>
      </c>
      <c r="B109">
        <v>135</v>
      </c>
      <c r="C109">
        <v>1200</v>
      </c>
      <c r="D109">
        <f t="shared" si="1"/>
        <v>270</v>
      </c>
      <c r="E109" t="s">
        <v>50</v>
      </c>
      <c r="F109" t="s">
        <v>47</v>
      </c>
    </row>
    <row r="110" spans="1:6" ht="15" customHeight="1" x14ac:dyDescent="0.25">
      <c r="A110" t="s">
        <v>325</v>
      </c>
      <c r="B110">
        <v>135</v>
      </c>
      <c r="C110">
        <v>5000</v>
      </c>
      <c r="D110">
        <f t="shared" si="1"/>
        <v>270</v>
      </c>
      <c r="E110" t="s">
        <v>51</v>
      </c>
      <c r="F110" t="s">
        <v>47</v>
      </c>
    </row>
    <row r="111" spans="1:6" ht="15.75" customHeight="1" x14ac:dyDescent="0.25">
      <c r="A111" t="s">
        <v>466</v>
      </c>
      <c r="B111">
        <v>135</v>
      </c>
      <c r="C111">
        <v>5000</v>
      </c>
      <c r="D111">
        <f t="shared" si="1"/>
        <v>270</v>
      </c>
      <c r="E111" t="s">
        <v>359</v>
      </c>
      <c r="F111" t="s">
        <v>359</v>
      </c>
    </row>
    <row r="112" spans="1:6" ht="15" customHeight="1" x14ac:dyDescent="0.25">
      <c r="A112" t="s">
        <v>467</v>
      </c>
      <c r="B112">
        <v>132</v>
      </c>
      <c r="C112">
        <v>1200</v>
      </c>
      <c r="D112">
        <f t="shared" si="1"/>
        <v>264</v>
      </c>
      <c r="E112" t="s">
        <v>50</v>
      </c>
      <c r="F112" t="s">
        <v>46</v>
      </c>
    </row>
    <row r="113" spans="1:6" ht="15" customHeight="1" x14ac:dyDescent="0.25">
      <c r="A113" t="s">
        <v>468</v>
      </c>
      <c r="B113">
        <v>132</v>
      </c>
      <c r="C113">
        <v>1200</v>
      </c>
      <c r="D113">
        <f t="shared" si="1"/>
        <v>264</v>
      </c>
      <c r="E113" t="s">
        <v>51</v>
      </c>
      <c r="F113" t="s">
        <v>46</v>
      </c>
    </row>
    <row r="114" spans="1:6" ht="15.75" customHeight="1" x14ac:dyDescent="0.25">
      <c r="A114" t="s">
        <v>469</v>
      </c>
      <c r="B114">
        <v>135</v>
      </c>
      <c r="C114">
        <v>1200</v>
      </c>
      <c r="D114">
        <f t="shared" si="1"/>
        <v>270</v>
      </c>
      <c r="E114" t="s">
        <v>50</v>
      </c>
      <c r="F114" t="s">
        <v>47</v>
      </c>
    </row>
    <row r="115" spans="1:6" ht="15" customHeight="1" x14ac:dyDescent="0.25">
      <c r="A115" t="s">
        <v>470</v>
      </c>
      <c r="B115">
        <v>135</v>
      </c>
      <c r="C115">
        <v>5000</v>
      </c>
      <c r="D115">
        <f t="shared" si="1"/>
        <v>270</v>
      </c>
      <c r="E115" t="s">
        <v>51</v>
      </c>
      <c r="F115" t="s">
        <v>47</v>
      </c>
    </row>
    <row r="116" spans="1:6" ht="15" customHeight="1" x14ac:dyDescent="0.25">
      <c r="A116" t="s">
        <v>471</v>
      </c>
      <c r="B116">
        <v>135</v>
      </c>
      <c r="C116">
        <v>5000</v>
      </c>
      <c r="D116">
        <f t="shared" si="1"/>
        <v>270</v>
      </c>
      <c r="E116" t="s">
        <v>359</v>
      </c>
      <c r="F116" t="s">
        <v>359</v>
      </c>
    </row>
    <row r="117" spans="1:6" ht="15.75" customHeight="1" x14ac:dyDescent="0.25">
      <c r="A117" t="s">
        <v>472</v>
      </c>
      <c r="B117">
        <v>135</v>
      </c>
      <c r="C117">
        <v>1200</v>
      </c>
      <c r="D117">
        <f t="shared" si="1"/>
        <v>270</v>
      </c>
      <c r="E117" t="s">
        <v>50</v>
      </c>
      <c r="F117" t="s">
        <v>47</v>
      </c>
    </row>
    <row r="118" spans="1:6" ht="15" customHeight="1" x14ac:dyDescent="0.25">
      <c r="A118" t="s">
        <v>473</v>
      </c>
      <c r="B118">
        <v>135</v>
      </c>
      <c r="C118">
        <v>5000</v>
      </c>
      <c r="D118">
        <f t="shared" si="1"/>
        <v>270</v>
      </c>
      <c r="E118" t="s">
        <v>51</v>
      </c>
      <c r="F118" t="s">
        <v>47</v>
      </c>
    </row>
    <row r="119" spans="1:6" ht="15" customHeight="1" x14ac:dyDescent="0.25">
      <c r="A119" t="s">
        <v>474</v>
      </c>
      <c r="B119">
        <v>135</v>
      </c>
      <c r="C119">
        <v>5000</v>
      </c>
      <c r="D119">
        <f t="shared" si="1"/>
        <v>270</v>
      </c>
      <c r="E119" t="s">
        <v>359</v>
      </c>
      <c r="F119" t="s">
        <v>359</v>
      </c>
    </row>
    <row r="120" spans="1:6" ht="15.75" customHeight="1" x14ac:dyDescent="0.25">
      <c r="A120" t="s">
        <v>475</v>
      </c>
      <c r="B120">
        <v>150</v>
      </c>
      <c r="C120">
        <v>1200</v>
      </c>
      <c r="D120">
        <f t="shared" si="1"/>
        <v>300</v>
      </c>
      <c r="E120" t="s">
        <v>50</v>
      </c>
      <c r="F120" t="s">
        <v>47</v>
      </c>
    </row>
    <row r="121" spans="1:6" ht="15" customHeight="1" x14ac:dyDescent="0.25">
      <c r="A121" t="s">
        <v>476</v>
      </c>
      <c r="B121">
        <v>150</v>
      </c>
      <c r="C121">
        <v>5000</v>
      </c>
      <c r="D121">
        <f t="shared" si="1"/>
        <v>300</v>
      </c>
      <c r="E121" t="s">
        <v>51</v>
      </c>
      <c r="F121" t="s">
        <v>47</v>
      </c>
    </row>
    <row r="122" spans="1:6" ht="15" customHeight="1" x14ac:dyDescent="0.25">
      <c r="A122" t="s">
        <v>477</v>
      </c>
      <c r="B122">
        <v>150</v>
      </c>
      <c r="C122">
        <v>5000</v>
      </c>
      <c r="D122">
        <f t="shared" si="1"/>
        <v>300</v>
      </c>
      <c r="E122" t="s">
        <v>359</v>
      </c>
      <c r="F122" t="s">
        <v>359</v>
      </c>
    </row>
    <row r="123" spans="1:6" ht="15.75" customHeight="1" x14ac:dyDescent="0.25">
      <c r="A123" t="s">
        <v>478</v>
      </c>
      <c r="B123">
        <v>150</v>
      </c>
      <c r="C123">
        <v>1200</v>
      </c>
      <c r="D123">
        <f t="shared" si="1"/>
        <v>300</v>
      </c>
      <c r="E123" t="s">
        <v>50</v>
      </c>
      <c r="F123" t="s">
        <v>46</v>
      </c>
    </row>
    <row r="124" spans="1:6" ht="15" customHeight="1" x14ac:dyDescent="0.25">
      <c r="A124" t="s">
        <v>479</v>
      </c>
      <c r="B124">
        <v>150</v>
      </c>
      <c r="C124">
        <v>1200</v>
      </c>
      <c r="D124">
        <f t="shared" si="1"/>
        <v>300</v>
      </c>
      <c r="E124" t="s">
        <v>51</v>
      </c>
      <c r="F124" t="s">
        <v>46</v>
      </c>
    </row>
    <row r="125" spans="1:6" ht="15" customHeight="1" x14ac:dyDescent="0.25">
      <c r="A125" t="s">
        <v>480</v>
      </c>
      <c r="B125">
        <v>150</v>
      </c>
      <c r="C125">
        <v>1200</v>
      </c>
      <c r="D125">
        <f t="shared" si="1"/>
        <v>300</v>
      </c>
      <c r="E125" t="s">
        <v>50</v>
      </c>
      <c r="F125" t="s">
        <v>47</v>
      </c>
    </row>
    <row r="126" spans="1:6" ht="15.75" customHeight="1" x14ac:dyDescent="0.25">
      <c r="A126" t="s">
        <v>481</v>
      </c>
      <c r="B126">
        <v>150</v>
      </c>
      <c r="C126">
        <v>5000</v>
      </c>
      <c r="D126">
        <f t="shared" si="1"/>
        <v>300</v>
      </c>
      <c r="E126" t="s">
        <v>51</v>
      </c>
      <c r="F126" t="s">
        <v>47</v>
      </c>
    </row>
    <row r="127" spans="1:6" ht="15" customHeight="1" x14ac:dyDescent="0.25">
      <c r="A127" t="s">
        <v>482</v>
      </c>
      <c r="B127">
        <v>150</v>
      </c>
      <c r="C127">
        <v>5000</v>
      </c>
      <c r="D127">
        <f t="shared" si="1"/>
        <v>300</v>
      </c>
      <c r="E127" t="s">
        <v>359</v>
      </c>
      <c r="F127" t="s">
        <v>359</v>
      </c>
    </row>
    <row r="128" spans="1:6" ht="15" customHeight="1" x14ac:dyDescent="0.25">
      <c r="A128" t="s">
        <v>483</v>
      </c>
      <c r="B128">
        <v>135</v>
      </c>
      <c r="C128">
        <v>1200</v>
      </c>
      <c r="D128">
        <f t="shared" si="1"/>
        <v>270</v>
      </c>
      <c r="E128" t="s">
        <v>50</v>
      </c>
      <c r="F128" t="s">
        <v>47</v>
      </c>
    </row>
    <row r="129" spans="1:6" ht="15.75" customHeight="1" x14ac:dyDescent="0.25">
      <c r="A129" t="s">
        <v>484</v>
      </c>
      <c r="B129">
        <v>135</v>
      </c>
      <c r="C129">
        <v>5000</v>
      </c>
      <c r="D129">
        <f t="shared" si="1"/>
        <v>270</v>
      </c>
      <c r="E129" t="s">
        <v>51</v>
      </c>
      <c r="F129" t="s">
        <v>47</v>
      </c>
    </row>
    <row r="130" spans="1:6" ht="15" customHeight="1" x14ac:dyDescent="0.25">
      <c r="A130" t="s">
        <v>485</v>
      </c>
      <c r="B130">
        <v>135</v>
      </c>
      <c r="C130">
        <v>5000</v>
      </c>
      <c r="D130">
        <f t="shared" si="1"/>
        <v>270</v>
      </c>
      <c r="E130" t="s">
        <v>359</v>
      </c>
      <c r="F130" t="s">
        <v>359</v>
      </c>
    </row>
    <row r="131" spans="1:6" ht="15" customHeight="1" x14ac:dyDescent="0.25">
      <c r="A131" t="s">
        <v>486</v>
      </c>
      <c r="B131">
        <v>135</v>
      </c>
      <c r="C131">
        <v>1200</v>
      </c>
      <c r="D131">
        <f t="shared" ref="D131:D141" si="2">B131*2</f>
        <v>270</v>
      </c>
      <c r="E131" t="s">
        <v>50</v>
      </c>
      <c r="F131" t="s">
        <v>46</v>
      </c>
    </row>
    <row r="132" spans="1:6" ht="15.75" customHeight="1" x14ac:dyDescent="0.25">
      <c r="A132" t="s">
        <v>487</v>
      </c>
      <c r="B132">
        <v>135</v>
      </c>
      <c r="C132">
        <v>1200</v>
      </c>
      <c r="D132">
        <f t="shared" si="2"/>
        <v>270</v>
      </c>
      <c r="E132" t="s">
        <v>51</v>
      </c>
      <c r="F132" t="s">
        <v>46</v>
      </c>
    </row>
    <row r="133" spans="1:6" ht="15" customHeight="1" x14ac:dyDescent="0.25">
      <c r="A133" t="s">
        <v>488</v>
      </c>
      <c r="B133">
        <v>135</v>
      </c>
      <c r="C133">
        <v>1200</v>
      </c>
      <c r="D133">
        <f t="shared" si="2"/>
        <v>270</v>
      </c>
      <c r="E133" t="s">
        <v>50</v>
      </c>
      <c r="F133" t="s">
        <v>47</v>
      </c>
    </row>
    <row r="134" spans="1:6" ht="15" customHeight="1" x14ac:dyDescent="0.25">
      <c r="A134" t="s">
        <v>338</v>
      </c>
      <c r="B134">
        <v>135</v>
      </c>
      <c r="C134">
        <v>5000</v>
      </c>
      <c r="D134">
        <f t="shared" si="2"/>
        <v>270</v>
      </c>
      <c r="E134" t="s">
        <v>51</v>
      </c>
      <c r="F134" t="s">
        <v>47</v>
      </c>
    </row>
    <row r="135" spans="1:6" ht="15.75" customHeight="1" x14ac:dyDescent="0.25">
      <c r="A135" t="s">
        <v>489</v>
      </c>
      <c r="B135">
        <v>135</v>
      </c>
      <c r="C135">
        <v>5000</v>
      </c>
      <c r="D135">
        <f t="shared" si="2"/>
        <v>270</v>
      </c>
      <c r="E135" t="s">
        <v>359</v>
      </c>
      <c r="F135" t="s">
        <v>359</v>
      </c>
    </row>
    <row r="136" spans="1:6" ht="15" customHeight="1" x14ac:dyDescent="0.25">
      <c r="A136" t="s">
        <v>490</v>
      </c>
      <c r="B136">
        <v>132</v>
      </c>
      <c r="C136">
        <v>1200</v>
      </c>
      <c r="D136">
        <f t="shared" si="2"/>
        <v>264</v>
      </c>
      <c r="E136" t="s">
        <v>50</v>
      </c>
      <c r="F136" t="s">
        <v>46</v>
      </c>
    </row>
    <row r="137" spans="1:6" ht="15" customHeight="1" x14ac:dyDescent="0.25">
      <c r="A137" t="s">
        <v>491</v>
      </c>
      <c r="B137">
        <v>132</v>
      </c>
      <c r="C137">
        <v>1200</v>
      </c>
      <c r="D137">
        <f t="shared" si="2"/>
        <v>264</v>
      </c>
      <c r="E137" t="s">
        <v>51</v>
      </c>
      <c r="F137" t="s">
        <v>46</v>
      </c>
    </row>
    <row r="138" spans="1:6" ht="15.75" customHeight="1" x14ac:dyDescent="0.25">
      <c r="A138" t="s">
        <v>341</v>
      </c>
      <c r="B138">
        <v>132</v>
      </c>
      <c r="C138">
        <v>1200</v>
      </c>
      <c r="D138">
        <f t="shared" si="2"/>
        <v>264</v>
      </c>
      <c r="E138" t="s">
        <v>50</v>
      </c>
      <c r="F138" t="s">
        <v>46</v>
      </c>
    </row>
    <row r="139" spans="1:6" ht="15" customHeight="1" x14ac:dyDescent="0.25">
      <c r="A139" t="s">
        <v>492</v>
      </c>
      <c r="B139">
        <v>132</v>
      </c>
      <c r="C139">
        <v>1200</v>
      </c>
      <c r="D139">
        <f t="shared" si="2"/>
        <v>264</v>
      </c>
      <c r="E139" t="s">
        <v>51</v>
      </c>
      <c r="F139" t="s">
        <v>46</v>
      </c>
    </row>
    <row r="140" spans="1:6" ht="15" customHeight="1" x14ac:dyDescent="0.25">
      <c r="A140" t="s">
        <v>493</v>
      </c>
      <c r="B140">
        <v>132</v>
      </c>
      <c r="C140">
        <v>1200</v>
      </c>
      <c r="D140">
        <f t="shared" si="2"/>
        <v>264</v>
      </c>
      <c r="E140" t="s">
        <v>50</v>
      </c>
      <c r="F140" t="s">
        <v>46</v>
      </c>
    </row>
    <row r="141" spans="1:6" ht="15.75" customHeight="1" x14ac:dyDescent="0.25">
      <c r="A141" t="s">
        <v>347</v>
      </c>
      <c r="B141">
        <v>132</v>
      </c>
      <c r="C141">
        <v>1200</v>
      </c>
      <c r="D141">
        <f t="shared" si="2"/>
        <v>264</v>
      </c>
      <c r="E141" t="s">
        <v>51</v>
      </c>
      <c r="F141" t="s">
        <v>46</v>
      </c>
    </row>
    <row r="144" spans="1:6" x14ac:dyDescent="0.25">
      <c r="A144" t="s">
        <v>50</v>
      </c>
      <c r="B144" t="s">
        <v>54</v>
      </c>
    </row>
    <row r="145" spans="1:2" x14ac:dyDescent="0.25">
      <c r="A145" t="s">
        <v>54</v>
      </c>
      <c r="B145" t="s">
        <v>54</v>
      </c>
    </row>
    <row r="146" spans="1:2" x14ac:dyDescent="0.25">
      <c r="A146" t="s">
        <v>51</v>
      </c>
      <c r="B146" t="s">
        <v>53</v>
      </c>
    </row>
    <row r="147" spans="1:2" x14ac:dyDescent="0.25">
      <c r="A147" t="s">
        <v>53</v>
      </c>
      <c r="B147" t="s">
        <v>53</v>
      </c>
    </row>
    <row r="148" spans="1:2" x14ac:dyDescent="0.25">
      <c r="A148" t="s">
        <v>359</v>
      </c>
      <c r="B148" t="s">
        <v>359</v>
      </c>
    </row>
    <row r="149" spans="1:2" x14ac:dyDescent="0.25">
      <c r="A149" t="s">
        <v>49</v>
      </c>
      <c r="B149" t="s">
        <v>49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D4DB02-BA01-4680-9845-C0A37FC172D2}">
  <dimension ref="A1:K364"/>
  <sheetViews>
    <sheetView view="pageLayout" zoomScale="120" zoomScaleNormal="100" zoomScalePageLayoutView="120" workbookViewId="0">
      <selection activeCell="H77" sqref="H77:I77"/>
    </sheetView>
  </sheetViews>
  <sheetFormatPr defaultRowHeight="15" x14ac:dyDescent="0.25"/>
  <cols>
    <col min="1" max="10" width="8.28515625" style="20" customWidth="1"/>
    <col min="11" max="16384" width="9.140625" style="20"/>
  </cols>
  <sheetData>
    <row r="1" spans="1:11" x14ac:dyDescent="0.25">
      <c r="A1" s="86" t="s">
        <v>0</v>
      </c>
      <c r="B1" s="87"/>
      <c r="C1" s="87"/>
      <c r="D1" s="87"/>
      <c r="E1" s="87"/>
      <c r="F1" s="87"/>
      <c r="G1" s="87"/>
      <c r="H1" s="87"/>
      <c r="I1" s="87"/>
      <c r="J1" s="87"/>
      <c r="K1" s="88"/>
    </row>
    <row r="2" spans="1:11" x14ac:dyDescent="0.25">
      <c r="A2" s="89"/>
      <c r="B2" s="90"/>
      <c r="C2" s="90"/>
      <c r="D2" s="90"/>
      <c r="E2" s="90"/>
      <c r="F2" s="90"/>
      <c r="G2" s="90"/>
      <c r="H2" s="90"/>
      <c r="I2" s="90"/>
      <c r="J2" s="90"/>
      <c r="K2" s="91"/>
    </row>
    <row r="3" spans="1:11" ht="7.15" customHeight="1" x14ac:dyDescent="0.25">
      <c r="A3" s="21"/>
      <c r="B3" s="57"/>
      <c r="C3" s="57"/>
      <c r="D3" s="57"/>
      <c r="E3" s="57"/>
      <c r="F3" s="57"/>
      <c r="G3" s="57"/>
      <c r="H3" s="57"/>
      <c r="I3" s="57"/>
      <c r="J3" s="57"/>
      <c r="K3" s="22"/>
    </row>
    <row r="4" spans="1:11" ht="15.6" customHeight="1" x14ac:dyDescent="0.25">
      <c r="A4" s="23" t="s">
        <v>159</v>
      </c>
      <c r="B4" s="58"/>
      <c r="C4" s="58" t="s">
        <v>111</v>
      </c>
      <c r="D4" s="58"/>
      <c r="E4" s="58"/>
      <c r="F4" s="59"/>
      <c r="G4" s="59"/>
      <c r="H4" s="59"/>
      <c r="I4" s="59"/>
      <c r="J4" s="59"/>
      <c r="K4" s="24"/>
    </row>
    <row r="5" spans="1:11" ht="7.9" customHeight="1" x14ac:dyDescent="0.25">
      <c r="A5" s="23"/>
      <c r="B5" s="58"/>
      <c r="C5" s="58"/>
      <c r="D5" s="58"/>
      <c r="E5" s="58"/>
      <c r="F5" s="59"/>
      <c r="G5" s="59"/>
      <c r="H5" s="59"/>
      <c r="I5" s="59"/>
      <c r="J5" s="59"/>
      <c r="K5" s="24"/>
    </row>
    <row r="6" spans="1:11" ht="15.75" x14ac:dyDescent="0.25">
      <c r="A6" s="92" t="s">
        <v>37</v>
      </c>
      <c r="B6" s="93"/>
      <c r="C6" s="96">
        <v>44175</v>
      </c>
      <c r="D6" s="96"/>
      <c r="E6" s="96"/>
      <c r="F6" s="59"/>
      <c r="G6" s="97" t="s">
        <v>2</v>
      </c>
      <c r="H6" s="97"/>
      <c r="I6" s="97"/>
      <c r="J6" s="60" t="s">
        <v>195</v>
      </c>
      <c r="K6" s="24"/>
    </row>
    <row r="7" spans="1:11" ht="7.9" customHeight="1" x14ac:dyDescent="0.25">
      <c r="A7" s="94"/>
      <c r="B7" s="95"/>
      <c r="C7" s="25"/>
      <c r="D7" s="25"/>
      <c r="E7" s="25"/>
      <c r="F7" s="26"/>
      <c r="G7" s="26"/>
      <c r="H7" s="26"/>
      <c r="I7" s="26"/>
      <c r="J7" s="26"/>
      <c r="K7" s="27"/>
    </row>
    <row r="8" spans="1:11" ht="7.9" customHeight="1" x14ac:dyDescent="0.25">
      <c r="A8" s="28"/>
      <c r="B8" s="28"/>
      <c r="C8" s="28"/>
      <c r="D8" s="28"/>
      <c r="E8" s="28"/>
      <c r="F8" s="28"/>
      <c r="G8" s="28"/>
      <c r="H8" s="28"/>
      <c r="I8" s="28"/>
      <c r="J8" s="28"/>
      <c r="K8" s="28"/>
    </row>
    <row r="9" spans="1:11" x14ac:dyDescent="0.25">
      <c r="A9" s="28"/>
      <c r="B9" s="28"/>
      <c r="C9" s="28"/>
      <c r="D9" s="28"/>
      <c r="E9" s="28"/>
      <c r="F9" s="29" t="s">
        <v>3</v>
      </c>
      <c r="G9" s="30"/>
      <c r="H9" s="30"/>
      <c r="I9" s="28"/>
      <c r="J9" s="31" t="s">
        <v>10</v>
      </c>
      <c r="K9" s="31"/>
    </row>
    <row r="10" spans="1:11" x14ac:dyDescent="0.25">
      <c r="A10" s="28"/>
      <c r="B10" s="28"/>
      <c r="C10" s="28"/>
      <c r="D10" s="28"/>
      <c r="E10" s="28"/>
      <c r="F10" s="29" t="s">
        <v>4</v>
      </c>
      <c r="G10" s="30"/>
      <c r="H10" s="30"/>
      <c r="I10" s="28"/>
      <c r="J10" s="31"/>
      <c r="K10" s="31"/>
    </row>
    <row r="11" spans="1:11" x14ac:dyDescent="0.25">
      <c r="A11" s="28"/>
      <c r="B11" s="28"/>
      <c r="C11" s="28"/>
      <c r="D11" s="28"/>
      <c r="E11" s="28"/>
      <c r="F11" s="29" t="s">
        <v>5</v>
      </c>
      <c r="G11" s="30"/>
      <c r="H11" s="30"/>
      <c r="I11" s="28"/>
      <c r="J11" s="31" t="s">
        <v>9</v>
      </c>
      <c r="K11" s="31"/>
    </row>
    <row r="12" spans="1:11" x14ac:dyDescent="0.25">
      <c r="A12" s="28"/>
      <c r="B12" s="28"/>
      <c r="C12" s="28"/>
      <c r="D12" s="28"/>
      <c r="E12" s="28"/>
      <c r="F12" s="29" t="s">
        <v>6</v>
      </c>
      <c r="G12" s="30"/>
      <c r="H12" s="30"/>
      <c r="I12" s="28"/>
      <c r="J12" s="31"/>
      <c r="K12" s="31"/>
    </row>
    <row r="13" spans="1:11" x14ac:dyDescent="0.25">
      <c r="A13" s="28"/>
      <c r="B13" s="28"/>
      <c r="C13" s="28"/>
      <c r="D13" s="28"/>
      <c r="E13" s="28"/>
      <c r="F13" s="29" t="s">
        <v>7</v>
      </c>
      <c r="G13" s="30"/>
      <c r="H13" s="30"/>
      <c r="I13" s="28"/>
      <c r="J13" s="31"/>
      <c r="K13" s="31"/>
    </row>
    <row r="14" spans="1:11" x14ac:dyDescent="0.25">
      <c r="A14" s="28"/>
      <c r="B14" s="28"/>
      <c r="C14" s="28"/>
      <c r="D14" s="28"/>
      <c r="E14" s="28"/>
      <c r="F14" s="29" t="s">
        <v>8</v>
      </c>
      <c r="G14" s="30"/>
      <c r="H14" s="30"/>
      <c r="I14" s="28"/>
      <c r="J14" s="31" t="s">
        <v>38</v>
      </c>
      <c r="K14" s="31"/>
    </row>
    <row r="15" spans="1:11" ht="7.15" customHeight="1" thickBot="1" x14ac:dyDescent="0.3">
      <c r="A15" s="32"/>
      <c r="B15" s="32"/>
      <c r="C15" s="32"/>
      <c r="D15" s="32"/>
      <c r="E15" s="32"/>
      <c r="F15" s="32"/>
      <c r="G15" s="32"/>
      <c r="H15" s="32"/>
      <c r="I15" s="32"/>
      <c r="J15" s="32"/>
      <c r="K15" s="32"/>
    </row>
    <row r="16" spans="1:11" x14ac:dyDescent="0.25">
      <c r="A16" s="98"/>
      <c r="B16" s="98"/>
      <c r="C16" s="98"/>
      <c r="D16" s="98"/>
      <c r="E16" s="98"/>
      <c r="F16" s="98"/>
      <c r="G16" s="98"/>
      <c r="H16" s="98"/>
      <c r="I16" s="98"/>
      <c r="J16" s="98"/>
      <c r="K16" s="98"/>
    </row>
    <row r="17" spans="1:11" x14ac:dyDescent="0.25">
      <c r="A17" s="33" t="s">
        <v>11</v>
      </c>
      <c r="B17" s="33"/>
      <c r="C17" s="33"/>
      <c r="D17" s="33" t="s">
        <v>111</v>
      </c>
      <c r="E17" s="33"/>
      <c r="F17" s="33"/>
      <c r="G17" s="33"/>
      <c r="H17" s="33"/>
      <c r="I17" s="33"/>
      <c r="J17" s="33"/>
      <c r="K17" s="33"/>
    </row>
    <row r="18" spans="1:11" x14ac:dyDescent="0.25">
      <c r="A18" s="33"/>
      <c r="B18" s="33"/>
      <c r="C18" s="33"/>
      <c r="D18" s="34" t="s">
        <v>3</v>
      </c>
      <c r="E18" s="33"/>
      <c r="F18" s="33"/>
      <c r="G18" s="33"/>
      <c r="H18" s="33"/>
      <c r="I18" s="33"/>
      <c r="J18" s="33"/>
      <c r="K18" s="33"/>
    </row>
    <row r="19" spans="1:11" x14ac:dyDescent="0.25">
      <c r="A19" s="33"/>
      <c r="B19" s="33"/>
      <c r="C19" s="33"/>
      <c r="D19" s="34" t="s">
        <v>4</v>
      </c>
      <c r="E19" s="33"/>
      <c r="F19" s="33"/>
      <c r="G19" s="33"/>
      <c r="H19" s="33"/>
      <c r="I19" s="33"/>
      <c r="J19" s="33"/>
      <c r="K19" s="33"/>
    </row>
    <row r="20" spans="1:11" x14ac:dyDescent="0.25">
      <c r="A20" s="33"/>
      <c r="B20" s="33"/>
      <c r="C20" s="33"/>
      <c r="D20" s="34" t="s">
        <v>5</v>
      </c>
      <c r="E20" s="33"/>
      <c r="F20" s="33"/>
      <c r="G20" s="33"/>
      <c r="H20" s="33"/>
      <c r="I20" s="33"/>
      <c r="J20" s="33"/>
      <c r="K20" s="33"/>
    </row>
    <row r="21" spans="1:11" x14ac:dyDescent="0.25">
      <c r="A21" s="33"/>
      <c r="B21" s="33"/>
      <c r="C21" s="33"/>
      <c r="D21" s="34" t="s">
        <v>6</v>
      </c>
      <c r="E21" s="33"/>
      <c r="F21" s="33"/>
      <c r="G21" s="33"/>
      <c r="H21" s="33"/>
      <c r="I21" s="33"/>
      <c r="J21" s="33"/>
      <c r="K21" s="33"/>
    </row>
    <row r="22" spans="1:11" x14ac:dyDescent="0.25">
      <c r="A22" s="33"/>
      <c r="B22" s="33"/>
      <c r="C22" s="33"/>
      <c r="D22" s="34" t="s">
        <v>7</v>
      </c>
      <c r="E22" s="33"/>
      <c r="F22" s="33"/>
      <c r="G22" s="33"/>
      <c r="H22" s="33"/>
      <c r="I22" s="33"/>
      <c r="J22" s="33"/>
      <c r="K22" s="33"/>
    </row>
    <row r="23" spans="1:11" x14ac:dyDescent="0.25">
      <c r="A23" s="33"/>
      <c r="B23" s="33"/>
      <c r="C23" s="33"/>
      <c r="D23" s="29"/>
      <c r="E23" s="33"/>
      <c r="F23" s="33"/>
      <c r="G23" s="33"/>
      <c r="H23" s="33"/>
      <c r="I23" s="33"/>
      <c r="J23" s="33"/>
      <c r="K23" s="33"/>
    </row>
    <row r="24" spans="1:11" x14ac:dyDescent="0.25">
      <c r="A24" s="85" t="s">
        <v>20</v>
      </c>
      <c r="B24" s="85"/>
      <c r="C24" s="33"/>
      <c r="D24" s="55">
        <v>78546978</v>
      </c>
      <c r="E24" s="33"/>
      <c r="F24" s="33"/>
      <c r="G24" s="33"/>
      <c r="H24" s="33"/>
      <c r="I24" s="33"/>
      <c r="J24" s="33"/>
      <c r="K24" s="33"/>
    </row>
    <row r="25" spans="1:11" x14ac:dyDescent="0.25">
      <c r="A25" s="85" t="s">
        <v>31</v>
      </c>
      <c r="B25" s="85"/>
      <c r="C25" s="33"/>
      <c r="D25" s="33" t="s">
        <v>109</v>
      </c>
      <c r="E25" s="33"/>
      <c r="F25" s="33"/>
      <c r="G25" s="33"/>
      <c r="H25" s="33"/>
      <c r="I25" s="33"/>
      <c r="J25" s="33"/>
      <c r="K25" s="33"/>
    </row>
    <row r="26" spans="1:11" x14ac:dyDescent="0.25">
      <c r="A26" s="85"/>
      <c r="B26" s="85"/>
      <c r="C26" s="33"/>
      <c r="D26" s="33"/>
      <c r="E26" s="33"/>
      <c r="F26" s="33"/>
      <c r="G26" s="33"/>
      <c r="H26" s="33"/>
      <c r="I26" s="33"/>
      <c r="J26" s="33"/>
      <c r="K26" s="33"/>
    </row>
    <row r="27" spans="1:11" x14ac:dyDescent="0.25">
      <c r="A27" s="85" t="s">
        <v>21</v>
      </c>
      <c r="B27" s="85"/>
      <c r="C27" s="28"/>
      <c r="D27" s="33" t="s">
        <v>32</v>
      </c>
      <c r="E27" s="33"/>
      <c r="F27" s="33"/>
      <c r="G27" s="33"/>
      <c r="H27" s="33"/>
      <c r="I27" s="33"/>
      <c r="J27" s="33"/>
      <c r="K27" s="33"/>
    </row>
    <row r="28" spans="1:11" x14ac:dyDescent="0.25">
      <c r="A28" s="85" t="s">
        <v>22</v>
      </c>
      <c r="B28" s="85"/>
      <c r="C28" s="28"/>
      <c r="D28" s="55" t="str">
        <f>IF(Checks!C25="0","",Checks!C25)</f>
        <v/>
      </c>
      <c r="E28" s="55"/>
      <c r="F28" s="35"/>
      <c r="G28" s="33"/>
      <c r="H28" s="33"/>
      <c r="I28" s="33"/>
      <c r="J28" s="33"/>
      <c r="K28" s="33"/>
    </row>
    <row r="29" spans="1:11" x14ac:dyDescent="0.25">
      <c r="A29" s="85" t="s">
        <v>23</v>
      </c>
      <c r="B29" s="85"/>
      <c r="C29" s="28"/>
      <c r="D29" s="33" t="s">
        <v>33</v>
      </c>
      <c r="E29" s="33"/>
      <c r="F29" s="33"/>
      <c r="G29" s="33"/>
      <c r="H29" s="33"/>
      <c r="I29" s="33"/>
      <c r="J29" s="33"/>
      <c r="K29" s="33"/>
    </row>
    <row r="30" spans="1:11" x14ac:dyDescent="0.25">
      <c r="A30" s="85" t="s">
        <v>24</v>
      </c>
      <c r="B30" s="85"/>
      <c r="C30" s="28"/>
      <c r="D30" s="55">
        <v>1243</v>
      </c>
      <c r="E30" s="33"/>
      <c r="F30" s="33"/>
      <c r="G30" s="33"/>
      <c r="H30" s="33"/>
      <c r="I30" s="33"/>
      <c r="J30" s="33"/>
      <c r="K30" s="33"/>
    </row>
    <row r="31" spans="1:11" x14ac:dyDescent="0.25">
      <c r="A31" s="55"/>
      <c r="B31" s="55"/>
      <c r="C31" s="28"/>
      <c r="D31" s="55"/>
      <c r="E31" s="33"/>
      <c r="F31" s="33"/>
      <c r="G31" s="33"/>
      <c r="H31" s="33"/>
      <c r="I31" s="33"/>
      <c r="J31" s="33"/>
      <c r="K31" s="33"/>
    </row>
    <row r="32" spans="1:11" x14ac:dyDescent="0.25">
      <c r="A32" s="85" t="s">
        <v>30</v>
      </c>
      <c r="B32" s="85"/>
      <c r="C32" s="28"/>
      <c r="D32" s="33" t="s">
        <v>110</v>
      </c>
      <c r="E32" s="33"/>
      <c r="F32" s="33"/>
      <c r="G32" s="33"/>
      <c r="H32" s="33"/>
      <c r="I32" s="33"/>
      <c r="J32" s="33"/>
      <c r="K32" s="33"/>
    </row>
    <row r="33" spans="1:11" x14ac:dyDescent="0.25">
      <c r="A33" s="85"/>
      <c r="B33" s="85"/>
      <c r="C33" s="28"/>
      <c r="D33" s="33"/>
      <c r="E33" s="33"/>
      <c r="F33" s="33"/>
      <c r="G33" s="33"/>
      <c r="H33" s="33"/>
      <c r="I33" s="33"/>
      <c r="J33" s="33"/>
      <c r="K33" s="33"/>
    </row>
    <row r="34" spans="1:11" x14ac:dyDescent="0.25">
      <c r="A34" s="85" t="s">
        <v>25</v>
      </c>
      <c r="B34" s="85"/>
      <c r="C34" s="28"/>
      <c r="D34" s="100">
        <v>44175</v>
      </c>
      <c r="E34" s="100"/>
      <c r="F34" s="33"/>
      <c r="G34" s="33"/>
      <c r="H34" s="33"/>
      <c r="I34" s="33"/>
      <c r="J34" s="33"/>
      <c r="K34" s="33"/>
    </row>
    <row r="35" spans="1:11" x14ac:dyDescent="0.25">
      <c r="A35" s="85" t="s">
        <v>26</v>
      </c>
      <c r="B35" s="85"/>
      <c r="C35" s="28"/>
      <c r="D35" s="33" t="e">
        <f>VLOOKUP(D28,'3Ph data'!A:E,5,0)</f>
        <v>#N/A</v>
      </c>
      <c r="E35" s="33"/>
      <c r="F35" s="33"/>
      <c r="G35" s="33"/>
      <c r="H35" s="33"/>
      <c r="I35" s="33"/>
      <c r="J35" s="33"/>
      <c r="K35" s="33"/>
    </row>
    <row r="36" spans="1:11" x14ac:dyDescent="0.25">
      <c r="A36" s="85" t="s">
        <v>27</v>
      </c>
      <c r="B36" s="85"/>
      <c r="C36" s="28"/>
      <c r="D36" s="33" t="s">
        <v>34</v>
      </c>
      <c r="E36" s="33"/>
      <c r="F36" s="33"/>
      <c r="G36" s="33"/>
      <c r="H36" s="33"/>
      <c r="I36" s="33"/>
      <c r="J36" s="33"/>
      <c r="K36" s="33"/>
    </row>
    <row r="37" spans="1:11" x14ac:dyDescent="0.25">
      <c r="A37" s="85" t="s">
        <v>28</v>
      </c>
      <c r="B37" s="85"/>
      <c r="C37" s="28"/>
      <c r="D37" s="33" t="s">
        <v>35</v>
      </c>
      <c r="E37" s="33"/>
      <c r="F37" s="33"/>
      <c r="G37" s="33"/>
      <c r="H37" s="33"/>
      <c r="I37" s="33"/>
      <c r="J37" s="33"/>
      <c r="K37" s="33"/>
    </row>
    <row r="38" spans="1:11" x14ac:dyDescent="0.25">
      <c r="A38" s="85" t="s">
        <v>29</v>
      </c>
      <c r="B38" s="85"/>
      <c r="C38" s="28"/>
      <c r="D38" s="33" t="e">
        <f>VLOOKUP(D28,'3Ph data'!A:D,4,0)</f>
        <v>#N/A</v>
      </c>
      <c r="E38" s="33"/>
      <c r="F38" s="33"/>
      <c r="G38" s="33"/>
      <c r="H38" s="33"/>
      <c r="I38" s="33"/>
      <c r="J38" s="33"/>
      <c r="K38" s="33"/>
    </row>
    <row r="39" spans="1:11" ht="7.9" customHeight="1" x14ac:dyDescent="0.25">
      <c r="A39" s="33"/>
      <c r="B39" s="33"/>
      <c r="C39" s="33"/>
      <c r="D39" s="33"/>
      <c r="E39" s="33"/>
      <c r="F39" s="33"/>
      <c r="G39" s="33"/>
      <c r="H39" s="33"/>
      <c r="I39" s="33"/>
      <c r="J39" s="33"/>
      <c r="K39" s="33"/>
    </row>
    <row r="40" spans="1:11" x14ac:dyDescent="0.25">
      <c r="A40" s="33" t="s">
        <v>44</v>
      </c>
      <c r="B40" s="33"/>
      <c r="C40" s="33"/>
      <c r="D40" s="33"/>
      <c r="E40" s="33"/>
      <c r="F40" s="33"/>
      <c r="G40" s="33"/>
      <c r="H40" s="33"/>
      <c r="I40" s="33"/>
      <c r="J40" s="33"/>
      <c r="K40" s="33"/>
    </row>
    <row r="41" spans="1:11" ht="7.9" customHeight="1" x14ac:dyDescent="0.25">
      <c r="A41" s="33"/>
      <c r="B41" s="33"/>
      <c r="C41" s="33"/>
      <c r="D41" s="33"/>
      <c r="E41" s="33"/>
      <c r="F41" s="33"/>
      <c r="G41" s="33"/>
      <c r="H41" s="33"/>
      <c r="I41" s="33"/>
      <c r="J41" s="33"/>
      <c r="K41" s="33"/>
    </row>
    <row r="42" spans="1:11" x14ac:dyDescent="0.25">
      <c r="A42" s="85" t="s">
        <v>43</v>
      </c>
      <c r="B42" s="85"/>
      <c r="C42" s="33" t="e">
        <f>VLOOKUP(D28,'3Ph data'!A:B,2,0)</f>
        <v>#N/A</v>
      </c>
      <c r="D42" s="33"/>
      <c r="E42" s="33"/>
      <c r="F42" s="33"/>
      <c r="G42" s="33"/>
      <c r="H42" s="33"/>
      <c r="I42" s="33"/>
      <c r="J42" s="33"/>
      <c r="K42" s="33"/>
    </row>
    <row r="43" spans="1:11" x14ac:dyDescent="0.25">
      <c r="A43" s="33"/>
      <c r="B43" s="33"/>
      <c r="C43" s="33" t="e">
        <f>IF(K313="LMX","",VLOOKUP(D28,'3Ph data'!A:C,3,0))</f>
        <v>#N/A</v>
      </c>
      <c r="D43" s="33"/>
      <c r="E43" s="33"/>
      <c r="F43" s="33"/>
      <c r="G43" s="33"/>
      <c r="H43" s="33"/>
      <c r="I43" s="33"/>
      <c r="J43" s="33"/>
      <c r="K43" s="33"/>
    </row>
    <row r="44" spans="1:11" ht="7.9" customHeight="1" x14ac:dyDescent="0.25">
      <c r="A44" s="33"/>
      <c r="B44" s="33"/>
      <c r="C44" s="33"/>
      <c r="D44" s="33"/>
      <c r="E44" s="33"/>
      <c r="F44" s="33"/>
      <c r="G44" s="33"/>
      <c r="H44" s="33"/>
      <c r="I44" s="33"/>
      <c r="J44" s="33"/>
      <c r="K44" s="33"/>
    </row>
    <row r="45" spans="1:11" x14ac:dyDescent="0.25">
      <c r="A45" s="85" t="s">
        <v>92</v>
      </c>
      <c r="B45" s="85"/>
      <c r="C45" s="85"/>
      <c r="D45" s="85"/>
      <c r="E45" s="85"/>
      <c r="F45" s="85"/>
      <c r="G45" s="85"/>
      <c r="H45" s="85"/>
      <c r="I45" s="85"/>
      <c r="J45" s="85"/>
      <c r="K45" s="85"/>
    </row>
    <row r="46" spans="1:11" ht="7.9" customHeight="1" x14ac:dyDescent="0.25">
      <c r="A46" s="33"/>
      <c r="B46" s="33"/>
      <c r="C46" s="33"/>
      <c r="D46" s="33"/>
      <c r="E46" s="33"/>
      <c r="F46" s="33"/>
      <c r="G46" s="33"/>
      <c r="H46" s="33"/>
      <c r="I46" s="33"/>
      <c r="J46" s="33"/>
      <c r="K46" s="33"/>
    </row>
    <row r="47" spans="1:11" x14ac:dyDescent="0.25">
      <c r="A47" s="85" t="s">
        <v>93</v>
      </c>
      <c r="B47" s="85"/>
      <c r="C47" s="85"/>
      <c r="D47" s="85"/>
      <c r="E47" s="85"/>
      <c r="F47" s="85"/>
      <c r="G47" s="85"/>
      <c r="H47" s="85"/>
      <c r="I47" s="85"/>
      <c r="J47" s="85"/>
      <c r="K47" s="85"/>
    </row>
    <row r="48" spans="1:11" ht="7.9" customHeight="1" x14ac:dyDescent="0.25">
      <c r="A48" s="33"/>
      <c r="B48" s="33"/>
      <c r="C48" s="33"/>
      <c r="D48" s="33"/>
      <c r="E48" s="33"/>
      <c r="F48" s="33"/>
      <c r="G48" s="33"/>
      <c r="H48" s="33"/>
      <c r="I48" s="33"/>
      <c r="J48" s="33"/>
      <c r="K48" s="33"/>
    </row>
    <row r="49" spans="1:11" x14ac:dyDescent="0.25">
      <c r="A49" s="99" t="s">
        <v>94</v>
      </c>
      <c r="B49" s="99"/>
      <c r="C49" s="99"/>
      <c r="D49" s="99"/>
      <c r="E49" s="99"/>
      <c r="F49" s="99"/>
      <c r="G49" s="99"/>
      <c r="H49" s="99"/>
      <c r="I49" s="99"/>
      <c r="J49" s="99"/>
      <c r="K49" s="99"/>
    </row>
    <row r="50" spans="1:11" x14ac:dyDescent="0.25">
      <c r="A50" s="99"/>
      <c r="B50" s="99"/>
      <c r="C50" s="99"/>
      <c r="D50" s="99"/>
      <c r="E50" s="99"/>
      <c r="F50" s="99"/>
      <c r="G50" s="99"/>
      <c r="H50" s="99"/>
      <c r="I50" s="99"/>
      <c r="J50" s="99"/>
      <c r="K50" s="99"/>
    </row>
    <row r="51" spans="1:11" x14ac:dyDescent="0.25">
      <c r="A51" s="99"/>
      <c r="B51" s="99"/>
      <c r="C51" s="99"/>
      <c r="D51" s="99"/>
      <c r="E51" s="99"/>
      <c r="F51" s="99"/>
      <c r="G51" s="99"/>
      <c r="H51" s="99"/>
      <c r="I51" s="99"/>
      <c r="J51" s="99"/>
      <c r="K51" s="99"/>
    </row>
    <row r="52" spans="1:11" ht="7.9" customHeight="1" x14ac:dyDescent="0.25">
      <c r="A52" s="33"/>
      <c r="B52" s="33"/>
      <c r="C52" s="33"/>
      <c r="D52" s="33"/>
      <c r="E52" s="33"/>
      <c r="F52" s="33"/>
      <c r="G52" s="33"/>
      <c r="H52" s="33"/>
      <c r="I52" s="33"/>
      <c r="J52" s="33"/>
      <c r="K52" s="33"/>
    </row>
    <row r="53" spans="1:11" x14ac:dyDescent="0.25">
      <c r="A53" s="33" t="s">
        <v>95</v>
      </c>
      <c r="B53" s="33"/>
      <c r="C53" s="33"/>
      <c r="D53" s="33"/>
      <c r="E53" s="33"/>
      <c r="F53" s="33"/>
      <c r="G53" s="33"/>
      <c r="H53" s="33"/>
      <c r="I53" s="33"/>
      <c r="J53" s="33"/>
      <c r="K53" s="33"/>
    </row>
    <row r="54" spans="1:11" x14ac:dyDescent="0.25">
      <c r="A54" s="85"/>
      <c r="B54" s="85"/>
      <c r="C54" s="85"/>
      <c r="D54" s="85"/>
      <c r="E54" s="85"/>
      <c r="F54" s="85"/>
      <c r="G54" s="85"/>
      <c r="H54" s="85"/>
      <c r="I54" s="85"/>
      <c r="J54" s="85"/>
      <c r="K54" s="85"/>
    </row>
    <row r="55" spans="1:11" x14ac:dyDescent="0.25">
      <c r="A55" s="85"/>
      <c r="B55" s="85"/>
      <c r="C55" s="85"/>
      <c r="D55" s="85"/>
      <c r="E55" s="85"/>
      <c r="F55" s="85"/>
      <c r="G55" s="85"/>
      <c r="H55" s="85"/>
      <c r="I55" s="85"/>
      <c r="J55" s="85"/>
      <c r="K55" s="85"/>
    </row>
    <row r="56" spans="1:11" x14ac:dyDescent="0.25">
      <c r="A56" s="85"/>
      <c r="B56" s="85"/>
      <c r="C56" s="85"/>
      <c r="D56" s="85"/>
      <c r="E56" s="85"/>
      <c r="F56" s="85"/>
      <c r="G56" s="85"/>
      <c r="H56" s="85"/>
      <c r="I56" s="85"/>
      <c r="J56" s="85"/>
      <c r="K56" s="85"/>
    </row>
    <row r="57" spans="1:11" x14ac:dyDescent="0.25">
      <c r="A57" s="85"/>
      <c r="B57" s="85"/>
      <c r="C57" s="85"/>
      <c r="D57" s="85"/>
      <c r="E57" s="85"/>
      <c r="F57" s="85"/>
      <c r="G57" s="85"/>
      <c r="H57" s="85"/>
      <c r="I57" s="85"/>
      <c r="J57" s="85"/>
      <c r="K57" s="85"/>
    </row>
    <row r="58" spans="1:11" x14ac:dyDescent="0.25">
      <c r="A58" s="55"/>
      <c r="B58" s="55"/>
      <c r="C58" s="55"/>
      <c r="D58" s="55"/>
      <c r="E58" s="55"/>
      <c r="F58" s="55"/>
      <c r="G58" s="55"/>
      <c r="H58" s="55"/>
      <c r="I58" s="55"/>
      <c r="J58" s="55"/>
      <c r="K58" s="55"/>
    </row>
    <row r="59" spans="1:11" x14ac:dyDescent="0.25">
      <c r="A59" s="33" t="s">
        <v>108</v>
      </c>
      <c r="B59" s="33"/>
      <c r="C59" s="33" t="s">
        <v>39</v>
      </c>
      <c r="D59" s="33"/>
      <c r="E59" s="33"/>
      <c r="F59" s="33"/>
      <c r="G59" s="33"/>
      <c r="H59" s="33"/>
      <c r="I59" s="33"/>
      <c r="J59" s="36"/>
      <c r="K59" s="36"/>
    </row>
    <row r="60" spans="1:11" x14ac:dyDescent="0.25">
      <c r="A60" s="36"/>
      <c r="B60" s="36"/>
      <c r="C60" s="36"/>
      <c r="D60" s="36"/>
      <c r="E60" s="36"/>
      <c r="F60" s="36"/>
      <c r="G60" s="36"/>
      <c r="H60" s="36"/>
      <c r="I60" s="36"/>
      <c r="J60" s="36"/>
      <c r="K60" s="36"/>
    </row>
    <row r="61" spans="1:11" ht="14.45" customHeight="1" x14ac:dyDescent="0.25">
      <c r="A61" s="107" t="s">
        <v>0</v>
      </c>
      <c r="B61" s="108"/>
      <c r="C61" s="108"/>
      <c r="D61" s="108"/>
      <c r="E61" s="108"/>
      <c r="F61" s="108"/>
      <c r="G61" s="109"/>
      <c r="H61" s="28"/>
      <c r="I61" s="116" t="s">
        <v>1</v>
      </c>
      <c r="J61" s="118" t="str">
        <f>$J$6</f>
        <v>04567</v>
      </c>
      <c r="K61" s="119"/>
    </row>
    <row r="62" spans="1:11" ht="14.45" customHeight="1" x14ac:dyDescent="0.25">
      <c r="A62" s="110"/>
      <c r="B62" s="111"/>
      <c r="C62" s="111"/>
      <c r="D62" s="111"/>
      <c r="E62" s="111"/>
      <c r="F62" s="111"/>
      <c r="G62" s="112"/>
      <c r="H62" s="28"/>
      <c r="I62" s="117"/>
      <c r="J62" s="120"/>
      <c r="K62" s="121"/>
    </row>
    <row r="63" spans="1:11" ht="14.45" customHeight="1" x14ac:dyDescent="0.25">
      <c r="A63" s="110"/>
      <c r="B63" s="111"/>
      <c r="C63" s="111"/>
      <c r="D63" s="111"/>
      <c r="E63" s="111"/>
      <c r="F63" s="111"/>
      <c r="G63" s="112"/>
      <c r="H63" s="28"/>
      <c r="I63" s="122" t="s">
        <v>112</v>
      </c>
      <c r="J63" s="123"/>
      <c r="K63" s="124"/>
    </row>
    <row r="64" spans="1:11" ht="14.45" customHeight="1" x14ac:dyDescent="0.25">
      <c r="A64" s="113"/>
      <c r="B64" s="114"/>
      <c r="C64" s="114"/>
      <c r="D64" s="114"/>
      <c r="E64" s="114"/>
      <c r="F64" s="114"/>
      <c r="G64" s="115"/>
      <c r="H64" s="28"/>
      <c r="I64" s="125"/>
      <c r="J64" s="126"/>
      <c r="K64" s="127"/>
    </row>
    <row r="65" spans="1:11" x14ac:dyDescent="0.25">
      <c r="A65" s="28"/>
      <c r="B65" s="28"/>
      <c r="C65" s="28"/>
      <c r="D65" s="28"/>
      <c r="E65" s="28"/>
      <c r="F65" s="28"/>
      <c r="G65" s="28"/>
      <c r="H65" s="28"/>
      <c r="I65" s="28"/>
      <c r="J65" s="28"/>
      <c r="K65" s="28"/>
    </row>
    <row r="66" spans="1:11" x14ac:dyDescent="0.25">
      <c r="A66" s="28"/>
      <c r="B66" s="28"/>
      <c r="C66" s="28"/>
      <c r="D66" s="28"/>
      <c r="E66" s="28"/>
      <c r="F66" s="28"/>
      <c r="G66" s="28"/>
      <c r="H66" s="28"/>
      <c r="I66" s="28"/>
      <c r="J66" s="28"/>
      <c r="K66" s="28"/>
    </row>
    <row r="67" spans="1:11" ht="15.75" x14ac:dyDescent="0.25">
      <c r="A67" s="101" t="s">
        <v>113</v>
      </c>
      <c r="B67" s="101"/>
      <c r="C67" s="101"/>
      <c r="D67" s="101"/>
      <c r="E67" s="101"/>
      <c r="F67" s="101"/>
      <c r="G67" s="101"/>
      <c r="H67" s="101"/>
      <c r="I67" s="101"/>
      <c r="J67" s="101"/>
      <c r="K67" s="101"/>
    </row>
    <row r="68" spans="1:11" x14ac:dyDescent="0.25">
      <c r="A68" s="102" t="s">
        <v>115</v>
      </c>
      <c r="B68" s="102"/>
      <c r="C68" s="28"/>
      <c r="D68" s="28"/>
      <c r="E68" s="28"/>
      <c r="F68" s="28"/>
      <c r="G68" s="28"/>
      <c r="H68" s="28"/>
      <c r="I68" s="28"/>
      <c r="J68" s="28"/>
      <c r="K68" s="28"/>
    </row>
    <row r="69" spans="1:11" x14ac:dyDescent="0.25">
      <c r="A69" s="103" t="s">
        <v>114</v>
      </c>
      <c r="B69" s="103"/>
      <c r="C69" s="103"/>
      <c r="D69" s="103"/>
      <c r="E69" s="103"/>
      <c r="F69" s="103"/>
      <c r="G69" s="103"/>
      <c r="H69" s="103"/>
      <c r="I69" s="103"/>
      <c r="J69" s="103"/>
      <c r="K69" s="103"/>
    </row>
    <row r="70" spans="1:11" x14ac:dyDescent="0.25">
      <c r="A70" s="103"/>
      <c r="B70" s="103"/>
      <c r="C70" s="103"/>
      <c r="D70" s="103"/>
      <c r="E70" s="103"/>
      <c r="F70" s="103"/>
      <c r="G70" s="103"/>
      <c r="H70" s="103"/>
      <c r="I70" s="103"/>
      <c r="J70" s="103"/>
      <c r="K70" s="103"/>
    </row>
    <row r="71" spans="1:11" x14ac:dyDescent="0.25">
      <c r="A71" s="103"/>
      <c r="B71" s="103"/>
      <c r="C71" s="103"/>
      <c r="D71" s="103"/>
      <c r="E71" s="103"/>
      <c r="F71" s="103"/>
      <c r="G71" s="103"/>
      <c r="H71" s="103"/>
      <c r="I71" s="103"/>
      <c r="J71" s="103"/>
      <c r="K71" s="103"/>
    </row>
    <row r="72" spans="1:11" x14ac:dyDescent="0.25">
      <c r="A72" s="104" t="e">
        <f>IF($K$313="LMX",'Test Equ'!B62,'Test Equ'!B61)</f>
        <v>#N/A</v>
      </c>
      <c r="B72" s="104"/>
      <c r="C72" s="104"/>
      <c r="D72" s="104"/>
      <c r="E72" s="104"/>
      <c r="F72" s="104"/>
      <c r="G72" s="104"/>
      <c r="H72" s="104"/>
      <c r="I72" s="104"/>
      <c r="J72" s="104"/>
      <c r="K72" s="104"/>
    </row>
    <row r="73" spans="1:11" x14ac:dyDescent="0.25">
      <c r="A73" s="104" t="str">
        <f>IF(E25="A","Frequency 400Hz.","Frequenc 60Hz.")</f>
        <v>Frequenc 60Hz.</v>
      </c>
      <c r="B73" s="104"/>
      <c r="D73" s="28"/>
      <c r="E73" s="28"/>
      <c r="F73" s="28"/>
      <c r="G73" s="28"/>
      <c r="H73" s="28"/>
      <c r="I73" s="28"/>
      <c r="J73" s="28"/>
      <c r="K73" s="28"/>
    </row>
    <row r="74" spans="1:11" x14ac:dyDescent="0.25">
      <c r="A74" s="105"/>
      <c r="B74" s="105"/>
      <c r="C74" s="105"/>
      <c r="D74" s="105"/>
      <c r="E74" s="105"/>
      <c r="F74" s="105"/>
      <c r="G74" s="105"/>
      <c r="H74" s="105"/>
      <c r="I74" s="105"/>
      <c r="J74" s="106"/>
      <c r="K74" s="106"/>
    </row>
    <row r="75" spans="1:11" ht="28.9" customHeight="1" x14ac:dyDescent="0.25">
      <c r="A75" s="53" t="s">
        <v>12</v>
      </c>
      <c r="B75" s="128" t="s">
        <v>13</v>
      </c>
      <c r="C75" s="129"/>
      <c r="D75" s="128" t="s">
        <v>14</v>
      </c>
      <c r="E75" s="129"/>
      <c r="F75" s="128" t="s">
        <v>15</v>
      </c>
      <c r="G75" s="129"/>
      <c r="H75" s="128" t="s">
        <v>16</v>
      </c>
      <c r="I75" s="129"/>
      <c r="J75" s="130" t="s">
        <v>17</v>
      </c>
      <c r="K75" s="130"/>
    </row>
    <row r="76" spans="1:11" ht="18.600000000000001" customHeight="1" x14ac:dyDescent="0.25">
      <c r="A76" s="53"/>
      <c r="B76" s="128" t="s">
        <v>18</v>
      </c>
      <c r="C76" s="129"/>
      <c r="D76" s="131" t="s">
        <v>18</v>
      </c>
      <c r="E76" s="132"/>
      <c r="F76" s="131" t="s">
        <v>19</v>
      </c>
      <c r="G76" s="132"/>
      <c r="H76" s="131" t="s">
        <v>18</v>
      </c>
      <c r="I76" s="132"/>
      <c r="J76" s="130" t="s">
        <v>19</v>
      </c>
      <c r="K76" s="130"/>
    </row>
    <row r="77" spans="1:11" ht="18.600000000000001" customHeight="1" x14ac:dyDescent="0.25">
      <c r="A77" s="38" t="s">
        <v>116</v>
      </c>
      <c r="B77" s="155">
        <v>10</v>
      </c>
      <c r="C77" s="156"/>
      <c r="D77" s="135"/>
      <c r="E77" s="135"/>
      <c r="F77" s="137" t="e">
        <f t="shared" ref="F77:F100" si="0">IF($K$312="LMX",340*0.1/100,IF($K$312="UPC3",354*0.2/100,0.25/100*B77+0.1/100*354))</f>
        <v>#N/A</v>
      </c>
      <c r="G77" s="138"/>
      <c r="H77" s="136"/>
      <c r="I77" s="136"/>
      <c r="J77" s="133" t="e">
        <f t="shared" ref="J77:J100" si="1">IF($K$313="LMX",135*0.1/100,IF($K$313="ASX",150*0.5/100,150*0.5/100))</f>
        <v>#N/A</v>
      </c>
      <c r="K77" s="134"/>
    </row>
    <row r="78" spans="1:11" ht="18.600000000000001" customHeight="1" x14ac:dyDescent="0.25">
      <c r="A78" s="38" t="s">
        <v>117</v>
      </c>
      <c r="B78" s="155">
        <v>10</v>
      </c>
      <c r="C78" s="156"/>
      <c r="D78" s="135"/>
      <c r="E78" s="135"/>
      <c r="F78" s="137" t="e">
        <f t="shared" si="0"/>
        <v>#N/A</v>
      </c>
      <c r="G78" s="138"/>
      <c r="H78" s="136"/>
      <c r="I78" s="136"/>
      <c r="J78" s="133" t="e">
        <f t="shared" si="1"/>
        <v>#N/A</v>
      </c>
      <c r="K78" s="134"/>
    </row>
    <row r="79" spans="1:11" ht="18.600000000000001" customHeight="1" x14ac:dyDescent="0.25">
      <c r="A79" s="38" t="s">
        <v>118</v>
      </c>
      <c r="B79" s="155">
        <v>10</v>
      </c>
      <c r="C79" s="156"/>
      <c r="D79" s="135"/>
      <c r="E79" s="135"/>
      <c r="F79" s="137" t="e">
        <f t="shared" si="0"/>
        <v>#N/A</v>
      </c>
      <c r="G79" s="138"/>
      <c r="H79" s="136"/>
      <c r="I79" s="136"/>
      <c r="J79" s="133" t="e">
        <f t="shared" si="1"/>
        <v>#N/A</v>
      </c>
      <c r="K79" s="134"/>
    </row>
    <row r="80" spans="1:11" ht="18.600000000000001" customHeight="1" x14ac:dyDescent="0.25">
      <c r="A80" s="38" t="s">
        <v>116</v>
      </c>
      <c r="B80" s="155">
        <v>25</v>
      </c>
      <c r="C80" s="156"/>
      <c r="D80" s="135"/>
      <c r="E80" s="135"/>
      <c r="F80" s="137" t="e">
        <f t="shared" si="0"/>
        <v>#N/A</v>
      </c>
      <c r="G80" s="138"/>
      <c r="H80" s="136"/>
      <c r="I80" s="136"/>
      <c r="J80" s="133" t="e">
        <f t="shared" si="1"/>
        <v>#N/A</v>
      </c>
      <c r="K80" s="134"/>
    </row>
    <row r="81" spans="1:11" ht="18.600000000000001" customHeight="1" x14ac:dyDescent="0.25">
      <c r="A81" s="38" t="s">
        <v>117</v>
      </c>
      <c r="B81" s="155">
        <v>25</v>
      </c>
      <c r="C81" s="156"/>
      <c r="D81" s="135"/>
      <c r="E81" s="135"/>
      <c r="F81" s="137" t="e">
        <f t="shared" si="0"/>
        <v>#N/A</v>
      </c>
      <c r="G81" s="138"/>
      <c r="H81" s="136"/>
      <c r="I81" s="136"/>
      <c r="J81" s="133" t="e">
        <f t="shared" si="1"/>
        <v>#N/A</v>
      </c>
      <c r="K81" s="134"/>
    </row>
    <row r="82" spans="1:11" ht="18.600000000000001" customHeight="1" x14ac:dyDescent="0.25">
      <c r="A82" s="38" t="s">
        <v>118</v>
      </c>
      <c r="B82" s="155">
        <v>25</v>
      </c>
      <c r="C82" s="156"/>
      <c r="D82" s="135"/>
      <c r="E82" s="135"/>
      <c r="F82" s="137" t="e">
        <f t="shared" si="0"/>
        <v>#N/A</v>
      </c>
      <c r="G82" s="138"/>
      <c r="H82" s="136"/>
      <c r="I82" s="136"/>
      <c r="J82" s="133" t="e">
        <f t="shared" si="1"/>
        <v>#N/A</v>
      </c>
      <c r="K82" s="134"/>
    </row>
    <row r="83" spans="1:11" ht="18.600000000000001" customHeight="1" x14ac:dyDescent="0.25">
      <c r="A83" s="38" t="s">
        <v>116</v>
      </c>
      <c r="B83" s="155">
        <v>50</v>
      </c>
      <c r="C83" s="156"/>
      <c r="D83" s="135"/>
      <c r="E83" s="135"/>
      <c r="F83" s="137" t="e">
        <f t="shared" si="0"/>
        <v>#N/A</v>
      </c>
      <c r="G83" s="138"/>
      <c r="H83" s="136"/>
      <c r="I83" s="136"/>
      <c r="J83" s="133" t="e">
        <f t="shared" si="1"/>
        <v>#N/A</v>
      </c>
      <c r="K83" s="134"/>
    </row>
    <row r="84" spans="1:11" ht="18.600000000000001" customHeight="1" x14ac:dyDescent="0.25">
      <c r="A84" s="38" t="s">
        <v>117</v>
      </c>
      <c r="B84" s="155">
        <v>50</v>
      </c>
      <c r="C84" s="156"/>
      <c r="D84" s="135"/>
      <c r="E84" s="135"/>
      <c r="F84" s="137" t="e">
        <f t="shared" si="0"/>
        <v>#N/A</v>
      </c>
      <c r="G84" s="138"/>
      <c r="H84" s="136"/>
      <c r="I84" s="136"/>
      <c r="J84" s="133" t="e">
        <f t="shared" si="1"/>
        <v>#N/A</v>
      </c>
      <c r="K84" s="134"/>
    </row>
    <row r="85" spans="1:11" ht="18.600000000000001" customHeight="1" x14ac:dyDescent="0.25">
      <c r="A85" s="38" t="s">
        <v>118</v>
      </c>
      <c r="B85" s="155">
        <v>50</v>
      </c>
      <c r="C85" s="156"/>
      <c r="D85" s="135"/>
      <c r="E85" s="135"/>
      <c r="F85" s="137" t="e">
        <f t="shared" si="0"/>
        <v>#N/A</v>
      </c>
      <c r="G85" s="138"/>
      <c r="H85" s="136"/>
      <c r="I85" s="136"/>
      <c r="J85" s="133" t="e">
        <f t="shared" si="1"/>
        <v>#N/A</v>
      </c>
      <c r="K85" s="134"/>
    </row>
    <row r="86" spans="1:11" ht="18.600000000000001" customHeight="1" x14ac:dyDescent="0.25">
      <c r="A86" s="38" t="s">
        <v>116</v>
      </c>
      <c r="B86" s="155">
        <v>75</v>
      </c>
      <c r="C86" s="156"/>
      <c r="D86" s="135"/>
      <c r="E86" s="135"/>
      <c r="F86" s="137" t="e">
        <f t="shared" si="0"/>
        <v>#N/A</v>
      </c>
      <c r="G86" s="138"/>
      <c r="H86" s="136"/>
      <c r="I86" s="136"/>
      <c r="J86" s="133" t="e">
        <f t="shared" si="1"/>
        <v>#N/A</v>
      </c>
      <c r="K86" s="134"/>
    </row>
    <row r="87" spans="1:11" ht="18.600000000000001" customHeight="1" x14ac:dyDescent="0.25">
      <c r="A87" s="38" t="s">
        <v>117</v>
      </c>
      <c r="B87" s="155">
        <v>75</v>
      </c>
      <c r="C87" s="156"/>
      <c r="D87" s="135"/>
      <c r="E87" s="135"/>
      <c r="F87" s="137" t="e">
        <f t="shared" si="0"/>
        <v>#N/A</v>
      </c>
      <c r="G87" s="138"/>
      <c r="H87" s="136"/>
      <c r="I87" s="136"/>
      <c r="J87" s="133" t="e">
        <f t="shared" si="1"/>
        <v>#N/A</v>
      </c>
      <c r="K87" s="134"/>
    </row>
    <row r="88" spans="1:11" ht="18.600000000000001" customHeight="1" x14ac:dyDescent="0.25">
      <c r="A88" s="38" t="s">
        <v>118</v>
      </c>
      <c r="B88" s="155">
        <v>75</v>
      </c>
      <c r="C88" s="156"/>
      <c r="D88" s="135"/>
      <c r="E88" s="135"/>
      <c r="F88" s="137" t="e">
        <f t="shared" si="0"/>
        <v>#N/A</v>
      </c>
      <c r="G88" s="138"/>
      <c r="H88" s="136"/>
      <c r="I88" s="136"/>
      <c r="J88" s="133" t="e">
        <f t="shared" si="1"/>
        <v>#N/A</v>
      </c>
      <c r="K88" s="134"/>
    </row>
    <row r="89" spans="1:11" ht="18.600000000000001" customHeight="1" x14ac:dyDescent="0.25">
      <c r="A89" s="38" t="s">
        <v>116</v>
      </c>
      <c r="B89" s="155">
        <v>100</v>
      </c>
      <c r="C89" s="156"/>
      <c r="D89" s="135"/>
      <c r="E89" s="135"/>
      <c r="F89" s="137" t="e">
        <f t="shared" si="0"/>
        <v>#N/A</v>
      </c>
      <c r="G89" s="138"/>
      <c r="H89" s="136"/>
      <c r="I89" s="136"/>
      <c r="J89" s="133" t="e">
        <f t="shared" si="1"/>
        <v>#N/A</v>
      </c>
      <c r="K89" s="134"/>
    </row>
    <row r="90" spans="1:11" ht="18.600000000000001" customHeight="1" x14ac:dyDescent="0.25">
      <c r="A90" s="38" t="s">
        <v>117</v>
      </c>
      <c r="B90" s="155">
        <v>100</v>
      </c>
      <c r="C90" s="156"/>
      <c r="D90" s="135"/>
      <c r="E90" s="135"/>
      <c r="F90" s="137" t="e">
        <f t="shared" si="0"/>
        <v>#N/A</v>
      </c>
      <c r="G90" s="138"/>
      <c r="H90" s="136"/>
      <c r="I90" s="136"/>
      <c r="J90" s="133" t="e">
        <f t="shared" si="1"/>
        <v>#N/A</v>
      </c>
      <c r="K90" s="134"/>
    </row>
    <row r="91" spans="1:11" ht="18.600000000000001" customHeight="1" x14ac:dyDescent="0.25">
      <c r="A91" s="38" t="s">
        <v>118</v>
      </c>
      <c r="B91" s="155">
        <v>100</v>
      </c>
      <c r="C91" s="156"/>
      <c r="D91" s="135"/>
      <c r="E91" s="135"/>
      <c r="F91" s="137" t="e">
        <f t="shared" si="0"/>
        <v>#N/A</v>
      </c>
      <c r="G91" s="138"/>
      <c r="H91" s="136"/>
      <c r="I91" s="136"/>
      <c r="J91" s="133" t="e">
        <f t="shared" si="1"/>
        <v>#N/A</v>
      </c>
      <c r="K91" s="134"/>
    </row>
    <row r="92" spans="1:11" ht="18.600000000000001" customHeight="1" x14ac:dyDescent="0.25">
      <c r="A92" s="38" t="s">
        <v>116</v>
      </c>
      <c r="B92" s="155">
        <v>115</v>
      </c>
      <c r="C92" s="156"/>
      <c r="D92" s="135"/>
      <c r="E92" s="135"/>
      <c r="F92" s="137" t="e">
        <f t="shared" si="0"/>
        <v>#N/A</v>
      </c>
      <c r="G92" s="138"/>
      <c r="H92" s="136"/>
      <c r="I92" s="136"/>
      <c r="J92" s="133" t="e">
        <f t="shared" si="1"/>
        <v>#N/A</v>
      </c>
      <c r="K92" s="134"/>
    </row>
    <row r="93" spans="1:11" ht="18.600000000000001" customHeight="1" x14ac:dyDescent="0.25">
      <c r="A93" s="38" t="s">
        <v>117</v>
      </c>
      <c r="B93" s="155">
        <v>115</v>
      </c>
      <c r="C93" s="156"/>
      <c r="D93" s="135"/>
      <c r="E93" s="135"/>
      <c r="F93" s="137" t="e">
        <f t="shared" si="0"/>
        <v>#N/A</v>
      </c>
      <c r="G93" s="138"/>
      <c r="H93" s="136"/>
      <c r="I93" s="136"/>
      <c r="J93" s="133" t="e">
        <f t="shared" si="1"/>
        <v>#N/A</v>
      </c>
      <c r="K93" s="134"/>
    </row>
    <row r="94" spans="1:11" ht="18.600000000000001" customHeight="1" x14ac:dyDescent="0.25">
      <c r="A94" s="38" t="s">
        <v>118</v>
      </c>
      <c r="B94" s="155">
        <v>115</v>
      </c>
      <c r="C94" s="156"/>
      <c r="D94" s="135"/>
      <c r="E94" s="135"/>
      <c r="F94" s="137" t="e">
        <f t="shared" si="0"/>
        <v>#N/A</v>
      </c>
      <c r="G94" s="138"/>
      <c r="H94" s="136"/>
      <c r="I94" s="136"/>
      <c r="J94" s="133" t="e">
        <f t="shared" si="1"/>
        <v>#N/A</v>
      </c>
      <c r="K94" s="134"/>
    </row>
    <row r="95" spans="1:11" ht="18.600000000000001" customHeight="1" x14ac:dyDescent="0.25">
      <c r="A95" s="38" t="s">
        <v>116</v>
      </c>
      <c r="B95" s="155">
        <v>125</v>
      </c>
      <c r="C95" s="156"/>
      <c r="D95" s="135"/>
      <c r="E95" s="135"/>
      <c r="F95" s="137" t="e">
        <f t="shared" si="0"/>
        <v>#N/A</v>
      </c>
      <c r="G95" s="138"/>
      <c r="H95" s="136"/>
      <c r="I95" s="136"/>
      <c r="J95" s="133" t="e">
        <f t="shared" si="1"/>
        <v>#N/A</v>
      </c>
      <c r="K95" s="134"/>
    </row>
    <row r="96" spans="1:11" ht="18.600000000000001" customHeight="1" x14ac:dyDescent="0.25">
      <c r="A96" s="38" t="s">
        <v>117</v>
      </c>
      <c r="B96" s="155">
        <v>125</v>
      </c>
      <c r="C96" s="156"/>
      <c r="D96" s="135"/>
      <c r="E96" s="135"/>
      <c r="F96" s="137" t="e">
        <f t="shared" si="0"/>
        <v>#N/A</v>
      </c>
      <c r="G96" s="138"/>
      <c r="H96" s="136"/>
      <c r="I96" s="136"/>
      <c r="J96" s="133" t="e">
        <f t="shared" si="1"/>
        <v>#N/A</v>
      </c>
      <c r="K96" s="134"/>
    </row>
    <row r="97" spans="1:11" ht="18.600000000000001" customHeight="1" x14ac:dyDescent="0.25">
      <c r="A97" s="38" t="s">
        <v>118</v>
      </c>
      <c r="B97" s="155">
        <v>125</v>
      </c>
      <c r="C97" s="156"/>
      <c r="D97" s="135"/>
      <c r="E97" s="135"/>
      <c r="F97" s="137" t="e">
        <f t="shared" si="0"/>
        <v>#N/A</v>
      </c>
      <c r="G97" s="138"/>
      <c r="H97" s="136"/>
      <c r="I97" s="136"/>
      <c r="J97" s="133" t="e">
        <f t="shared" si="1"/>
        <v>#N/A</v>
      </c>
      <c r="K97" s="134"/>
    </row>
    <row r="98" spans="1:11" ht="18.600000000000001" customHeight="1" x14ac:dyDescent="0.25">
      <c r="A98" s="38" t="s">
        <v>116</v>
      </c>
      <c r="B98" s="155" t="e">
        <f>VLOOKUP($D$28,'3Ph data'!M:N,2,0)</f>
        <v>#N/A</v>
      </c>
      <c r="C98" s="156"/>
      <c r="D98" s="135"/>
      <c r="E98" s="135"/>
      <c r="F98" s="137" t="e">
        <f t="shared" si="0"/>
        <v>#N/A</v>
      </c>
      <c r="G98" s="138"/>
      <c r="H98" s="136"/>
      <c r="I98" s="136"/>
      <c r="J98" s="133" t="e">
        <f t="shared" si="1"/>
        <v>#N/A</v>
      </c>
      <c r="K98" s="134"/>
    </row>
    <row r="99" spans="1:11" ht="18.600000000000001" customHeight="1" x14ac:dyDescent="0.25">
      <c r="A99" s="38" t="s">
        <v>117</v>
      </c>
      <c r="B99" s="155" t="e">
        <f>VLOOKUP($D$28,'3Ph data'!M:N,2,0)</f>
        <v>#N/A</v>
      </c>
      <c r="C99" s="156"/>
      <c r="D99" s="135"/>
      <c r="E99" s="135"/>
      <c r="F99" s="137" t="e">
        <f t="shared" si="0"/>
        <v>#N/A</v>
      </c>
      <c r="G99" s="138"/>
      <c r="H99" s="136"/>
      <c r="I99" s="136"/>
      <c r="J99" s="133" t="e">
        <f t="shared" si="1"/>
        <v>#N/A</v>
      </c>
      <c r="K99" s="134"/>
    </row>
    <row r="100" spans="1:11" ht="18.600000000000001" customHeight="1" x14ac:dyDescent="0.25">
      <c r="A100" s="38" t="s">
        <v>118</v>
      </c>
      <c r="B100" s="155" t="e">
        <f>VLOOKUP($D$28,'3Ph data'!M:N,2,0)</f>
        <v>#N/A</v>
      </c>
      <c r="C100" s="156"/>
      <c r="D100" s="135"/>
      <c r="E100" s="135"/>
      <c r="F100" s="137" t="e">
        <f t="shared" si="0"/>
        <v>#N/A</v>
      </c>
      <c r="G100" s="138"/>
      <c r="H100" s="136"/>
      <c r="I100" s="136"/>
      <c r="J100" s="133" t="e">
        <f t="shared" si="1"/>
        <v>#N/A</v>
      </c>
      <c r="K100" s="134"/>
    </row>
    <row r="101" spans="1:11" x14ac:dyDescent="0.25">
      <c r="A101" s="28"/>
      <c r="B101" s="28"/>
      <c r="C101" s="28"/>
      <c r="D101" s="28"/>
      <c r="E101" s="28"/>
      <c r="F101" s="28"/>
      <c r="G101" s="28"/>
      <c r="H101" s="28"/>
      <c r="I101" s="28"/>
      <c r="J101" s="28"/>
      <c r="K101" s="28"/>
    </row>
    <row r="102" spans="1:11" x14ac:dyDescent="0.25">
      <c r="A102" s="5" t="s">
        <v>124</v>
      </c>
      <c r="B102" s="28"/>
      <c r="C102" s="28"/>
      <c r="D102" s="5" t="s">
        <v>125</v>
      </c>
      <c r="E102" s="28"/>
      <c r="F102" s="28"/>
      <c r="G102" s="28"/>
      <c r="H102" s="28"/>
      <c r="I102" s="28"/>
      <c r="J102" s="28"/>
      <c r="K102" s="28"/>
    </row>
    <row r="103" spans="1:11" x14ac:dyDescent="0.25">
      <c r="A103" s="28"/>
      <c r="B103" s="28"/>
      <c r="C103" s="28"/>
      <c r="D103" s="28"/>
      <c r="E103" s="28"/>
      <c r="F103" s="28"/>
      <c r="G103" s="28"/>
      <c r="H103" s="28"/>
      <c r="I103" s="28"/>
      <c r="J103" s="28"/>
      <c r="K103" s="28"/>
    </row>
    <row r="104" spans="1:11" x14ac:dyDescent="0.25">
      <c r="A104" s="28"/>
      <c r="B104" s="28"/>
      <c r="C104" s="28"/>
      <c r="D104" s="28"/>
      <c r="E104" s="28"/>
      <c r="F104" s="28"/>
      <c r="G104" s="28"/>
      <c r="H104" s="28"/>
      <c r="I104" s="28"/>
      <c r="J104" s="28"/>
      <c r="K104" s="28"/>
    </row>
    <row r="105" spans="1:11" x14ac:dyDescent="0.25">
      <c r="A105" s="28"/>
      <c r="B105" s="28"/>
      <c r="C105" s="28"/>
      <c r="D105" s="28"/>
      <c r="E105" s="28"/>
      <c r="F105" s="28"/>
      <c r="G105" s="28"/>
      <c r="H105" s="28"/>
      <c r="I105" s="28"/>
      <c r="J105" s="28"/>
      <c r="K105" s="28"/>
    </row>
    <row r="106" spans="1:11" x14ac:dyDescent="0.25">
      <c r="A106" s="28"/>
      <c r="B106" s="28"/>
      <c r="C106" s="28"/>
      <c r="D106" s="28"/>
      <c r="E106" s="28"/>
      <c r="F106" s="28"/>
      <c r="G106" s="28"/>
      <c r="H106" s="28"/>
      <c r="I106" s="28"/>
      <c r="J106" s="28"/>
      <c r="K106" s="28"/>
    </row>
    <row r="107" spans="1:11" x14ac:dyDescent="0.25">
      <c r="A107" s="28"/>
      <c r="B107" s="28"/>
      <c r="C107" s="28"/>
      <c r="D107" s="28"/>
      <c r="E107" s="28"/>
      <c r="F107" s="28"/>
      <c r="G107" s="28"/>
      <c r="H107" s="28"/>
      <c r="I107" s="28"/>
      <c r="J107" s="28"/>
      <c r="K107" s="28"/>
    </row>
    <row r="108" spans="1:11" x14ac:dyDescent="0.25">
      <c r="A108" s="28"/>
      <c r="B108" s="28"/>
      <c r="C108" s="28"/>
      <c r="D108" s="28"/>
      <c r="E108" s="28"/>
      <c r="F108" s="28"/>
      <c r="G108" s="28"/>
      <c r="H108" s="28"/>
      <c r="I108" s="28"/>
      <c r="J108" s="28"/>
      <c r="K108" s="28"/>
    </row>
    <row r="109" spans="1:11" x14ac:dyDescent="0.25">
      <c r="A109" s="139" t="s">
        <v>0</v>
      </c>
      <c r="B109" s="140"/>
      <c r="C109" s="140"/>
      <c r="D109" s="140"/>
      <c r="E109" s="140"/>
      <c r="F109" s="140"/>
      <c r="G109" s="141"/>
      <c r="H109" s="28"/>
      <c r="I109" s="116" t="s">
        <v>1</v>
      </c>
      <c r="J109" s="148" t="str">
        <f>$J$6</f>
        <v>04567</v>
      </c>
      <c r="K109" s="119"/>
    </row>
    <row r="110" spans="1:11" x14ac:dyDescent="0.25">
      <c r="A110" s="142"/>
      <c r="B110" s="143"/>
      <c r="C110" s="143"/>
      <c r="D110" s="143"/>
      <c r="E110" s="143"/>
      <c r="F110" s="143"/>
      <c r="G110" s="144"/>
      <c r="H110" s="28"/>
      <c r="I110" s="117"/>
      <c r="J110" s="120"/>
      <c r="K110" s="121"/>
    </row>
    <row r="111" spans="1:11" x14ac:dyDescent="0.25">
      <c r="A111" s="142"/>
      <c r="B111" s="143"/>
      <c r="C111" s="143"/>
      <c r="D111" s="143"/>
      <c r="E111" s="143"/>
      <c r="F111" s="143"/>
      <c r="G111" s="144"/>
      <c r="H111" s="28"/>
      <c r="I111" s="149" t="s">
        <v>120</v>
      </c>
      <c r="J111" s="150"/>
      <c r="K111" s="151"/>
    </row>
    <row r="112" spans="1:11" x14ac:dyDescent="0.25">
      <c r="A112" s="145"/>
      <c r="B112" s="146"/>
      <c r="C112" s="146"/>
      <c r="D112" s="146"/>
      <c r="E112" s="146"/>
      <c r="F112" s="146"/>
      <c r="G112" s="147"/>
      <c r="H112" s="28"/>
      <c r="I112" s="152"/>
      <c r="J112" s="153"/>
      <c r="K112" s="154"/>
    </row>
    <row r="113" spans="1:11" x14ac:dyDescent="0.25">
      <c r="A113" s="28"/>
      <c r="B113" s="28"/>
      <c r="C113" s="28"/>
      <c r="D113" s="28"/>
      <c r="E113" s="28"/>
      <c r="F113" s="28"/>
      <c r="G113" s="28"/>
      <c r="H113" s="28"/>
      <c r="I113" s="28"/>
      <c r="J113" s="28"/>
      <c r="K113" s="28"/>
    </row>
    <row r="114" spans="1:11" x14ac:dyDescent="0.25">
      <c r="A114" s="28"/>
      <c r="B114" s="28"/>
      <c r="C114" s="28"/>
      <c r="D114" s="28"/>
      <c r="E114" s="28"/>
      <c r="F114" s="28"/>
      <c r="G114" s="28"/>
      <c r="H114" s="28"/>
      <c r="I114" s="28"/>
      <c r="J114" s="28"/>
      <c r="K114" s="28"/>
    </row>
    <row r="115" spans="1:11" ht="15.75" x14ac:dyDescent="0.25">
      <c r="A115" s="101" t="s">
        <v>126</v>
      </c>
      <c r="B115" s="101"/>
      <c r="C115" s="101"/>
      <c r="D115" s="101"/>
      <c r="E115" s="101"/>
      <c r="F115" s="101"/>
      <c r="G115" s="101"/>
      <c r="H115" s="101"/>
      <c r="I115" s="101"/>
      <c r="J115" s="101"/>
      <c r="K115" s="101"/>
    </row>
    <row r="116" spans="1:11" x14ac:dyDescent="0.25">
      <c r="A116" s="102" t="s">
        <v>115</v>
      </c>
      <c r="B116" s="102"/>
      <c r="C116" s="28"/>
      <c r="D116" s="28"/>
      <c r="E116" s="28"/>
      <c r="F116" s="28"/>
      <c r="G116" s="28"/>
      <c r="H116" s="28"/>
      <c r="I116" s="28"/>
      <c r="J116" s="28"/>
      <c r="K116" s="28"/>
    </row>
    <row r="117" spans="1:11" x14ac:dyDescent="0.25">
      <c r="A117" s="28"/>
      <c r="B117" s="28"/>
      <c r="C117" s="28"/>
      <c r="D117" s="28"/>
      <c r="E117" s="28"/>
      <c r="F117" s="28"/>
      <c r="G117" s="28"/>
      <c r="H117" s="28"/>
      <c r="I117" s="28"/>
      <c r="J117" s="28"/>
      <c r="K117" s="28"/>
    </row>
    <row r="118" spans="1:11" ht="15.6" customHeight="1" x14ac:dyDescent="0.25">
      <c r="A118" s="157" t="s">
        <v>127</v>
      </c>
      <c r="B118" s="157"/>
      <c r="C118" s="157"/>
      <c r="D118" s="157"/>
      <c r="E118" s="157"/>
      <c r="F118" s="157"/>
      <c r="G118" s="157"/>
      <c r="H118" s="157"/>
      <c r="I118" s="157"/>
      <c r="J118" s="157"/>
      <c r="K118" s="157"/>
    </row>
    <row r="119" spans="1:11" x14ac:dyDescent="0.25">
      <c r="A119" s="157"/>
      <c r="B119" s="157"/>
      <c r="C119" s="157"/>
      <c r="D119" s="157"/>
      <c r="E119" s="157"/>
      <c r="F119" s="157"/>
      <c r="G119" s="157"/>
      <c r="H119" s="157"/>
      <c r="I119" s="157"/>
      <c r="J119" s="157"/>
      <c r="K119" s="157"/>
    </row>
    <row r="120" spans="1:11" x14ac:dyDescent="0.25">
      <c r="A120" s="157"/>
      <c r="B120" s="157"/>
      <c r="C120" s="157"/>
      <c r="D120" s="157"/>
      <c r="E120" s="157"/>
      <c r="F120" s="157"/>
      <c r="G120" s="157"/>
      <c r="H120" s="157"/>
      <c r="I120" s="157"/>
      <c r="J120" s="157"/>
      <c r="K120" s="157"/>
    </row>
    <row r="121" spans="1:11" x14ac:dyDescent="0.25">
      <c r="A121" s="104" t="e">
        <f>IF($K$313="LMX",'Test Equ'!B65,'Test Equ'!B64)</f>
        <v>#N/A</v>
      </c>
      <c r="B121" s="104"/>
      <c r="C121" s="104"/>
      <c r="D121" s="104"/>
      <c r="E121" s="104"/>
      <c r="F121" s="104"/>
      <c r="G121" s="104"/>
      <c r="H121" s="104"/>
      <c r="I121" s="104"/>
      <c r="J121" s="104"/>
      <c r="K121" s="104"/>
    </row>
    <row r="122" spans="1:11" x14ac:dyDescent="0.25">
      <c r="A122" s="104" t="s">
        <v>507</v>
      </c>
      <c r="B122" s="104"/>
      <c r="C122" s="104"/>
      <c r="D122" s="104"/>
      <c r="E122" s="104"/>
      <c r="F122" s="104"/>
      <c r="G122" s="104"/>
      <c r="H122" s="104"/>
      <c r="I122" s="104"/>
      <c r="J122" s="104"/>
      <c r="K122" s="104"/>
    </row>
    <row r="123" spans="1:11" x14ac:dyDescent="0.25">
      <c r="A123" s="28"/>
      <c r="B123" s="28"/>
      <c r="C123" s="28"/>
      <c r="D123" s="28"/>
      <c r="E123" s="28"/>
      <c r="F123" s="28"/>
      <c r="G123" s="28"/>
      <c r="H123" s="28"/>
      <c r="I123" s="28"/>
      <c r="J123" s="28"/>
      <c r="K123" s="28"/>
    </row>
    <row r="124" spans="1:11" ht="30" customHeight="1" x14ac:dyDescent="0.25">
      <c r="A124" s="53" t="s">
        <v>12</v>
      </c>
      <c r="B124" s="130" t="s">
        <v>13</v>
      </c>
      <c r="C124" s="130"/>
      <c r="D124" s="130" t="s">
        <v>14</v>
      </c>
      <c r="E124" s="130"/>
      <c r="F124" s="130" t="s">
        <v>15</v>
      </c>
      <c r="G124" s="130"/>
      <c r="H124" s="130" t="s">
        <v>16</v>
      </c>
      <c r="I124" s="130"/>
      <c r="J124" s="130" t="s">
        <v>17</v>
      </c>
      <c r="K124" s="130"/>
    </row>
    <row r="125" spans="1:11" ht="19.149999999999999" customHeight="1" x14ac:dyDescent="0.25">
      <c r="A125" s="53"/>
      <c r="B125" s="130" t="s">
        <v>18</v>
      </c>
      <c r="C125" s="130"/>
      <c r="D125" s="130" t="s">
        <v>18</v>
      </c>
      <c r="E125" s="130"/>
      <c r="F125" s="130" t="s">
        <v>19</v>
      </c>
      <c r="G125" s="130"/>
      <c r="H125" s="130" t="s">
        <v>18</v>
      </c>
      <c r="I125" s="130"/>
      <c r="J125" s="130" t="s">
        <v>19</v>
      </c>
      <c r="K125" s="130"/>
    </row>
    <row r="126" spans="1:11" ht="19.149999999999999" customHeight="1" x14ac:dyDescent="0.25">
      <c r="A126" s="38" t="s">
        <v>129</v>
      </c>
      <c r="B126" s="135">
        <v>20</v>
      </c>
      <c r="C126" s="135"/>
      <c r="D126" s="135"/>
      <c r="E126" s="135"/>
      <c r="F126" s="136" t="e">
        <f>IF($K$312="LMX",0.1/100*600,IF($K$312="UPC3",708*0.2/100,0.25/100*B126+0.1/100*708))</f>
        <v>#N/A</v>
      </c>
      <c r="G126" s="136"/>
      <c r="H126" s="136"/>
      <c r="I126" s="136"/>
      <c r="J126" s="158" t="e">
        <f t="shared" ref="J126:J133" si="2">IF($K$313="LMX",270*0.1/100,IF($K$313="ASX",300*0.5/100,300*0.5/100))</f>
        <v>#N/A</v>
      </c>
      <c r="K126" s="159"/>
    </row>
    <row r="127" spans="1:11" ht="19.149999999999999" customHeight="1" x14ac:dyDescent="0.25">
      <c r="A127" s="38" t="s">
        <v>129</v>
      </c>
      <c r="B127" s="135">
        <v>50</v>
      </c>
      <c r="C127" s="135"/>
      <c r="D127" s="135"/>
      <c r="E127" s="135"/>
      <c r="F127" s="136" t="e">
        <f t="shared" ref="F127:F133" si="3">IF($K$312="LMX",0.1/100*600,IF($K$312="UPC3",708*0.2/100,0.25/100*B127+0.1/100*708))</f>
        <v>#N/A</v>
      </c>
      <c r="G127" s="136"/>
      <c r="H127" s="136"/>
      <c r="I127" s="136"/>
      <c r="J127" s="158" t="e">
        <f t="shared" si="2"/>
        <v>#N/A</v>
      </c>
      <c r="K127" s="159"/>
    </row>
    <row r="128" spans="1:11" ht="19.149999999999999" customHeight="1" x14ac:dyDescent="0.25">
      <c r="A128" s="38" t="s">
        <v>129</v>
      </c>
      <c r="B128" s="135">
        <v>100</v>
      </c>
      <c r="C128" s="135"/>
      <c r="D128" s="135"/>
      <c r="E128" s="135"/>
      <c r="F128" s="136" t="e">
        <f t="shared" si="3"/>
        <v>#N/A</v>
      </c>
      <c r="G128" s="136"/>
      <c r="H128" s="136"/>
      <c r="I128" s="136"/>
      <c r="J128" s="158" t="e">
        <f t="shared" si="2"/>
        <v>#N/A</v>
      </c>
      <c r="K128" s="159"/>
    </row>
    <row r="129" spans="1:11" ht="19.149999999999999" customHeight="1" x14ac:dyDescent="0.25">
      <c r="A129" s="38" t="s">
        <v>129</v>
      </c>
      <c r="B129" s="135">
        <v>150</v>
      </c>
      <c r="C129" s="135"/>
      <c r="D129" s="135"/>
      <c r="E129" s="135"/>
      <c r="F129" s="136" t="e">
        <f t="shared" si="3"/>
        <v>#N/A</v>
      </c>
      <c r="G129" s="136"/>
      <c r="H129" s="136"/>
      <c r="I129" s="136"/>
      <c r="J129" s="158" t="e">
        <f t="shared" si="2"/>
        <v>#N/A</v>
      </c>
      <c r="K129" s="159"/>
    </row>
    <row r="130" spans="1:11" ht="19.149999999999999" customHeight="1" x14ac:dyDescent="0.25">
      <c r="A130" s="38" t="s">
        <v>129</v>
      </c>
      <c r="B130" s="135">
        <v>200</v>
      </c>
      <c r="C130" s="135"/>
      <c r="D130" s="135"/>
      <c r="E130" s="135"/>
      <c r="F130" s="136" t="e">
        <f t="shared" si="3"/>
        <v>#N/A</v>
      </c>
      <c r="G130" s="136"/>
      <c r="H130" s="136"/>
      <c r="I130" s="136"/>
      <c r="J130" s="158" t="e">
        <f t="shared" si="2"/>
        <v>#N/A</v>
      </c>
      <c r="K130" s="159"/>
    </row>
    <row r="131" spans="1:11" ht="19.149999999999999" customHeight="1" x14ac:dyDescent="0.25">
      <c r="A131" s="38" t="s">
        <v>129</v>
      </c>
      <c r="B131" s="135">
        <v>230</v>
      </c>
      <c r="C131" s="135"/>
      <c r="D131" s="135"/>
      <c r="E131" s="135"/>
      <c r="F131" s="136" t="e">
        <f t="shared" si="3"/>
        <v>#N/A</v>
      </c>
      <c r="G131" s="136"/>
      <c r="H131" s="136"/>
      <c r="I131" s="136"/>
      <c r="J131" s="158" t="e">
        <f t="shared" si="2"/>
        <v>#N/A</v>
      </c>
      <c r="K131" s="159"/>
    </row>
    <row r="132" spans="1:11" ht="19.149999999999999" customHeight="1" x14ac:dyDescent="0.25">
      <c r="A132" s="38" t="s">
        <v>129</v>
      </c>
      <c r="B132" s="135">
        <v>250</v>
      </c>
      <c r="C132" s="135"/>
      <c r="D132" s="135"/>
      <c r="E132" s="135"/>
      <c r="F132" s="136" t="e">
        <f t="shared" si="3"/>
        <v>#N/A</v>
      </c>
      <c r="G132" s="136"/>
      <c r="H132" s="136"/>
      <c r="I132" s="136"/>
      <c r="J132" s="158" t="e">
        <f t="shared" si="2"/>
        <v>#N/A</v>
      </c>
      <c r="K132" s="159"/>
    </row>
    <row r="133" spans="1:11" ht="19.149999999999999" customHeight="1" x14ac:dyDescent="0.25">
      <c r="A133" s="38" t="s">
        <v>129</v>
      </c>
      <c r="B133" s="135" t="e">
        <f>2*B98</f>
        <v>#N/A</v>
      </c>
      <c r="C133" s="135"/>
      <c r="D133" s="135"/>
      <c r="E133" s="135"/>
      <c r="F133" s="136" t="e">
        <f t="shared" si="3"/>
        <v>#N/A</v>
      </c>
      <c r="G133" s="136"/>
      <c r="H133" s="136"/>
      <c r="I133" s="136"/>
      <c r="J133" s="158" t="e">
        <f t="shared" si="2"/>
        <v>#N/A</v>
      </c>
      <c r="K133" s="159"/>
    </row>
    <row r="134" spans="1:11" x14ac:dyDescent="0.25">
      <c r="A134" s="28"/>
      <c r="B134" s="28"/>
      <c r="C134" s="28"/>
      <c r="D134" s="28"/>
      <c r="E134" s="28"/>
      <c r="F134" s="28"/>
      <c r="G134" s="28"/>
      <c r="H134" s="28"/>
      <c r="I134" s="28"/>
      <c r="J134" s="28"/>
      <c r="K134" s="28"/>
    </row>
    <row r="135" spans="1:11" x14ac:dyDescent="0.25">
      <c r="A135" s="5" t="s">
        <v>124</v>
      </c>
      <c r="B135" s="5"/>
      <c r="C135" s="5"/>
      <c r="D135" s="5" t="s">
        <v>125</v>
      </c>
      <c r="E135" s="5"/>
      <c r="F135" s="5"/>
      <c r="G135" s="5"/>
      <c r="H135" s="5"/>
      <c r="I135" s="5"/>
      <c r="J135" s="5"/>
      <c r="K135" s="5"/>
    </row>
    <row r="136" spans="1:11" x14ac:dyDescent="0.25">
      <c r="A136" s="28"/>
      <c r="B136" s="28"/>
      <c r="C136" s="28"/>
      <c r="D136" s="28"/>
      <c r="E136" s="28"/>
      <c r="F136" s="28"/>
      <c r="G136" s="28"/>
      <c r="H136" s="28"/>
      <c r="I136" s="28"/>
      <c r="J136" s="28"/>
      <c r="K136" s="28"/>
    </row>
    <row r="137" spans="1:11" x14ac:dyDescent="0.25">
      <c r="A137" s="28"/>
      <c r="B137" s="28"/>
      <c r="C137" s="28"/>
      <c r="D137" s="28"/>
      <c r="E137" s="28"/>
      <c r="F137" s="28"/>
      <c r="G137" s="28"/>
      <c r="H137" s="28"/>
      <c r="I137" s="28"/>
      <c r="J137" s="28"/>
      <c r="K137" s="28"/>
    </row>
    <row r="138" spans="1:11" x14ac:dyDescent="0.25">
      <c r="A138" s="28"/>
      <c r="B138" s="28"/>
      <c r="C138" s="28"/>
      <c r="D138" s="28"/>
      <c r="E138" s="28"/>
      <c r="F138" s="28"/>
      <c r="G138" s="28"/>
      <c r="H138" s="28"/>
      <c r="I138" s="28"/>
      <c r="J138" s="28"/>
      <c r="K138" s="28"/>
    </row>
    <row r="139" spans="1:11" x14ac:dyDescent="0.25">
      <c r="A139" s="28"/>
      <c r="B139" s="28"/>
      <c r="C139" s="28"/>
      <c r="D139" s="28"/>
      <c r="E139" s="28"/>
      <c r="F139" s="28"/>
      <c r="G139" s="28"/>
      <c r="H139" s="28"/>
      <c r="I139" s="28"/>
      <c r="J139" s="28"/>
      <c r="K139" s="28"/>
    </row>
    <row r="140" spans="1:11" x14ac:dyDescent="0.25">
      <c r="A140" s="28"/>
      <c r="B140" s="28"/>
      <c r="C140" s="28"/>
      <c r="D140" s="28"/>
      <c r="E140" s="28"/>
      <c r="F140" s="28"/>
      <c r="G140" s="28"/>
      <c r="H140" s="28"/>
      <c r="I140" s="28"/>
      <c r="J140" s="28"/>
      <c r="K140" s="28"/>
    </row>
    <row r="141" spans="1:11" x14ac:dyDescent="0.25">
      <c r="A141" s="28"/>
      <c r="B141" s="28"/>
      <c r="C141" s="28"/>
      <c r="D141" s="28"/>
      <c r="E141" s="28"/>
      <c r="F141" s="28"/>
      <c r="G141" s="28"/>
      <c r="H141" s="28"/>
      <c r="I141" s="28"/>
      <c r="J141" s="28"/>
      <c r="K141" s="28"/>
    </row>
    <row r="142" spans="1:11" x14ac:dyDescent="0.25">
      <c r="A142" s="28"/>
      <c r="B142" s="28"/>
      <c r="C142" s="28"/>
      <c r="D142" s="28"/>
      <c r="E142" s="28"/>
      <c r="F142" s="28"/>
      <c r="G142" s="28"/>
      <c r="H142" s="28"/>
      <c r="I142" s="28"/>
      <c r="J142" s="28"/>
      <c r="K142" s="28"/>
    </row>
    <row r="143" spans="1:11" x14ac:dyDescent="0.25">
      <c r="A143" s="28"/>
      <c r="B143" s="28"/>
      <c r="C143" s="28"/>
      <c r="D143" s="28"/>
      <c r="E143" s="28"/>
      <c r="F143" s="28"/>
      <c r="G143" s="28"/>
      <c r="H143" s="28"/>
      <c r="I143" s="28"/>
      <c r="J143" s="28"/>
      <c r="K143" s="28"/>
    </row>
    <row r="144" spans="1:11" x14ac:dyDescent="0.25">
      <c r="A144" s="28"/>
      <c r="B144" s="28"/>
      <c r="C144" s="28"/>
      <c r="D144" s="28"/>
      <c r="E144" s="28"/>
      <c r="F144" s="28"/>
      <c r="G144" s="28"/>
      <c r="H144" s="28"/>
      <c r="I144" s="28"/>
      <c r="J144" s="28"/>
      <c r="K144" s="28"/>
    </row>
    <row r="145" spans="1:11" x14ac:dyDescent="0.25">
      <c r="A145" s="28"/>
      <c r="B145" s="28"/>
      <c r="C145" s="28"/>
      <c r="D145" s="28"/>
      <c r="E145" s="28"/>
      <c r="F145" s="28"/>
      <c r="G145" s="28"/>
      <c r="H145" s="28"/>
      <c r="I145" s="28"/>
      <c r="J145" s="28"/>
      <c r="K145" s="28"/>
    </row>
    <row r="146" spans="1:11" x14ac:dyDescent="0.25">
      <c r="A146" s="28"/>
      <c r="B146" s="28"/>
      <c r="C146" s="28"/>
      <c r="D146" s="28"/>
      <c r="E146" s="28"/>
      <c r="F146" s="28"/>
      <c r="G146" s="28"/>
      <c r="H146" s="28"/>
      <c r="I146" s="28"/>
      <c r="J146" s="28"/>
      <c r="K146" s="28"/>
    </row>
    <row r="147" spans="1:11" x14ac:dyDescent="0.25">
      <c r="A147" s="28"/>
      <c r="B147" s="28"/>
      <c r="C147" s="28"/>
      <c r="D147" s="28"/>
      <c r="E147" s="28"/>
      <c r="F147" s="28"/>
      <c r="G147" s="28"/>
      <c r="H147" s="28"/>
      <c r="I147" s="28"/>
      <c r="J147" s="28"/>
      <c r="K147" s="28"/>
    </row>
    <row r="148" spans="1:11" x14ac:dyDescent="0.25">
      <c r="A148" s="28"/>
      <c r="B148" s="28"/>
      <c r="C148" s="28"/>
      <c r="D148" s="28"/>
      <c r="E148" s="28"/>
      <c r="F148" s="28"/>
      <c r="G148" s="28"/>
      <c r="H148" s="28"/>
      <c r="I148" s="28"/>
      <c r="J148" s="28"/>
      <c r="K148" s="28"/>
    </row>
    <row r="149" spans="1:11" x14ac:dyDescent="0.25">
      <c r="A149" s="28"/>
      <c r="B149" s="28"/>
      <c r="C149" s="28"/>
      <c r="D149" s="28"/>
      <c r="E149" s="28"/>
      <c r="F149" s="28"/>
      <c r="G149" s="28"/>
      <c r="H149" s="28"/>
      <c r="I149" s="28"/>
      <c r="J149" s="28"/>
      <c r="K149" s="28"/>
    </row>
    <row r="150" spans="1:11" x14ac:dyDescent="0.25">
      <c r="A150" s="28"/>
      <c r="B150" s="28"/>
      <c r="C150" s="28"/>
      <c r="D150" s="28"/>
      <c r="E150" s="28"/>
      <c r="F150" s="28"/>
      <c r="G150" s="28"/>
      <c r="H150" s="28"/>
      <c r="I150" s="28"/>
      <c r="J150" s="28"/>
      <c r="K150" s="28"/>
    </row>
    <row r="151" spans="1:11" x14ac:dyDescent="0.25">
      <c r="A151" s="28"/>
      <c r="B151" s="28"/>
      <c r="C151" s="28"/>
      <c r="D151" s="28"/>
      <c r="E151" s="28"/>
      <c r="F151" s="28"/>
      <c r="G151" s="28"/>
      <c r="H151" s="28"/>
      <c r="I151" s="28"/>
      <c r="J151" s="28"/>
      <c r="K151" s="28"/>
    </row>
    <row r="152" spans="1:11" x14ac:dyDescent="0.25">
      <c r="A152" s="28"/>
      <c r="B152" s="28"/>
      <c r="C152" s="28"/>
      <c r="D152" s="28"/>
      <c r="E152" s="28"/>
      <c r="F152" s="28"/>
      <c r="G152" s="28"/>
      <c r="H152" s="28"/>
      <c r="I152" s="28"/>
      <c r="J152" s="28"/>
      <c r="K152" s="28"/>
    </row>
    <row r="153" spans="1:11" x14ac:dyDescent="0.25">
      <c r="A153" s="28"/>
      <c r="B153" s="28"/>
      <c r="C153" s="28"/>
      <c r="D153" s="28"/>
      <c r="E153" s="28"/>
      <c r="F153" s="28"/>
      <c r="G153" s="28"/>
      <c r="H153" s="28"/>
      <c r="I153" s="28"/>
      <c r="J153" s="28"/>
      <c r="K153" s="28"/>
    </row>
    <row r="154" spans="1:11" x14ac:dyDescent="0.25">
      <c r="A154" s="28"/>
      <c r="B154" s="28"/>
      <c r="C154" s="28"/>
      <c r="D154" s="28"/>
      <c r="E154" s="28"/>
      <c r="F154" s="28"/>
      <c r="G154" s="28"/>
      <c r="H154" s="28"/>
      <c r="I154" s="28"/>
      <c r="J154" s="28"/>
      <c r="K154" s="28"/>
    </row>
    <row r="155" spans="1:11" x14ac:dyDescent="0.25">
      <c r="A155" s="28"/>
      <c r="B155" s="28"/>
      <c r="C155" s="28"/>
      <c r="D155" s="28"/>
      <c r="E155" s="28"/>
      <c r="F155" s="28"/>
      <c r="G155" s="28"/>
      <c r="H155" s="28"/>
      <c r="I155" s="28"/>
      <c r="J155" s="28"/>
      <c r="K155" s="28"/>
    </row>
    <row r="156" spans="1:11" x14ac:dyDescent="0.25">
      <c r="A156" s="28"/>
      <c r="B156" s="28"/>
      <c r="C156" s="28"/>
      <c r="D156" s="28"/>
      <c r="E156" s="28"/>
      <c r="F156" s="28"/>
      <c r="G156" s="28"/>
      <c r="H156" s="28"/>
      <c r="I156" s="28"/>
      <c r="J156" s="28"/>
      <c r="K156" s="28"/>
    </row>
    <row r="157" spans="1:11" x14ac:dyDescent="0.25">
      <c r="A157" s="28"/>
      <c r="B157" s="28"/>
      <c r="C157" s="28"/>
      <c r="D157" s="28"/>
      <c r="E157" s="28"/>
      <c r="F157" s="28"/>
      <c r="G157" s="28"/>
      <c r="H157" s="28"/>
      <c r="I157" s="28"/>
      <c r="J157" s="28"/>
      <c r="K157" s="28"/>
    </row>
    <row r="158" spans="1:11" x14ac:dyDescent="0.25">
      <c r="A158" s="28"/>
      <c r="B158" s="28"/>
      <c r="C158" s="28"/>
      <c r="D158" s="28"/>
      <c r="E158" s="28"/>
      <c r="F158" s="28"/>
      <c r="G158" s="28"/>
      <c r="H158" s="28"/>
      <c r="I158" s="28"/>
      <c r="J158" s="28"/>
      <c r="K158" s="28"/>
    </row>
    <row r="159" spans="1:11" x14ac:dyDescent="0.25">
      <c r="A159" s="28"/>
      <c r="B159" s="28"/>
      <c r="C159" s="28"/>
      <c r="D159" s="28"/>
      <c r="E159" s="28"/>
      <c r="F159" s="28"/>
      <c r="G159" s="28"/>
      <c r="H159" s="28"/>
      <c r="I159" s="28"/>
      <c r="J159" s="28"/>
      <c r="K159" s="28"/>
    </row>
    <row r="160" spans="1:11" x14ac:dyDescent="0.25">
      <c r="A160" s="107" t="s">
        <v>0</v>
      </c>
      <c r="B160" s="108"/>
      <c r="C160" s="108"/>
      <c r="D160" s="108"/>
      <c r="E160" s="108"/>
      <c r="F160" s="108"/>
      <c r="G160" s="109"/>
      <c r="H160" s="28"/>
      <c r="I160" s="116" t="s">
        <v>1</v>
      </c>
      <c r="J160" s="148" t="str">
        <f>$J$6</f>
        <v>04567</v>
      </c>
      <c r="K160" s="119"/>
    </row>
    <row r="161" spans="1:11" x14ac:dyDescent="0.25">
      <c r="A161" s="110"/>
      <c r="B161" s="111"/>
      <c r="C161" s="111"/>
      <c r="D161" s="111"/>
      <c r="E161" s="111"/>
      <c r="F161" s="111"/>
      <c r="G161" s="112"/>
      <c r="H161" s="28"/>
      <c r="I161" s="117"/>
      <c r="J161" s="120"/>
      <c r="K161" s="121"/>
    </row>
    <row r="162" spans="1:11" x14ac:dyDescent="0.25">
      <c r="A162" s="110"/>
      <c r="B162" s="111"/>
      <c r="C162" s="111"/>
      <c r="D162" s="111"/>
      <c r="E162" s="111"/>
      <c r="F162" s="111"/>
      <c r="G162" s="112"/>
      <c r="H162" s="28"/>
      <c r="I162" s="122" t="s">
        <v>121</v>
      </c>
      <c r="J162" s="123"/>
      <c r="K162" s="124"/>
    </row>
    <row r="163" spans="1:11" x14ac:dyDescent="0.25">
      <c r="A163" s="113"/>
      <c r="B163" s="114"/>
      <c r="C163" s="114"/>
      <c r="D163" s="114"/>
      <c r="E163" s="114"/>
      <c r="F163" s="114"/>
      <c r="G163" s="115"/>
      <c r="H163" s="28"/>
      <c r="I163" s="125"/>
      <c r="J163" s="126"/>
      <c r="K163" s="127"/>
    </row>
    <row r="164" spans="1:11" x14ac:dyDescent="0.25">
      <c r="A164" s="28"/>
      <c r="B164" s="28"/>
      <c r="C164" s="28"/>
      <c r="D164" s="28"/>
      <c r="E164" s="28"/>
      <c r="F164" s="28"/>
      <c r="G164" s="28"/>
      <c r="H164" s="28"/>
      <c r="I164" s="28"/>
      <c r="J164" s="28"/>
      <c r="K164" s="28"/>
    </row>
    <row r="165" spans="1:11" ht="15.75" x14ac:dyDescent="0.25">
      <c r="A165" s="101" t="s">
        <v>128</v>
      </c>
      <c r="B165" s="101"/>
      <c r="C165" s="101"/>
      <c r="D165" s="101"/>
      <c r="E165" s="101"/>
      <c r="F165" s="101"/>
      <c r="G165" s="101"/>
      <c r="H165" s="101"/>
      <c r="I165" s="101"/>
      <c r="J165" s="101"/>
      <c r="K165" s="101"/>
    </row>
    <row r="166" spans="1:11" x14ac:dyDescent="0.25">
      <c r="A166" s="102" t="s">
        <v>115</v>
      </c>
      <c r="B166" s="102"/>
      <c r="C166" s="28"/>
      <c r="D166" s="28"/>
      <c r="E166" s="28"/>
      <c r="F166" s="28"/>
      <c r="G166" s="28"/>
      <c r="H166" s="28"/>
      <c r="I166" s="28"/>
      <c r="J166" s="28"/>
      <c r="K166" s="28"/>
    </row>
    <row r="167" spans="1:11" x14ac:dyDescent="0.25">
      <c r="A167" s="28"/>
      <c r="B167" s="28"/>
      <c r="C167" s="28"/>
      <c r="D167" s="28"/>
      <c r="E167" s="28"/>
      <c r="F167" s="28"/>
      <c r="G167" s="28"/>
      <c r="H167" s="28"/>
      <c r="I167" s="28"/>
      <c r="J167" s="28"/>
      <c r="K167" s="28"/>
    </row>
    <row r="168" spans="1:11" x14ac:dyDescent="0.25">
      <c r="A168" s="157" t="s">
        <v>130</v>
      </c>
      <c r="B168" s="157"/>
      <c r="C168" s="157"/>
      <c r="D168" s="157"/>
      <c r="E168" s="157"/>
      <c r="F168" s="157"/>
      <c r="G168" s="157"/>
      <c r="H168" s="157"/>
      <c r="I168" s="157"/>
      <c r="J168" s="157"/>
      <c r="K168" s="157"/>
    </row>
    <row r="169" spans="1:11" x14ac:dyDescent="0.25">
      <c r="A169" s="157"/>
      <c r="B169" s="157"/>
      <c r="C169" s="157"/>
      <c r="D169" s="157"/>
      <c r="E169" s="157"/>
      <c r="F169" s="157"/>
      <c r="G169" s="157"/>
      <c r="H169" s="157"/>
      <c r="I169" s="157"/>
      <c r="J169" s="157"/>
      <c r="K169" s="157"/>
    </row>
    <row r="170" spans="1:11" x14ac:dyDescent="0.25">
      <c r="A170" s="157"/>
      <c r="B170" s="157"/>
      <c r="C170" s="157"/>
      <c r="D170" s="157"/>
      <c r="E170" s="157"/>
      <c r="F170" s="157"/>
      <c r="G170" s="157"/>
      <c r="H170" s="157"/>
      <c r="I170" s="157"/>
      <c r="J170" s="157"/>
      <c r="K170" s="157"/>
    </row>
    <row r="171" spans="1:11" x14ac:dyDescent="0.25">
      <c r="A171" s="104" t="s">
        <v>162</v>
      </c>
      <c r="B171" s="104"/>
      <c r="C171" s="104"/>
      <c r="D171" s="104"/>
      <c r="E171" s="104"/>
      <c r="F171" s="104"/>
      <c r="G171" s="104"/>
      <c r="H171" s="104"/>
      <c r="I171" s="104"/>
      <c r="J171" s="104"/>
      <c r="K171" s="104"/>
    </row>
    <row r="172" spans="1:11" x14ac:dyDescent="0.25">
      <c r="A172" s="104" t="str">
        <f>IF(E25="A","Frequency 400Hz.","Frequency 60Hz.")</f>
        <v>Frequency 60Hz.</v>
      </c>
      <c r="B172" s="104"/>
      <c r="C172" s="104"/>
      <c r="D172" s="104"/>
      <c r="E172" s="104"/>
      <c r="F172" s="104"/>
      <c r="G172" s="104"/>
      <c r="H172" s="104"/>
      <c r="I172" s="104"/>
      <c r="J172" s="104"/>
      <c r="K172" s="104"/>
    </row>
    <row r="173" spans="1:11" x14ac:dyDescent="0.25">
      <c r="A173" s="28"/>
      <c r="B173" s="28"/>
      <c r="C173" s="28"/>
      <c r="D173" s="28"/>
      <c r="E173" s="28"/>
      <c r="F173" s="28"/>
      <c r="G173" s="28"/>
      <c r="H173" s="28"/>
      <c r="I173" s="28"/>
      <c r="J173" s="28"/>
      <c r="K173" s="28"/>
    </row>
    <row r="174" spans="1:11" ht="31.15" customHeight="1" x14ac:dyDescent="0.25">
      <c r="A174" s="48" t="s">
        <v>12</v>
      </c>
      <c r="B174" s="160" t="s">
        <v>13</v>
      </c>
      <c r="C174" s="160"/>
      <c r="D174" s="160" t="s">
        <v>14</v>
      </c>
      <c r="E174" s="160"/>
      <c r="F174" s="160" t="s">
        <v>15</v>
      </c>
      <c r="G174" s="160"/>
      <c r="H174" s="160" t="s">
        <v>16</v>
      </c>
      <c r="I174" s="160"/>
      <c r="J174" s="160" t="s">
        <v>17</v>
      </c>
      <c r="K174" s="160"/>
    </row>
    <row r="175" spans="1:11" ht="19.149999999999999" customHeight="1" x14ac:dyDescent="0.25">
      <c r="A175" s="48"/>
      <c r="B175" s="160" t="s">
        <v>18</v>
      </c>
      <c r="C175" s="160"/>
      <c r="D175" s="160" t="s">
        <v>18</v>
      </c>
      <c r="E175" s="160"/>
      <c r="F175" s="160" t="s">
        <v>19</v>
      </c>
      <c r="G175" s="160"/>
      <c r="H175" s="160" t="s">
        <v>18</v>
      </c>
      <c r="I175" s="160"/>
      <c r="J175" s="160" t="s">
        <v>19</v>
      </c>
      <c r="K175" s="160"/>
    </row>
    <row r="176" spans="1:11" ht="19.149999999999999" customHeight="1" x14ac:dyDescent="0.25">
      <c r="A176" s="51" t="s">
        <v>116</v>
      </c>
      <c r="B176" s="161">
        <v>10</v>
      </c>
      <c r="C176" s="161"/>
      <c r="D176" s="135"/>
      <c r="E176" s="135"/>
      <c r="F176" s="136" t="e">
        <f t="shared" ref="F176:F183" si="4">IF($K$312="LMX",340*0.1/100,IF($K$312="UPC3",354*0.2/100,0.25/100*B176+0.1/100*354))</f>
        <v>#N/A</v>
      </c>
      <c r="G176" s="136"/>
      <c r="H176" s="136"/>
      <c r="I176" s="136"/>
      <c r="J176" s="133" t="e">
        <f t="shared" ref="J176:J183" si="5">IF($K$313="LMX",135*0.1/100,IF($K$313="ASX",150*0.5/100,150*0.5/100))</f>
        <v>#N/A</v>
      </c>
      <c r="K176" s="134"/>
    </row>
    <row r="177" spans="1:11" ht="19.149999999999999" customHeight="1" x14ac:dyDescent="0.25">
      <c r="A177" s="51" t="s">
        <v>116</v>
      </c>
      <c r="B177" s="161">
        <v>25</v>
      </c>
      <c r="C177" s="161"/>
      <c r="D177" s="135"/>
      <c r="E177" s="135"/>
      <c r="F177" s="136" t="e">
        <f t="shared" si="4"/>
        <v>#N/A</v>
      </c>
      <c r="G177" s="136"/>
      <c r="H177" s="136"/>
      <c r="I177" s="136"/>
      <c r="J177" s="133" t="e">
        <f t="shared" si="5"/>
        <v>#N/A</v>
      </c>
      <c r="K177" s="134"/>
    </row>
    <row r="178" spans="1:11" ht="19.149999999999999" customHeight="1" x14ac:dyDescent="0.25">
      <c r="A178" s="51" t="s">
        <v>116</v>
      </c>
      <c r="B178" s="161">
        <v>50</v>
      </c>
      <c r="C178" s="161"/>
      <c r="D178" s="135"/>
      <c r="E178" s="135"/>
      <c r="F178" s="136" t="e">
        <f t="shared" si="4"/>
        <v>#N/A</v>
      </c>
      <c r="G178" s="136"/>
      <c r="H178" s="136"/>
      <c r="I178" s="136"/>
      <c r="J178" s="133" t="e">
        <f t="shared" si="5"/>
        <v>#N/A</v>
      </c>
      <c r="K178" s="134"/>
    </row>
    <row r="179" spans="1:11" ht="19.149999999999999" customHeight="1" x14ac:dyDescent="0.25">
      <c r="A179" s="51" t="s">
        <v>116</v>
      </c>
      <c r="B179" s="161">
        <v>75</v>
      </c>
      <c r="C179" s="161"/>
      <c r="D179" s="135"/>
      <c r="E179" s="135"/>
      <c r="F179" s="136" t="e">
        <f t="shared" si="4"/>
        <v>#N/A</v>
      </c>
      <c r="G179" s="136"/>
      <c r="H179" s="136"/>
      <c r="I179" s="136"/>
      <c r="J179" s="133" t="e">
        <f t="shared" si="5"/>
        <v>#N/A</v>
      </c>
      <c r="K179" s="134"/>
    </row>
    <row r="180" spans="1:11" ht="19.149999999999999" customHeight="1" x14ac:dyDescent="0.25">
      <c r="A180" s="51" t="s">
        <v>116</v>
      </c>
      <c r="B180" s="161">
        <v>100</v>
      </c>
      <c r="C180" s="161"/>
      <c r="D180" s="135"/>
      <c r="E180" s="135"/>
      <c r="F180" s="136" t="e">
        <f t="shared" si="4"/>
        <v>#N/A</v>
      </c>
      <c r="G180" s="136"/>
      <c r="H180" s="136"/>
      <c r="I180" s="136"/>
      <c r="J180" s="133" t="e">
        <f t="shared" si="5"/>
        <v>#N/A</v>
      </c>
      <c r="K180" s="134"/>
    </row>
    <row r="181" spans="1:11" ht="19.149999999999999" customHeight="1" x14ac:dyDescent="0.25">
      <c r="A181" s="51" t="s">
        <v>116</v>
      </c>
      <c r="B181" s="161">
        <v>115</v>
      </c>
      <c r="C181" s="161"/>
      <c r="D181" s="135"/>
      <c r="E181" s="135"/>
      <c r="F181" s="136" t="e">
        <f t="shared" si="4"/>
        <v>#N/A</v>
      </c>
      <c r="G181" s="136"/>
      <c r="H181" s="136"/>
      <c r="I181" s="136"/>
      <c r="J181" s="133" t="e">
        <f t="shared" si="5"/>
        <v>#N/A</v>
      </c>
      <c r="K181" s="134"/>
    </row>
    <row r="182" spans="1:11" ht="19.149999999999999" customHeight="1" x14ac:dyDescent="0.25">
      <c r="A182" s="51" t="s">
        <v>116</v>
      </c>
      <c r="B182" s="161">
        <v>125</v>
      </c>
      <c r="C182" s="161"/>
      <c r="D182" s="135"/>
      <c r="E182" s="135"/>
      <c r="F182" s="136" t="e">
        <f t="shared" si="4"/>
        <v>#N/A</v>
      </c>
      <c r="G182" s="136"/>
      <c r="H182" s="136"/>
      <c r="I182" s="136"/>
      <c r="J182" s="133" t="e">
        <f t="shared" si="5"/>
        <v>#N/A</v>
      </c>
      <c r="K182" s="134"/>
    </row>
    <row r="183" spans="1:11" ht="19.149999999999999" customHeight="1" x14ac:dyDescent="0.25">
      <c r="A183" s="51" t="s">
        <v>116</v>
      </c>
      <c r="B183" s="161" t="e">
        <f>B98</f>
        <v>#N/A</v>
      </c>
      <c r="C183" s="161"/>
      <c r="D183" s="135"/>
      <c r="E183" s="135"/>
      <c r="F183" s="136" t="e">
        <f t="shared" si="4"/>
        <v>#N/A</v>
      </c>
      <c r="G183" s="136"/>
      <c r="H183" s="136"/>
      <c r="I183" s="136"/>
      <c r="J183" s="133" t="e">
        <f t="shared" si="5"/>
        <v>#N/A</v>
      </c>
      <c r="K183" s="134"/>
    </row>
    <row r="184" spans="1:11" x14ac:dyDescent="0.25">
      <c r="A184" s="28"/>
      <c r="B184" s="28"/>
      <c r="C184" s="28"/>
      <c r="D184" s="28"/>
      <c r="E184" s="28"/>
      <c r="F184" s="28"/>
      <c r="G184" s="28"/>
      <c r="H184" s="28"/>
      <c r="I184" s="28"/>
      <c r="J184" s="28"/>
      <c r="K184" s="28"/>
    </row>
    <row r="185" spans="1:11" x14ac:dyDescent="0.25">
      <c r="A185" s="5" t="s">
        <v>124</v>
      </c>
      <c r="B185" s="5"/>
      <c r="C185" s="5"/>
      <c r="D185" s="5" t="s">
        <v>125</v>
      </c>
      <c r="E185" s="5"/>
      <c r="F185" s="5"/>
      <c r="G185" s="5"/>
      <c r="H185" s="5"/>
      <c r="I185" s="5"/>
      <c r="J185" s="5"/>
      <c r="K185" s="5"/>
    </row>
    <row r="186" spans="1:11" x14ac:dyDescent="0.25">
      <c r="A186" s="28"/>
      <c r="B186" s="28"/>
      <c r="C186" s="28"/>
      <c r="D186" s="28"/>
      <c r="E186" s="28"/>
      <c r="F186" s="28"/>
      <c r="G186" s="28"/>
      <c r="H186" s="28"/>
      <c r="I186" s="28"/>
      <c r="J186" s="28"/>
      <c r="K186" s="28"/>
    </row>
    <row r="187" spans="1:11" x14ac:dyDescent="0.25">
      <c r="A187" s="28"/>
      <c r="B187" s="28"/>
      <c r="C187" s="28"/>
      <c r="D187" s="28"/>
      <c r="E187" s="28"/>
      <c r="F187" s="28"/>
      <c r="G187" s="28"/>
      <c r="H187" s="28"/>
      <c r="I187" s="28"/>
      <c r="J187" s="28"/>
      <c r="K187" s="28"/>
    </row>
    <row r="188" spans="1:11" x14ac:dyDescent="0.25">
      <c r="A188" s="6" t="s">
        <v>131</v>
      </c>
      <c r="B188" s="28"/>
      <c r="C188" s="28"/>
      <c r="D188" s="28"/>
      <c r="E188" s="28"/>
      <c r="F188" s="28"/>
      <c r="G188" s="28"/>
      <c r="H188" s="28"/>
      <c r="I188" s="28"/>
      <c r="J188" s="28"/>
      <c r="K188" s="28"/>
    </row>
    <row r="189" spans="1:11" x14ac:dyDescent="0.25">
      <c r="A189" s="7"/>
      <c r="B189" s="28"/>
      <c r="C189" s="28"/>
      <c r="D189" s="28"/>
      <c r="E189" s="28"/>
      <c r="F189" s="28"/>
      <c r="G189" s="28"/>
      <c r="H189" s="28"/>
      <c r="I189" s="28"/>
      <c r="J189" s="28"/>
      <c r="K189" s="28"/>
    </row>
    <row r="190" spans="1:11" ht="15.75" x14ac:dyDescent="0.25">
      <c r="A190" s="5" t="s">
        <v>132</v>
      </c>
      <c r="B190" s="28"/>
      <c r="C190" s="28"/>
      <c r="D190" s="28"/>
      <c r="E190" s="5"/>
      <c r="F190" s="40" t="s">
        <v>134</v>
      </c>
      <c r="G190" s="49" t="e">
        <f>"@ "&amp;VLOOKUP(D28,'3Ph data'!A:V,22,0)&amp;"A"</f>
        <v>#N/A</v>
      </c>
      <c r="H190" s="28"/>
      <c r="I190" s="28"/>
      <c r="J190" s="28"/>
      <c r="K190" s="28"/>
    </row>
    <row r="191" spans="1:11" x14ac:dyDescent="0.25">
      <c r="A191" s="5"/>
      <c r="B191" s="28"/>
      <c r="C191" s="28"/>
      <c r="D191" s="28"/>
      <c r="E191" s="28"/>
      <c r="F191" s="28"/>
      <c r="G191" s="28"/>
      <c r="H191" s="28"/>
      <c r="I191" s="28"/>
      <c r="J191" s="28"/>
      <c r="K191" s="28"/>
    </row>
    <row r="192" spans="1:11" ht="15.75" x14ac:dyDescent="0.25">
      <c r="A192" s="5" t="s">
        <v>133</v>
      </c>
      <c r="B192" s="28"/>
      <c r="C192" s="28"/>
      <c r="D192" s="28"/>
      <c r="E192" s="5"/>
      <c r="F192" s="40" t="s">
        <v>134</v>
      </c>
      <c r="G192" s="28"/>
      <c r="H192" s="28"/>
      <c r="I192" s="28"/>
      <c r="J192" s="28"/>
      <c r="K192" s="28"/>
    </row>
    <row r="193" spans="1:11" x14ac:dyDescent="0.25">
      <c r="A193" s="5"/>
      <c r="B193" s="28"/>
      <c r="C193" s="28"/>
      <c r="D193" s="28"/>
      <c r="E193" s="28"/>
      <c r="F193" s="28"/>
      <c r="G193" s="28"/>
      <c r="H193" s="28"/>
      <c r="I193" s="28"/>
      <c r="J193" s="28"/>
      <c r="K193" s="28"/>
    </row>
    <row r="194" spans="1:11" ht="15.75" x14ac:dyDescent="0.25">
      <c r="A194" s="5" t="s">
        <v>135</v>
      </c>
      <c r="B194" s="28"/>
      <c r="C194" s="28"/>
      <c r="D194" s="28"/>
      <c r="E194" s="5"/>
      <c r="F194" s="40" t="s">
        <v>134</v>
      </c>
      <c r="G194" s="28"/>
      <c r="H194" s="28"/>
      <c r="I194" s="28"/>
      <c r="J194" s="28"/>
      <c r="K194" s="28"/>
    </row>
    <row r="195" spans="1:11" x14ac:dyDescent="0.25">
      <c r="A195" s="28"/>
      <c r="B195" s="28"/>
      <c r="C195" s="28"/>
      <c r="D195" s="28"/>
      <c r="E195" s="28"/>
      <c r="F195" s="28"/>
      <c r="G195" s="28"/>
      <c r="H195" s="28"/>
      <c r="I195" s="28"/>
      <c r="J195" s="28"/>
      <c r="K195" s="28"/>
    </row>
    <row r="196" spans="1:11" x14ac:dyDescent="0.25">
      <c r="A196" s="28"/>
      <c r="B196" s="28"/>
      <c r="C196" s="28"/>
      <c r="D196" s="28"/>
      <c r="E196" s="28"/>
      <c r="F196" s="28"/>
      <c r="G196" s="28"/>
      <c r="H196" s="28"/>
      <c r="I196" s="28"/>
      <c r="J196" s="28"/>
      <c r="K196" s="28"/>
    </row>
    <row r="197" spans="1:11" x14ac:dyDescent="0.25">
      <c r="A197" s="28"/>
      <c r="B197" s="28"/>
      <c r="C197" s="28"/>
      <c r="D197" s="28"/>
      <c r="E197" s="28"/>
      <c r="F197" s="28"/>
      <c r="G197" s="28"/>
      <c r="H197" s="28"/>
      <c r="I197" s="28"/>
      <c r="J197" s="28"/>
      <c r="K197" s="28"/>
    </row>
    <row r="198" spans="1:11" x14ac:dyDescent="0.25">
      <c r="A198" s="28"/>
      <c r="B198" s="28"/>
      <c r="C198" s="28"/>
      <c r="D198" s="28"/>
      <c r="E198" s="28"/>
      <c r="F198" s="28"/>
      <c r="G198" s="28"/>
      <c r="H198" s="28"/>
      <c r="I198" s="28"/>
      <c r="J198" s="28"/>
      <c r="K198" s="28"/>
    </row>
    <row r="199" spans="1:11" x14ac:dyDescent="0.25">
      <c r="A199" s="28"/>
      <c r="B199" s="28"/>
      <c r="C199" s="28"/>
      <c r="D199" s="28"/>
      <c r="E199" s="28"/>
      <c r="F199" s="28"/>
      <c r="G199" s="28"/>
      <c r="H199" s="28"/>
      <c r="I199" s="28"/>
      <c r="J199" s="28"/>
      <c r="K199" s="28"/>
    </row>
    <row r="200" spans="1:11" x14ac:dyDescent="0.25">
      <c r="A200" s="28"/>
      <c r="B200" s="28"/>
      <c r="C200" s="28"/>
      <c r="D200" s="28"/>
      <c r="E200" s="28"/>
      <c r="F200" s="28"/>
      <c r="G200" s="28"/>
      <c r="H200" s="28"/>
      <c r="I200" s="28"/>
      <c r="J200" s="28"/>
      <c r="K200" s="28"/>
    </row>
    <row r="201" spans="1:11" x14ac:dyDescent="0.25">
      <c r="A201" s="28"/>
      <c r="B201" s="28"/>
      <c r="C201" s="28"/>
      <c r="D201" s="28"/>
      <c r="E201" s="28"/>
      <c r="F201" s="28"/>
      <c r="G201" s="28"/>
      <c r="H201" s="28"/>
      <c r="I201" s="28"/>
      <c r="J201" s="28"/>
      <c r="K201" s="28"/>
    </row>
    <row r="202" spans="1:11" x14ac:dyDescent="0.25">
      <c r="A202" s="28"/>
      <c r="B202" s="28"/>
      <c r="C202" s="28"/>
      <c r="D202" s="28"/>
      <c r="E202" s="28"/>
      <c r="F202" s="28"/>
      <c r="G202" s="28"/>
      <c r="H202" s="28"/>
      <c r="I202" s="28"/>
      <c r="J202" s="28"/>
      <c r="K202" s="28"/>
    </row>
    <row r="203" spans="1:11" x14ac:dyDescent="0.25">
      <c r="A203" s="28"/>
      <c r="B203" s="28"/>
      <c r="C203" s="28"/>
      <c r="D203" s="28"/>
      <c r="E203" s="28"/>
      <c r="F203" s="28"/>
      <c r="G203" s="28"/>
      <c r="H203" s="28"/>
      <c r="I203" s="28"/>
      <c r="J203" s="28"/>
      <c r="K203" s="28"/>
    </row>
    <row r="204" spans="1:11" x14ac:dyDescent="0.25">
      <c r="A204" s="28"/>
      <c r="B204" s="28"/>
      <c r="C204" s="28"/>
      <c r="D204" s="28"/>
      <c r="E204" s="28"/>
      <c r="F204" s="28"/>
      <c r="G204" s="28"/>
      <c r="H204" s="28"/>
      <c r="I204" s="28"/>
      <c r="J204" s="28"/>
      <c r="K204" s="28"/>
    </row>
    <row r="205" spans="1:11" x14ac:dyDescent="0.25">
      <c r="A205" s="28"/>
      <c r="B205" s="28"/>
      <c r="C205" s="28"/>
      <c r="D205" s="28"/>
      <c r="E205" s="28"/>
      <c r="F205" s="28"/>
      <c r="G205" s="28"/>
      <c r="H205" s="28"/>
      <c r="I205" s="28"/>
      <c r="J205" s="28"/>
      <c r="K205" s="28"/>
    </row>
    <row r="206" spans="1:11" x14ac:dyDescent="0.25">
      <c r="A206" s="28"/>
      <c r="B206" s="28"/>
      <c r="C206" s="28"/>
      <c r="D206" s="28"/>
      <c r="E206" s="28"/>
      <c r="F206" s="28"/>
      <c r="G206" s="28"/>
      <c r="H206" s="28"/>
      <c r="I206" s="28"/>
      <c r="J206" s="28"/>
      <c r="K206" s="28"/>
    </row>
    <row r="207" spans="1:11" x14ac:dyDescent="0.25">
      <c r="A207" s="28"/>
      <c r="B207" s="28"/>
      <c r="C207" s="28"/>
      <c r="D207" s="28"/>
      <c r="E207" s="28"/>
      <c r="F207" s="28"/>
      <c r="G207" s="28"/>
      <c r="H207" s="28"/>
      <c r="I207" s="28"/>
      <c r="J207" s="28"/>
      <c r="K207" s="28"/>
    </row>
    <row r="208" spans="1:11" x14ac:dyDescent="0.25">
      <c r="A208" s="28"/>
      <c r="B208" s="28"/>
      <c r="C208" s="28"/>
      <c r="D208" s="28"/>
      <c r="E208" s="28"/>
      <c r="F208" s="28"/>
      <c r="G208" s="28"/>
      <c r="H208" s="28"/>
      <c r="I208" s="28"/>
      <c r="J208" s="28"/>
      <c r="K208" s="28"/>
    </row>
    <row r="209" spans="1:11" x14ac:dyDescent="0.25">
      <c r="A209" s="28"/>
      <c r="B209" s="28"/>
      <c r="C209" s="28"/>
      <c r="D209" s="28"/>
      <c r="E209" s="28"/>
      <c r="F209" s="28"/>
      <c r="G209" s="28"/>
      <c r="H209" s="28"/>
      <c r="I209" s="28"/>
      <c r="J209" s="28"/>
      <c r="K209" s="28"/>
    </row>
    <row r="210" spans="1:11" x14ac:dyDescent="0.25">
      <c r="A210" s="28"/>
      <c r="B210" s="28"/>
      <c r="C210" s="28"/>
      <c r="D210" s="28"/>
      <c r="E210" s="28"/>
      <c r="F210" s="28"/>
      <c r="G210" s="28"/>
      <c r="H210" s="28"/>
      <c r="I210" s="28"/>
      <c r="J210" s="28"/>
      <c r="K210" s="28"/>
    </row>
    <row r="211" spans="1:11" x14ac:dyDescent="0.25">
      <c r="A211" s="107" t="s">
        <v>0</v>
      </c>
      <c r="B211" s="108"/>
      <c r="C211" s="108"/>
      <c r="D211" s="108"/>
      <c r="E211" s="108"/>
      <c r="F211" s="108"/>
      <c r="G211" s="109"/>
      <c r="H211" s="28"/>
      <c r="I211" s="116" t="s">
        <v>1</v>
      </c>
      <c r="J211" s="148" t="str">
        <f>$J$6</f>
        <v>04567</v>
      </c>
      <c r="K211" s="119"/>
    </row>
    <row r="212" spans="1:11" x14ac:dyDescent="0.25">
      <c r="A212" s="110"/>
      <c r="B212" s="111"/>
      <c r="C212" s="111"/>
      <c r="D212" s="111"/>
      <c r="E212" s="111"/>
      <c r="F212" s="111"/>
      <c r="G212" s="112"/>
      <c r="H212" s="28"/>
      <c r="I212" s="117"/>
      <c r="J212" s="120"/>
      <c r="K212" s="121"/>
    </row>
    <row r="213" spans="1:11" x14ac:dyDescent="0.25">
      <c r="A213" s="110"/>
      <c r="B213" s="111"/>
      <c r="C213" s="111"/>
      <c r="D213" s="111"/>
      <c r="E213" s="111"/>
      <c r="F213" s="111"/>
      <c r="G213" s="112"/>
      <c r="H213" s="28"/>
      <c r="I213" s="122" t="s">
        <v>122</v>
      </c>
      <c r="J213" s="123"/>
      <c r="K213" s="124"/>
    </row>
    <row r="214" spans="1:11" x14ac:dyDescent="0.25">
      <c r="A214" s="113"/>
      <c r="B214" s="114"/>
      <c r="C214" s="114"/>
      <c r="D214" s="114"/>
      <c r="E214" s="114"/>
      <c r="F214" s="114"/>
      <c r="G214" s="115"/>
      <c r="H214" s="28"/>
      <c r="I214" s="125"/>
      <c r="J214" s="126"/>
      <c r="K214" s="127"/>
    </row>
    <row r="215" spans="1:11" x14ac:dyDescent="0.25">
      <c r="A215" s="28"/>
      <c r="B215" s="28"/>
      <c r="C215" s="28"/>
      <c r="D215" s="28"/>
      <c r="E215" s="28"/>
      <c r="F215" s="28"/>
      <c r="G215" s="28"/>
      <c r="H215" s="28"/>
      <c r="I215" s="28"/>
      <c r="J215" s="28"/>
      <c r="K215" s="28"/>
    </row>
    <row r="216" spans="1:11" ht="15.75" x14ac:dyDescent="0.25">
      <c r="A216" s="101" t="s">
        <v>136</v>
      </c>
      <c r="B216" s="101"/>
      <c r="C216" s="101"/>
      <c r="D216" s="101"/>
      <c r="E216" s="101"/>
      <c r="F216" s="101"/>
      <c r="G216" s="101"/>
      <c r="H216" s="101"/>
      <c r="I216" s="101"/>
      <c r="J216" s="101"/>
      <c r="K216" s="101"/>
    </row>
    <row r="217" spans="1:11" x14ac:dyDescent="0.25">
      <c r="A217" s="102" t="s">
        <v>115</v>
      </c>
      <c r="B217" s="102"/>
      <c r="C217" s="28"/>
      <c r="D217" s="28"/>
      <c r="E217" s="28"/>
      <c r="F217" s="28"/>
      <c r="G217" s="28"/>
      <c r="H217" s="28"/>
      <c r="I217" s="28"/>
      <c r="J217" s="28"/>
      <c r="K217" s="28"/>
    </row>
    <row r="218" spans="1:11" x14ac:dyDescent="0.25">
      <c r="A218" s="28"/>
      <c r="B218" s="28"/>
      <c r="C218" s="28"/>
      <c r="D218" s="28"/>
      <c r="E218" s="28"/>
      <c r="F218" s="28"/>
      <c r="G218" s="28"/>
      <c r="H218" s="28"/>
      <c r="I218" s="28"/>
      <c r="J218" s="28"/>
      <c r="K218" s="28"/>
    </row>
    <row r="219" spans="1:11" x14ac:dyDescent="0.25">
      <c r="A219" s="157" t="s">
        <v>137</v>
      </c>
      <c r="B219" s="157"/>
      <c r="C219" s="157"/>
      <c r="D219" s="157"/>
      <c r="E219" s="157"/>
      <c r="F219" s="157"/>
      <c r="G219" s="157"/>
      <c r="H219" s="157"/>
      <c r="I219" s="157"/>
      <c r="J219" s="157"/>
      <c r="K219" s="157"/>
    </row>
    <row r="220" spans="1:11" x14ac:dyDescent="0.25">
      <c r="A220" s="157"/>
      <c r="B220" s="157"/>
      <c r="C220" s="157"/>
      <c r="D220" s="157"/>
      <c r="E220" s="157"/>
      <c r="F220" s="157"/>
      <c r="G220" s="157"/>
      <c r="H220" s="157"/>
      <c r="I220" s="157"/>
      <c r="J220" s="157"/>
      <c r="K220" s="157"/>
    </row>
    <row r="221" spans="1:11" x14ac:dyDescent="0.25">
      <c r="A221" s="157"/>
      <c r="B221" s="157"/>
      <c r="C221" s="157"/>
      <c r="D221" s="157"/>
      <c r="E221" s="157"/>
      <c r="F221" s="157"/>
      <c r="G221" s="157"/>
      <c r="H221" s="157"/>
      <c r="I221" s="157"/>
      <c r="J221" s="157"/>
      <c r="K221" s="157"/>
    </row>
    <row r="222" spans="1:11" x14ac:dyDescent="0.25">
      <c r="A222" s="104" t="s">
        <v>138</v>
      </c>
      <c r="B222" s="104"/>
      <c r="C222" s="104"/>
      <c r="D222" s="104"/>
      <c r="E222" s="104"/>
      <c r="F222" s="104"/>
      <c r="G222" s="104"/>
      <c r="H222" s="104"/>
      <c r="I222" s="104"/>
      <c r="J222" s="104"/>
      <c r="K222" s="104"/>
    </row>
    <row r="223" spans="1:11" x14ac:dyDescent="0.25">
      <c r="A223" s="28"/>
      <c r="B223" s="28"/>
      <c r="C223" s="28"/>
      <c r="D223" s="28"/>
      <c r="E223" s="28"/>
      <c r="F223" s="28"/>
      <c r="G223" s="28"/>
      <c r="H223" s="28"/>
      <c r="I223" s="28"/>
      <c r="J223" s="28"/>
      <c r="K223" s="28"/>
    </row>
    <row r="224" spans="1:11" ht="27" customHeight="1" x14ac:dyDescent="0.25">
      <c r="A224" s="48" t="s">
        <v>12</v>
      </c>
      <c r="B224" s="160" t="s">
        <v>13</v>
      </c>
      <c r="C224" s="160"/>
      <c r="D224" s="160" t="s">
        <v>140</v>
      </c>
      <c r="E224" s="160"/>
      <c r="F224" s="160" t="s">
        <v>143</v>
      </c>
      <c r="G224" s="160"/>
      <c r="H224" s="160" t="s">
        <v>142</v>
      </c>
      <c r="I224" s="160"/>
      <c r="J224" s="160" t="s">
        <v>17</v>
      </c>
      <c r="K224" s="160"/>
    </row>
    <row r="225" spans="1:11" x14ac:dyDescent="0.25">
      <c r="A225" s="48"/>
      <c r="B225" s="160" t="s">
        <v>139</v>
      </c>
      <c r="C225" s="160"/>
      <c r="D225" s="160" t="s">
        <v>139</v>
      </c>
      <c r="E225" s="160"/>
      <c r="F225" s="160" t="s">
        <v>141</v>
      </c>
      <c r="G225" s="160"/>
      <c r="H225" s="160" t="s">
        <v>18</v>
      </c>
      <c r="I225" s="160"/>
      <c r="J225" s="160" t="s">
        <v>19</v>
      </c>
      <c r="K225" s="160"/>
    </row>
    <row r="226" spans="1:11" ht="19.149999999999999" customHeight="1" x14ac:dyDescent="0.25">
      <c r="A226" s="51" t="s">
        <v>116</v>
      </c>
      <c r="B226" s="161">
        <v>50</v>
      </c>
      <c r="C226" s="161"/>
      <c r="D226" s="163"/>
      <c r="E226" s="164"/>
      <c r="F226" s="169" t="e">
        <f>IF($K$312="LMX",0.1/100*150,IF($K$312="UPC3",0.01/100*150,0.01/100*150))</f>
        <v>#N/A</v>
      </c>
      <c r="G226" s="169"/>
      <c r="H226" s="162"/>
      <c r="I226" s="162"/>
      <c r="J226" s="133" t="e">
        <f t="shared" ref="J226:J240" si="6">IF($K$313="LMX",135*0.1/100,IF($K$313="ASX",150*0.5/100,150*0.5/100))</f>
        <v>#N/A</v>
      </c>
      <c r="K226" s="134"/>
    </row>
    <row r="227" spans="1:11" ht="19.149999999999999" customHeight="1" x14ac:dyDescent="0.25">
      <c r="A227" s="51" t="s">
        <v>117</v>
      </c>
      <c r="B227" s="161"/>
      <c r="C227" s="161"/>
      <c r="D227" s="165"/>
      <c r="E227" s="166"/>
      <c r="F227" s="169"/>
      <c r="G227" s="169"/>
      <c r="H227" s="162"/>
      <c r="I227" s="162"/>
      <c r="J227" s="133" t="e">
        <f t="shared" si="6"/>
        <v>#N/A</v>
      </c>
      <c r="K227" s="134"/>
    </row>
    <row r="228" spans="1:11" ht="19.149999999999999" customHeight="1" x14ac:dyDescent="0.25">
      <c r="A228" s="51" t="s">
        <v>118</v>
      </c>
      <c r="B228" s="161"/>
      <c r="C228" s="161"/>
      <c r="D228" s="167"/>
      <c r="E228" s="168"/>
      <c r="F228" s="169"/>
      <c r="G228" s="169"/>
      <c r="H228" s="162"/>
      <c r="I228" s="162"/>
      <c r="J228" s="133" t="e">
        <f t="shared" si="6"/>
        <v>#N/A</v>
      </c>
      <c r="K228" s="134"/>
    </row>
    <row r="229" spans="1:11" ht="19.149999999999999" customHeight="1" x14ac:dyDescent="0.25">
      <c r="A229" s="51" t="s">
        <v>116</v>
      </c>
      <c r="B229" s="161">
        <v>60</v>
      </c>
      <c r="C229" s="161"/>
      <c r="D229" s="163"/>
      <c r="E229" s="164"/>
      <c r="F229" s="169" t="e">
        <f>IF($K$312="LMX",0.1/100*150,IF($K$312="UPC3",0.01/100*150,0.01/100*150))</f>
        <v>#N/A</v>
      </c>
      <c r="G229" s="169"/>
      <c r="H229" s="162"/>
      <c r="I229" s="162"/>
      <c r="J229" s="133" t="e">
        <f t="shared" si="6"/>
        <v>#N/A</v>
      </c>
      <c r="K229" s="134"/>
    </row>
    <row r="230" spans="1:11" ht="19.149999999999999" customHeight="1" x14ac:dyDescent="0.25">
      <c r="A230" s="51" t="s">
        <v>117</v>
      </c>
      <c r="B230" s="161"/>
      <c r="C230" s="161"/>
      <c r="D230" s="165"/>
      <c r="E230" s="166"/>
      <c r="F230" s="169"/>
      <c r="G230" s="169"/>
      <c r="H230" s="162"/>
      <c r="I230" s="162"/>
      <c r="J230" s="133" t="e">
        <f t="shared" si="6"/>
        <v>#N/A</v>
      </c>
      <c r="K230" s="134"/>
    </row>
    <row r="231" spans="1:11" ht="19.149999999999999" customHeight="1" x14ac:dyDescent="0.25">
      <c r="A231" s="51" t="s">
        <v>118</v>
      </c>
      <c r="B231" s="161"/>
      <c r="C231" s="161"/>
      <c r="D231" s="167"/>
      <c r="E231" s="168"/>
      <c r="F231" s="169"/>
      <c r="G231" s="169"/>
      <c r="H231" s="162"/>
      <c r="I231" s="162"/>
      <c r="J231" s="133" t="e">
        <f t="shared" si="6"/>
        <v>#N/A</v>
      </c>
      <c r="K231" s="134"/>
    </row>
    <row r="232" spans="1:11" ht="19.149999999999999" customHeight="1" x14ac:dyDescent="0.25">
      <c r="A232" s="51" t="s">
        <v>116</v>
      </c>
      <c r="B232" s="161">
        <v>400</v>
      </c>
      <c r="C232" s="161"/>
      <c r="D232" s="163"/>
      <c r="E232" s="164"/>
      <c r="F232" s="169" t="e">
        <f>IF($K$312="LMX",0.1/100*1000,IF($K$312="UPC3",0.01/100*600,0.01/100*1000))</f>
        <v>#N/A</v>
      </c>
      <c r="G232" s="169"/>
      <c r="H232" s="162"/>
      <c r="I232" s="162"/>
      <c r="J232" s="133" t="e">
        <f t="shared" si="6"/>
        <v>#N/A</v>
      </c>
      <c r="K232" s="134"/>
    </row>
    <row r="233" spans="1:11" ht="19.149999999999999" customHeight="1" x14ac:dyDescent="0.25">
      <c r="A233" s="51" t="s">
        <v>117</v>
      </c>
      <c r="B233" s="161"/>
      <c r="C233" s="161"/>
      <c r="D233" s="165"/>
      <c r="E233" s="166"/>
      <c r="F233" s="169"/>
      <c r="G233" s="169"/>
      <c r="H233" s="162"/>
      <c r="I233" s="162"/>
      <c r="J233" s="133" t="e">
        <f t="shared" si="6"/>
        <v>#N/A</v>
      </c>
      <c r="K233" s="134"/>
    </row>
    <row r="234" spans="1:11" ht="19.149999999999999" customHeight="1" x14ac:dyDescent="0.25">
      <c r="A234" s="51" t="s">
        <v>118</v>
      </c>
      <c r="B234" s="161"/>
      <c r="C234" s="161"/>
      <c r="D234" s="167"/>
      <c r="E234" s="168"/>
      <c r="F234" s="169"/>
      <c r="G234" s="169"/>
      <c r="H234" s="162"/>
      <c r="I234" s="162"/>
      <c r="J234" s="133" t="e">
        <f t="shared" si="6"/>
        <v>#N/A</v>
      </c>
      <c r="K234" s="134"/>
    </row>
    <row r="235" spans="1:11" ht="19.149999999999999" customHeight="1" x14ac:dyDescent="0.25">
      <c r="A235" s="51" t="s">
        <v>116</v>
      </c>
      <c r="B235" s="161">
        <v>1000</v>
      </c>
      <c r="C235" s="161"/>
      <c r="D235" s="163"/>
      <c r="E235" s="164"/>
      <c r="F235" s="169" t="e">
        <f>IF($K$312="LMX",0.1/100*5000,IF($K$312="UPC3",0.01/100*1200,0.01/100*5000))</f>
        <v>#N/A</v>
      </c>
      <c r="G235" s="169"/>
      <c r="H235" s="162"/>
      <c r="I235" s="162"/>
      <c r="J235" s="133" t="e">
        <f t="shared" si="6"/>
        <v>#N/A</v>
      </c>
      <c r="K235" s="134"/>
    </row>
    <row r="236" spans="1:11" ht="19.149999999999999" customHeight="1" x14ac:dyDescent="0.25">
      <c r="A236" s="51" t="s">
        <v>117</v>
      </c>
      <c r="B236" s="161"/>
      <c r="C236" s="161"/>
      <c r="D236" s="165"/>
      <c r="E236" s="166"/>
      <c r="F236" s="169"/>
      <c r="G236" s="169"/>
      <c r="H236" s="162"/>
      <c r="I236" s="162"/>
      <c r="J236" s="133" t="e">
        <f t="shared" si="6"/>
        <v>#N/A</v>
      </c>
      <c r="K236" s="134"/>
    </row>
    <row r="237" spans="1:11" ht="19.149999999999999" customHeight="1" x14ac:dyDescent="0.25">
      <c r="A237" s="51" t="s">
        <v>118</v>
      </c>
      <c r="B237" s="161"/>
      <c r="C237" s="161"/>
      <c r="D237" s="167"/>
      <c r="E237" s="168"/>
      <c r="F237" s="169"/>
      <c r="G237" s="169"/>
      <c r="H237" s="162"/>
      <c r="I237" s="162"/>
      <c r="J237" s="133" t="e">
        <f t="shared" si="6"/>
        <v>#N/A</v>
      </c>
      <c r="K237" s="134"/>
    </row>
    <row r="238" spans="1:11" ht="19.149999999999999" customHeight="1" x14ac:dyDescent="0.25">
      <c r="A238" s="51" t="s">
        <v>116</v>
      </c>
      <c r="B238" s="161" t="e">
        <f>VLOOKUP(D28,'3Ph data'!M:O,3,0)</f>
        <v>#N/A</v>
      </c>
      <c r="C238" s="161"/>
      <c r="D238" s="163"/>
      <c r="E238" s="164"/>
      <c r="F238" s="169" t="e">
        <f>IF($K$312="LMX",0.1/100*5000,IF($K$312="UPC3",0.01/100*1200,0.01/100*5000))</f>
        <v>#N/A</v>
      </c>
      <c r="G238" s="169"/>
      <c r="H238" s="162"/>
      <c r="I238" s="162"/>
      <c r="J238" s="133" t="e">
        <f t="shared" si="6"/>
        <v>#N/A</v>
      </c>
      <c r="K238" s="134"/>
    </row>
    <row r="239" spans="1:11" ht="19.149999999999999" customHeight="1" x14ac:dyDescent="0.25">
      <c r="A239" s="51" t="s">
        <v>117</v>
      </c>
      <c r="B239" s="161"/>
      <c r="C239" s="161"/>
      <c r="D239" s="165"/>
      <c r="E239" s="166"/>
      <c r="F239" s="169"/>
      <c r="G239" s="169"/>
      <c r="H239" s="162"/>
      <c r="I239" s="162"/>
      <c r="J239" s="133" t="e">
        <f t="shared" si="6"/>
        <v>#N/A</v>
      </c>
      <c r="K239" s="134"/>
    </row>
    <row r="240" spans="1:11" ht="19.149999999999999" customHeight="1" x14ac:dyDescent="0.25">
      <c r="A240" s="51" t="s">
        <v>118</v>
      </c>
      <c r="B240" s="161"/>
      <c r="C240" s="161"/>
      <c r="D240" s="167"/>
      <c r="E240" s="168"/>
      <c r="F240" s="169"/>
      <c r="G240" s="169"/>
      <c r="H240" s="162"/>
      <c r="I240" s="162"/>
      <c r="J240" s="133" t="e">
        <f t="shared" si="6"/>
        <v>#N/A</v>
      </c>
      <c r="K240" s="134"/>
    </row>
    <row r="241" spans="1:11" x14ac:dyDescent="0.25">
      <c r="A241" s="28"/>
      <c r="B241" s="28"/>
      <c r="C241" s="28"/>
      <c r="D241" s="28"/>
      <c r="E241" s="28"/>
      <c r="F241" s="28"/>
      <c r="G241" s="28"/>
      <c r="H241" s="28"/>
      <c r="I241" s="28"/>
      <c r="J241" s="28"/>
      <c r="K241" s="28"/>
    </row>
    <row r="242" spans="1:11" x14ac:dyDescent="0.25">
      <c r="A242" s="5" t="s">
        <v>124</v>
      </c>
      <c r="B242" s="5"/>
      <c r="C242" s="5"/>
      <c r="D242" s="5" t="s">
        <v>125</v>
      </c>
      <c r="E242" s="5"/>
      <c r="F242" s="28"/>
      <c r="G242" s="28"/>
      <c r="H242" s="28"/>
      <c r="I242" s="28"/>
      <c r="J242" s="28"/>
      <c r="K242" s="28"/>
    </row>
    <row r="243" spans="1:11" x14ac:dyDescent="0.25">
      <c r="A243" s="28"/>
      <c r="B243" s="28"/>
      <c r="C243" s="28"/>
      <c r="D243" s="28" t="s">
        <v>144</v>
      </c>
      <c r="E243" s="28"/>
      <c r="F243" s="28"/>
      <c r="G243" s="28"/>
      <c r="H243" s="28"/>
      <c r="I243" s="28"/>
      <c r="J243" s="28"/>
      <c r="K243" s="28"/>
    </row>
    <row r="244" spans="1:11" x14ac:dyDescent="0.25">
      <c r="A244" s="28"/>
      <c r="B244" s="28"/>
      <c r="C244" s="28"/>
      <c r="D244" s="28"/>
      <c r="E244" s="28"/>
      <c r="F244" s="28"/>
      <c r="G244" s="28"/>
      <c r="H244" s="28"/>
      <c r="I244" s="28"/>
      <c r="J244" s="28"/>
      <c r="K244" s="28"/>
    </row>
    <row r="245" spans="1:11" x14ac:dyDescent="0.25">
      <c r="A245" s="28"/>
      <c r="B245" s="28"/>
      <c r="C245" s="28"/>
      <c r="D245" s="28"/>
      <c r="E245" s="28"/>
      <c r="F245" s="28"/>
      <c r="G245" s="28"/>
      <c r="H245" s="28"/>
      <c r="I245" s="28"/>
      <c r="J245" s="28"/>
      <c r="K245" s="28"/>
    </row>
    <row r="246" spans="1:11" x14ac:dyDescent="0.25">
      <c r="A246" s="28"/>
      <c r="B246" s="28"/>
      <c r="C246" s="28"/>
      <c r="D246" s="28"/>
      <c r="E246" s="28"/>
      <c r="F246" s="28"/>
      <c r="G246" s="28"/>
      <c r="H246" s="28"/>
      <c r="I246" s="28"/>
      <c r="J246" s="28"/>
      <c r="K246" s="28"/>
    </row>
    <row r="247" spans="1:11" x14ac:dyDescent="0.25">
      <c r="A247" s="28"/>
      <c r="B247" s="28"/>
      <c r="C247" s="28"/>
      <c r="D247" s="28"/>
      <c r="E247" s="28"/>
      <c r="F247" s="28"/>
      <c r="G247" s="28"/>
      <c r="H247" s="28"/>
      <c r="I247" s="28"/>
      <c r="J247" s="28"/>
      <c r="K247" s="28"/>
    </row>
    <row r="248" spans="1:11" x14ac:dyDescent="0.25">
      <c r="A248" s="28"/>
      <c r="B248" s="28"/>
      <c r="C248" s="28"/>
      <c r="D248" s="28"/>
      <c r="E248" s="28"/>
      <c r="F248" s="28"/>
      <c r="G248" s="28"/>
      <c r="H248" s="28"/>
      <c r="I248" s="28"/>
      <c r="J248" s="28"/>
      <c r="K248" s="28"/>
    </row>
    <row r="249" spans="1:11" x14ac:dyDescent="0.25">
      <c r="A249" s="28"/>
      <c r="B249" s="28"/>
      <c r="C249" s="28"/>
      <c r="D249" s="28"/>
      <c r="E249" s="28"/>
      <c r="F249" s="28"/>
      <c r="G249" s="28"/>
      <c r="H249" s="28"/>
      <c r="I249" s="28"/>
      <c r="J249" s="28"/>
      <c r="K249" s="28"/>
    </row>
    <row r="250" spans="1:11" x14ac:dyDescent="0.25">
      <c r="A250" s="28"/>
      <c r="B250" s="28"/>
      <c r="C250" s="28"/>
      <c r="D250" s="28"/>
      <c r="E250" s="28"/>
      <c r="F250" s="28"/>
      <c r="G250" s="28"/>
      <c r="H250" s="28"/>
      <c r="I250" s="28"/>
      <c r="J250" s="28"/>
      <c r="K250" s="28"/>
    </row>
    <row r="251" spans="1:11" x14ac:dyDescent="0.25">
      <c r="A251" s="28"/>
      <c r="B251" s="28"/>
      <c r="C251" s="28"/>
      <c r="D251" s="28"/>
      <c r="E251" s="28"/>
      <c r="F251" s="28"/>
      <c r="G251" s="28"/>
      <c r="H251" s="28"/>
      <c r="I251" s="28"/>
      <c r="J251" s="28"/>
      <c r="K251" s="28"/>
    </row>
    <row r="252" spans="1:11" x14ac:dyDescent="0.25">
      <c r="A252" s="28"/>
      <c r="B252" s="28"/>
      <c r="C252" s="28"/>
      <c r="D252" s="28"/>
      <c r="E252" s="28"/>
      <c r="F252" s="28"/>
      <c r="G252" s="28"/>
      <c r="H252" s="28"/>
      <c r="I252" s="28"/>
      <c r="J252" s="28"/>
      <c r="K252" s="28"/>
    </row>
    <row r="253" spans="1:11" x14ac:dyDescent="0.25">
      <c r="A253" s="28"/>
      <c r="B253" s="28"/>
      <c r="C253" s="28"/>
      <c r="D253" s="28"/>
      <c r="E253" s="28"/>
      <c r="F253" s="28"/>
      <c r="G253" s="28"/>
      <c r="H253" s="28"/>
      <c r="I253" s="28"/>
      <c r="J253" s="28"/>
      <c r="K253" s="28"/>
    </row>
    <row r="254" spans="1:11" x14ac:dyDescent="0.25">
      <c r="A254" s="28"/>
      <c r="B254" s="28"/>
      <c r="C254" s="28"/>
      <c r="D254" s="28"/>
      <c r="E254" s="28"/>
      <c r="F254" s="28"/>
      <c r="G254" s="28"/>
      <c r="H254" s="28"/>
      <c r="I254" s="28"/>
      <c r="J254" s="28"/>
      <c r="K254" s="28"/>
    </row>
    <row r="255" spans="1:11" x14ac:dyDescent="0.25">
      <c r="A255" s="28"/>
      <c r="B255" s="28"/>
      <c r="C255" s="28"/>
      <c r="D255" s="28"/>
      <c r="E255" s="28"/>
      <c r="F255" s="28"/>
      <c r="G255" s="28"/>
      <c r="H255" s="28"/>
      <c r="I255" s="28"/>
      <c r="J255" s="28"/>
      <c r="K255" s="28"/>
    </row>
    <row r="256" spans="1:11" x14ac:dyDescent="0.25">
      <c r="A256" s="28"/>
      <c r="B256" s="28"/>
      <c r="C256" s="28"/>
      <c r="D256" s="28"/>
      <c r="E256" s="28"/>
      <c r="F256" s="28"/>
      <c r="G256" s="28"/>
      <c r="H256" s="28"/>
      <c r="I256" s="28"/>
      <c r="J256" s="28"/>
      <c r="K256" s="28"/>
    </row>
    <row r="257" spans="1:11" x14ac:dyDescent="0.25">
      <c r="A257" s="28"/>
      <c r="B257" s="28"/>
      <c r="C257" s="28"/>
      <c r="D257" s="28"/>
      <c r="E257" s="28"/>
      <c r="F257" s="28"/>
      <c r="G257" s="28"/>
      <c r="H257" s="28"/>
      <c r="I257" s="28"/>
      <c r="J257" s="28"/>
      <c r="K257" s="28"/>
    </row>
    <row r="258" spans="1:11" x14ac:dyDescent="0.25">
      <c r="A258" s="28"/>
      <c r="B258" s="28"/>
      <c r="C258" s="28"/>
      <c r="D258" s="28"/>
      <c r="E258" s="28"/>
      <c r="F258" s="28"/>
      <c r="G258" s="28"/>
      <c r="H258" s="28"/>
      <c r="I258" s="28"/>
      <c r="J258" s="28"/>
      <c r="K258" s="28"/>
    </row>
    <row r="259" spans="1:11" x14ac:dyDescent="0.25">
      <c r="A259" s="28"/>
      <c r="B259" s="28"/>
      <c r="C259" s="28"/>
      <c r="D259" s="28"/>
      <c r="E259" s="28"/>
      <c r="F259" s="28"/>
      <c r="G259" s="28"/>
      <c r="H259" s="28"/>
      <c r="I259" s="28"/>
      <c r="J259" s="28"/>
      <c r="K259" s="28"/>
    </row>
    <row r="260" spans="1:11" x14ac:dyDescent="0.25">
      <c r="A260" s="28"/>
      <c r="B260" s="28"/>
      <c r="C260" s="28"/>
      <c r="D260" s="28"/>
      <c r="E260" s="28"/>
      <c r="F260" s="28"/>
      <c r="G260" s="28"/>
      <c r="H260" s="28"/>
      <c r="I260" s="28"/>
      <c r="J260" s="28"/>
      <c r="K260" s="28"/>
    </row>
    <row r="261" spans="1:11" x14ac:dyDescent="0.25">
      <c r="A261" s="107" t="s">
        <v>0</v>
      </c>
      <c r="B261" s="108"/>
      <c r="C261" s="108"/>
      <c r="D261" s="108"/>
      <c r="E261" s="108"/>
      <c r="F261" s="108"/>
      <c r="G261" s="109"/>
      <c r="H261" s="28"/>
      <c r="I261" s="116" t="s">
        <v>1</v>
      </c>
      <c r="J261" s="148" t="str">
        <f>$J$6</f>
        <v>04567</v>
      </c>
      <c r="K261" s="119"/>
    </row>
    <row r="262" spans="1:11" x14ac:dyDescent="0.25">
      <c r="A262" s="110"/>
      <c r="B262" s="111"/>
      <c r="C262" s="111"/>
      <c r="D262" s="111"/>
      <c r="E262" s="111"/>
      <c r="F262" s="111"/>
      <c r="G262" s="112"/>
      <c r="H262" s="28"/>
      <c r="I262" s="117"/>
      <c r="J262" s="120"/>
      <c r="K262" s="121"/>
    </row>
    <row r="263" spans="1:11" x14ac:dyDescent="0.25">
      <c r="A263" s="110"/>
      <c r="B263" s="111"/>
      <c r="C263" s="111"/>
      <c r="D263" s="111"/>
      <c r="E263" s="111"/>
      <c r="F263" s="111"/>
      <c r="G263" s="112"/>
      <c r="H263" s="28"/>
      <c r="I263" s="122" t="s">
        <v>123</v>
      </c>
      <c r="J263" s="123"/>
      <c r="K263" s="124"/>
    </row>
    <row r="264" spans="1:11" x14ac:dyDescent="0.25">
      <c r="A264" s="113"/>
      <c r="B264" s="114"/>
      <c r="C264" s="114"/>
      <c r="D264" s="114"/>
      <c r="E264" s="114"/>
      <c r="F264" s="114"/>
      <c r="G264" s="115"/>
      <c r="H264" s="28"/>
      <c r="I264" s="125"/>
      <c r="J264" s="126"/>
      <c r="K264" s="127"/>
    </row>
    <row r="265" spans="1:11" x14ac:dyDescent="0.25">
      <c r="A265" s="28"/>
      <c r="B265" s="28"/>
      <c r="C265" s="28"/>
      <c r="D265" s="28"/>
      <c r="E265" s="28"/>
      <c r="F265" s="28"/>
      <c r="G265" s="28"/>
      <c r="H265" s="28"/>
      <c r="I265" s="28"/>
      <c r="J265" s="28"/>
      <c r="K265" s="28"/>
    </row>
    <row r="266" spans="1:11" ht="15.75" x14ac:dyDescent="0.25">
      <c r="A266" s="101" t="s">
        <v>147</v>
      </c>
      <c r="B266" s="101"/>
      <c r="C266" s="101"/>
      <c r="D266" s="101"/>
      <c r="E266" s="101"/>
      <c r="F266" s="101"/>
      <c r="G266" s="101"/>
      <c r="H266" s="101"/>
      <c r="I266" s="101"/>
      <c r="J266" s="101"/>
      <c r="K266" s="101"/>
    </row>
    <row r="267" spans="1:11" x14ac:dyDescent="0.25">
      <c r="A267" s="102" t="s">
        <v>115</v>
      </c>
      <c r="B267" s="102"/>
      <c r="C267" s="28"/>
      <c r="D267" s="28"/>
      <c r="E267" s="28"/>
      <c r="F267" s="28"/>
      <c r="G267" s="28"/>
      <c r="H267" s="28"/>
      <c r="I267" s="28"/>
      <c r="J267" s="28"/>
      <c r="K267" s="28"/>
    </row>
    <row r="268" spans="1:11" x14ac:dyDescent="0.25">
      <c r="A268" s="28"/>
      <c r="B268" s="28"/>
      <c r="C268" s="28"/>
      <c r="D268" s="28"/>
      <c r="E268" s="28"/>
      <c r="F268" s="28"/>
      <c r="G268" s="28"/>
      <c r="H268" s="28"/>
      <c r="I268" s="28"/>
      <c r="J268" s="28"/>
      <c r="K268" s="28"/>
    </row>
    <row r="269" spans="1:11" x14ac:dyDescent="0.25">
      <c r="A269" s="157" t="s">
        <v>146</v>
      </c>
      <c r="B269" s="157"/>
      <c r="C269" s="157"/>
      <c r="D269" s="157"/>
      <c r="E269" s="157"/>
      <c r="F269" s="157"/>
      <c r="G269" s="157"/>
      <c r="H269" s="157"/>
      <c r="I269" s="157"/>
      <c r="J269" s="157"/>
      <c r="K269" s="157"/>
    </row>
    <row r="270" spans="1:11" x14ac:dyDescent="0.25">
      <c r="A270" s="157"/>
      <c r="B270" s="157"/>
      <c r="C270" s="157"/>
      <c r="D270" s="157"/>
      <c r="E270" s="157"/>
      <c r="F270" s="157"/>
      <c r="G270" s="157"/>
      <c r="H270" s="157"/>
      <c r="I270" s="157"/>
      <c r="J270" s="157"/>
      <c r="K270" s="157"/>
    </row>
    <row r="271" spans="1:11" x14ac:dyDescent="0.25">
      <c r="A271" s="157"/>
      <c r="B271" s="157"/>
      <c r="C271" s="157"/>
      <c r="D271" s="157"/>
      <c r="E271" s="157"/>
      <c r="F271" s="157"/>
      <c r="G271" s="157"/>
      <c r="H271" s="157"/>
      <c r="I271" s="157"/>
      <c r="J271" s="157"/>
      <c r="K271" s="157"/>
    </row>
    <row r="272" spans="1:11" x14ac:dyDescent="0.25">
      <c r="A272" s="104" t="s">
        <v>196</v>
      </c>
      <c r="B272" s="104"/>
      <c r="C272" s="104"/>
      <c r="D272" s="104"/>
      <c r="E272" s="104"/>
      <c r="F272" s="104"/>
      <c r="G272" s="104"/>
      <c r="H272" s="104"/>
      <c r="I272" s="104"/>
      <c r="J272" s="104"/>
      <c r="K272" s="104"/>
    </row>
    <row r="273" spans="1:11" x14ac:dyDescent="0.25">
      <c r="A273" s="54" t="str">
        <f>IF(E25="A","Frequency 400Hz.","Frequency 60Hz.")</f>
        <v>Frequency 60Hz.</v>
      </c>
      <c r="B273" s="54"/>
      <c r="C273" s="54"/>
      <c r="D273" s="54"/>
      <c r="E273" s="54"/>
      <c r="F273" s="54"/>
      <c r="G273" s="54"/>
      <c r="H273" s="54"/>
      <c r="I273" s="54"/>
      <c r="J273" s="54"/>
      <c r="K273" s="54"/>
    </row>
    <row r="274" spans="1:11" x14ac:dyDescent="0.25">
      <c r="A274" s="28"/>
      <c r="B274" s="28"/>
      <c r="C274" s="28"/>
      <c r="D274" s="28"/>
      <c r="E274" s="28"/>
      <c r="F274" s="28"/>
      <c r="G274" s="28"/>
      <c r="H274" s="28"/>
      <c r="I274" s="28"/>
      <c r="J274" s="28"/>
      <c r="K274" s="28"/>
    </row>
    <row r="275" spans="1:11" ht="27" customHeight="1" x14ac:dyDescent="0.25">
      <c r="A275" s="160" t="s">
        <v>12</v>
      </c>
      <c r="B275" s="160"/>
      <c r="C275" s="160" t="s">
        <v>152</v>
      </c>
      <c r="D275" s="160"/>
      <c r="E275" s="160"/>
      <c r="F275" s="160" t="s">
        <v>151</v>
      </c>
      <c r="G275" s="160"/>
      <c r="H275" s="160"/>
      <c r="I275" s="160" t="s">
        <v>150</v>
      </c>
      <c r="J275" s="160"/>
      <c r="K275" s="160"/>
    </row>
    <row r="276" spans="1:11" ht="19.149999999999999" customHeight="1" x14ac:dyDescent="0.25">
      <c r="A276" s="160"/>
      <c r="B276" s="160"/>
      <c r="C276" s="160" t="s">
        <v>153</v>
      </c>
      <c r="D276" s="160"/>
      <c r="E276" s="160"/>
      <c r="F276" s="160" t="s">
        <v>153</v>
      </c>
      <c r="G276" s="160"/>
      <c r="H276" s="160"/>
      <c r="I276" s="160" t="s">
        <v>154</v>
      </c>
      <c r="J276" s="160"/>
      <c r="K276" s="160"/>
    </row>
    <row r="277" spans="1:11" ht="19.149999999999999" customHeight="1" x14ac:dyDescent="0.25">
      <c r="A277" s="170" t="s">
        <v>116</v>
      </c>
      <c r="B277" s="170"/>
      <c r="C277" s="169" t="e">
        <f>VLOOKUP($D$28,'3Ph data'!A:X,16,0)</f>
        <v>#N/A</v>
      </c>
      <c r="D277" s="169"/>
      <c r="E277" s="169"/>
      <c r="F277" s="170"/>
      <c r="G277" s="170"/>
      <c r="H277" s="170"/>
      <c r="I277" s="171" t="e">
        <f>IF($K$312="LMX",VLOOKUP($B$313,'3Ph data'!M:AC,13,0)*0.1/100,IF($K$312="UPC3",VLOOKUP($B$313,'3Ph data'!M:AC,16,0)*0.2/100,VLOOKUP($B$313,'3Ph data'!M:AC,16,0)*0.1/100+0.25/100*C277))</f>
        <v>#N/A</v>
      </c>
      <c r="J277" s="172"/>
      <c r="K277" s="173"/>
    </row>
    <row r="278" spans="1:11" ht="19.149999999999999" customHeight="1" x14ac:dyDescent="0.25">
      <c r="A278" s="170" t="s">
        <v>117</v>
      </c>
      <c r="B278" s="170"/>
      <c r="C278" s="169" t="e">
        <f>VLOOKUP($D$28,'3Ph data'!A:X,16,0)</f>
        <v>#N/A</v>
      </c>
      <c r="D278" s="169"/>
      <c r="E278" s="169"/>
      <c r="F278" s="170"/>
      <c r="G278" s="170"/>
      <c r="H278" s="170"/>
      <c r="I278" s="171" t="e">
        <f>IF($K$312="LMX",VLOOKUP($B$313,'3Ph data'!M:AC,13,0)*0.1/100,IF($K$312="UPC3",VLOOKUP($B$313,'3Ph data'!M:AC,16,0)*0.2/100,VLOOKUP($B$313,'3Ph data'!M:AC,16,0)*0.1/100+0.25/100*C278))</f>
        <v>#N/A</v>
      </c>
      <c r="J278" s="172"/>
      <c r="K278" s="173"/>
    </row>
    <row r="279" spans="1:11" ht="19.149999999999999" customHeight="1" x14ac:dyDescent="0.25">
      <c r="A279" s="170" t="s">
        <v>118</v>
      </c>
      <c r="B279" s="170"/>
      <c r="C279" s="169" t="e">
        <f>VLOOKUP($D$28,'3Ph data'!A:X,16,0)</f>
        <v>#N/A</v>
      </c>
      <c r="D279" s="169"/>
      <c r="E279" s="169"/>
      <c r="F279" s="170"/>
      <c r="G279" s="170"/>
      <c r="H279" s="170"/>
      <c r="I279" s="171" t="e">
        <f>IF($K$312="LMX",VLOOKUP($B$313,'3Ph data'!M:AC,13,0)*0.1/100,IF($K$312="UPC3",VLOOKUP($B$313,'3Ph data'!M:AC,16,0)*0.2/100,VLOOKUP($B$313,'3Ph data'!M:AC,16,0)*0.1/100+0.25/100*C279))</f>
        <v>#N/A</v>
      </c>
      <c r="J279" s="172"/>
      <c r="K279" s="173"/>
    </row>
    <row r="280" spans="1:11" ht="19.149999999999999" customHeight="1" x14ac:dyDescent="0.25">
      <c r="A280" s="170" t="s">
        <v>116</v>
      </c>
      <c r="B280" s="170"/>
      <c r="C280" s="174" t="e">
        <f>VLOOKUP($D$28,'3Ph data'!A:X,17,0)</f>
        <v>#N/A</v>
      </c>
      <c r="D280" s="174"/>
      <c r="E280" s="174"/>
      <c r="F280" s="170"/>
      <c r="G280" s="170"/>
      <c r="H280" s="170"/>
      <c r="I280" s="171" t="e">
        <f>IF($K$312="LMX",VLOOKUP($B$313,'3Ph data'!M:AC,13,0)*0.1/100,IF($K$312="UPC3",VLOOKUP($B$313,'3Ph data'!M:AC,16,0)*0.2/100,VLOOKUP($B$313,'3Ph data'!M:AC,16,0)*0.1/100+0.25/100*C280))</f>
        <v>#N/A</v>
      </c>
      <c r="J280" s="172"/>
      <c r="K280" s="173"/>
    </row>
    <row r="281" spans="1:11" ht="19.149999999999999" customHeight="1" x14ac:dyDescent="0.25">
      <c r="A281" s="170" t="s">
        <v>117</v>
      </c>
      <c r="B281" s="170"/>
      <c r="C281" s="174" t="e">
        <f>VLOOKUP($D$28,'3Ph data'!A:X,17,0)</f>
        <v>#N/A</v>
      </c>
      <c r="D281" s="174"/>
      <c r="E281" s="174"/>
      <c r="F281" s="170"/>
      <c r="G281" s="170"/>
      <c r="H281" s="170"/>
      <c r="I281" s="171" t="e">
        <f>IF($K$312="LMX",VLOOKUP($B$313,'3Ph data'!M:AC,13,0)*0.1/100,IF($K$312="UPC3",VLOOKUP($B$313,'3Ph data'!M:AC,16,0)*0.2/100,VLOOKUP($B$313,'3Ph data'!M:AC,16,0)*0.1/100+0.25/100*C281))</f>
        <v>#N/A</v>
      </c>
      <c r="J281" s="172"/>
      <c r="K281" s="173"/>
    </row>
    <row r="282" spans="1:11" ht="19.149999999999999" customHeight="1" x14ac:dyDescent="0.25">
      <c r="A282" s="170" t="s">
        <v>118</v>
      </c>
      <c r="B282" s="170"/>
      <c r="C282" s="174" t="e">
        <f>VLOOKUP($D$28,'3Ph data'!A:X,17,0)</f>
        <v>#N/A</v>
      </c>
      <c r="D282" s="174"/>
      <c r="E282" s="174"/>
      <c r="F282" s="170"/>
      <c r="G282" s="170"/>
      <c r="H282" s="170"/>
      <c r="I282" s="171" t="e">
        <f>IF($K$312="LMX",VLOOKUP($B$313,'3Ph data'!M:AC,13,0)*0.1/100,IF($K$312="UPC3",VLOOKUP($B$313,'3Ph data'!M:AC,16,0)*0.2/100,VLOOKUP($B$313,'3Ph data'!M:AC,16,0)*0.1/100+0.25/100*C282))</f>
        <v>#N/A</v>
      </c>
      <c r="J282" s="172"/>
      <c r="K282" s="173"/>
    </row>
    <row r="283" spans="1:11" ht="19.149999999999999" customHeight="1" x14ac:dyDescent="0.25">
      <c r="A283" s="170" t="s">
        <v>116</v>
      </c>
      <c r="B283" s="170"/>
      <c r="C283" s="174" t="e">
        <f>VLOOKUP($D$28,'3Ph data'!A:X,18,0)</f>
        <v>#N/A</v>
      </c>
      <c r="D283" s="174"/>
      <c r="E283" s="174"/>
      <c r="F283" s="170"/>
      <c r="G283" s="170"/>
      <c r="H283" s="170"/>
      <c r="I283" s="171" t="e">
        <f>IF($K$312="LMX",VLOOKUP($B$313,'3Ph data'!M:AC,13,0)*0.1/100,IF($K$312="UPC3",VLOOKUP($B$313,'3Ph data'!M:AC,16,0)*0.2/100,VLOOKUP($B$313,'3Ph data'!M:AC,16,0)*0.1/100+0.25/100*C283))</f>
        <v>#N/A</v>
      </c>
      <c r="J283" s="172"/>
      <c r="K283" s="173"/>
    </row>
    <row r="284" spans="1:11" ht="19.149999999999999" customHeight="1" x14ac:dyDescent="0.25">
      <c r="A284" s="170" t="s">
        <v>117</v>
      </c>
      <c r="B284" s="170"/>
      <c r="C284" s="174" t="e">
        <f>VLOOKUP($D$28,'3Ph data'!A:X,18,0)</f>
        <v>#N/A</v>
      </c>
      <c r="D284" s="174"/>
      <c r="E284" s="174"/>
      <c r="F284" s="170"/>
      <c r="G284" s="170"/>
      <c r="H284" s="170"/>
      <c r="I284" s="171" t="e">
        <f>IF($K$312="LMX",VLOOKUP($B$313,'3Ph data'!M:AC,13,0)*0.1/100,IF($K$312="UPC3",VLOOKUP($B$313,'3Ph data'!M:AC,16,0)*0.2/100,VLOOKUP($B$313,'3Ph data'!M:AC,16,0)*0.1/100+0.25/100*C284))</f>
        <v>#N/A</v>
      </c>
      <c r="J284" s="172"/>
      <c r="K284" s="173"/>
    </row>
    <row r="285" spans="1:11" ht="19.149999999999999" customHeight="1" x14ac:dyDescent="0.25">
      <c r="A285" s="170" t="s">
        <v>118</v>
      </c>
      <c r="B285" s="170"/>
      <c r="C285" s="174" t="e">
        <f>VLOOKUP($D$28,'3Ph data'!A:X,18,0)</f>
        <v>#N/A</v>
      </c>
      <c r="D285" s="174"/>
      <c r="E285" s="174"/>
      <c r="F285" s="170"/>
      <c r="G285" s="170"/>
      <c r="H285" s="170"/>
      <c r="I285" s="171" t="e">
        <f>IF($K$312="LMX",VLOOKUP($B$313,'3Ph data'!M:AC,13,0)*0.1/100,IF($K$312="UPC3",VLOOKUP($B$313,'3Ph data'!M:AC,16,0)*0.2/100,VLOOKUP($B$313,'3Ph data'!M:AC,16,0)*0.1/100+0.25/100*C285))</f>
        <v>#N/A</v>
      </c>
      <c r="J285" s="172"/>
      <c r="K285" s="173"/>
    </row>
    <row r="286" spans="1:11" ht="19.149999999999999" customHeight="1" x14ac:dyDescent="0.25">
      <c r="A286" s="170" t="s">
        <v>116</v>
      </c>
      <c r="B286" s="170"/>
      <c r="C286" s="174" t="e">
        <f>VLOOKUP($D$28,'3Ph data'!A:X,19,0)</f>
        <v>#N/A</v>
      </c>
      <c r="D286" s="174"/>
      <c r="E286" s="174"/>
      <c r="F286" s="170"/>
      <c r="G286" s="170"/>
      <c r="H286" s="170"/>
      <c r="I286" s="171" t="e">
        <f>IF($K$312="LMX",VLOOKUP($B$313,'3Ph data'!M:AC,13,0)*0.1/100,IF($K$312="UPC3",VLOOKUP($B$313,'3Ph data'!M:AC,16,0)*0.2/100,VLOOKUP($B$313,'3Ph data'!M:AC,16,0)*0.1/100+0.25/100*C286))</f>
        <v>#N/A</v>
      </c>
      <c r="J286" s="172"/>
      <c r="K286" s="173"/>
    </row>
    <row r="287" spans="1:11" ht="19.149999999999999" customHeight="1" x14ac:dyDescent="0.25">
      <c r="A287" s="170" t="s">
        <v>117</v>
      </c>
      <c r="B287" s="170"/>
      <c r="C287" s="174" t="e">
        <f>VLOOKUP($D$28,'3Ph data'!A:X,19,0)</f>
        <v>#N/A</v>
      </c>
      <c r="D287" s="174"/>
      <c r="E287" s="174"/>
      <c r="F287" s="170"/>
      <c r="G287" s="170"/>
      <c r="H287" s="170"/>
      <c r="I287" s="171" t="e">
        <f>IF($K$312="LMX",VLOOKUP($B$313,'3Ph data'!M:AC,13,0)*0.1/100,IF($K$312="UPC3",VLOOKUP($B$313,'3Ph data'!M:AC,16,0)*0.2/100,VLOOKUP($B$313,'3Ph data'!M:AC,16,0)*0.1/100+0.25/100*C287))</f>
        <v>#N/A</v>
      </c>
      <c r="J287" s="172"/>
      <c r="K287" s="173"/>
    </row>
    <row r="288" spans="1:11" ht="19.149999999999999" customHeight="1" x14ac:dyDescent="0.25">
      <c r="A288" s="170" t="s">
        <v>118</v>
      </c>
      <c r="B288" s="170"/>
      <c r="C288" s="174" t="e">
        <f>VLOOKUP($D$28,'3Ph data'!A:X,19,0)</f>
        <v>#N/A</v>
      </c>
      <c r="D288" s="174"/>
      <c r="E288" s="174"/>
      <c r="F288" s="170"/>
      <c r="G288" s="170"/>
      <c r="H288" s="170"/>
      <c r="I288" s="171" t="e">
        <f>IF($K$312="LMX",VLOOKUP($B$313,'3Ph data'!M:AC,13,0)*0.1/100,IF($K$312="UPC3",VLOOKUP($B$313,'3Ph data'!M:AC,16,0)*0.2/100,VLOOKUP($B$313,'3Ph data'!M:AC,16,0)*0.1/100+0.25/100*C288))</f>
        <v>#N/A</v>
      </c>
      <c r="J288" s="172"/>
      <c r="K288" s="173"/>
    </row>
    <row r="289" spans="1:11" ht="19.149999999999999" customHeight="1" x14ac:dyDescent="0.25">
      <c r="A289" s="170" t="s">
        <v>116</v>
      </c>
      <c r="B289" s="170"/>
      <c r="C289" s="174" t="e">
        <f>VLOOKUP($D$28,'3Ph data'!A:X,20,0)</f>
        <v>#N/A</v>
      </c>
      <c r="D289" s="174"/>
      <c r="E289" s="174"/>
      <c r="F289" s="170"/>
      <c r="G289" s="170"/>
      <c r="H289" s="170"/>
      <c r="I289" s="171" t="e">
        <f>IF($K$312="LMX",VLOOKUP($B$313,'3Ph data'!M:AC,13,0)*0.1/100,IF($K$312="UPC3",VLOOKUP($B$313,'3Ph data'!M:AC,16,0)*0.2/100,VLOOKUP($B$313,'3Ph data'!M:AC,16,0)*0.1/100+0.25/100*C289))</f>
        <v>#N/A</v>
      </c>
      <c r="J289" s="172"/>
      <c r="K289" s="173"/>
    </row>
    <row r="290" spans="1:11" ht="19.149999999999999" customHeight="1" x14ac:dyDescent="0.25">
      <c r="A290" s="170" t="s">
        <v>117</v>
      </c>
      <c r="B290" s="170"/>
      <c r="C290" s="174" t="e">
        <f>VLOOKUP($D$28,'3Ph data'!A:X,20,0)</f>
        <v>#N/A</v>
      </c>
      <c r="D290" s="174"/>
      <c r="E290" s="174"/>
      <c r="F290" s="170"/>
      <c r="G290" s="170"/>
      <c r="H290" s="170"/>
      <c r="I290" s="171" t="e">
        <f>IF($K$312="LMX",VLOOKUP($B$313,'3Ph data'!M:AC,13,0)*0.1/100,IF($K$312="UPC3",VLOOKUP($B$313,'3Ph data'!M:AC,16,0)*0.2/100,VLOOKUP($B$313,'3Ph data'!M:AC,16,0)*0.1/100+0.25/100*C290))</f>
        <v>#N/A</v>
      </c>
      <c r="J290" s="172"/>
      <c r="K290" s="173"/>
    </row>
    <row r="291" spans="1:11" ht="19.149999999999999" customHeight="1" x14ac:dyDescent="0.25">
      <c r="A291" s="170" t="s">
        <v>118</v>
      </c>
      <c r="B291" s="170"/>
      <c r="C291" s="174" t="e">
        <f>VLOOKUP($D$28,'3Ph data'!A:X,20,0)</f>
        <v>#N/A</v>
      </c>
      <c r="D291" s="174"/>
      <c r="E291" s="174"/>
      <c r="F291" s="170"/>
      <c r="G291" s="170"/>
      <c r="H291" s="170"/>
      <c r="I291" s="171" t="e">
        <f>IF($K$312="LMX",VLOOKUP($B$313,'3Ph data'!M:AC,13,0)*0.1/100,IF($K$312="UPC3",VLOOKUP($B$313,'3Ph data'!M:AC,16,0)*0.2/100,VLOOKUP($B$313,'3Ph data'!M:AC,16,0)*0.1/100+0.25/100*C291))</f>
        <v>#N/A</v>
      </c>
      <c r="J291" s="172"/>
      <c r="K291" s="173"/>
    </row>
    <row r="292" spans="1:11" ht="19.149999999999999" customHeight="1" x14ac:dyDescent="0.25">
      <c r="A292" s="170" t="s">
        <v>116</v>
      </c>
      <c r="B292" s="170"/>
      <c r="C292" s="174" t="e">
        <f>VLOOKUP($D$28,'3Ph data'!A:X,21,0)</f>
        <v>#N/A</v>
      </c>
      <c r="D292" s="174"/>
      <c r="E292" s="174"/>
      <c r="F292" s="170"/>
      <c r="G292" s="170"/>
      <c r="H292" s="170"/>
      <c r="I292" s="171" t="e">
        <f>IF($K$312="LMX",VLOOKUP($B$313,'3Ph data'!M:AC,13,0)*0.1/100,IF($K$312="UPC3",VLOOKUP($B$313,'3Ph data'!M:AC,16,0)*0.2/100,VLOOKUP($B$313,'3Ph data'!M:AC,16,0)*0.1/100+0.25/100*C292))</f>
        <v>#N/A</v>
      </c>
      <c r="J292" s="172"/>
      <c r="K292" s="173"/>
    </row>
    <row r="293" spans="1:11" ht="19.149999999999999" customHeight="1" x14ac:dyDescent="0.25">
      <c r="A293" s="170" t="s">
        <v>117</v>
      </c>
      <c r="B293" s="170"/>
      <c r="C293" s="174" t="e">
        <f>VLOOKUP($D$28,'3Ph data'!A:X,21,0)</f>
        <v>#N/A</v>
      </c>
      <c r="D293" s="174"/>
      <c r="E293" s="174"/>
      <c r="F293" s="170"/>
      <c r="G293" s="170"/>
      <c r="H293" s="170"/>
      <c r="I293" s="171" t="e">
        <f>IF($K$312="LMX",VLOOKUP($B$313,'3Ph data'!M:AC,13,0)*0.1/100,IF($K$312="UPC3",VLOOKUP($B$313,'3Ph data'!M:AC,16,0)*0.2/100,VLOOKUP($B$313,'3Ph data'!M:AC,16,0)*0.1/100+0.25/100*C293))</f>
        <v>#N/A</v>
      </c>
      <c r="J293" s="172"/>
      <c r="K293" s="173"/>
    </row>
    <row r="294" spans="1:11" ht="19.149999999999999" customHeight="1" x14ac:dyDescent="0.25">
      <c r="A294" s="170" t="s">
        <v>118</v>
      </c>
      <c r="B294" s="170"/>
      <c r="C294" s="174" t="e">
        <f>VLOOKUP($D$28,'3Ph data'!A:X,21,0)</f>
        <v>#N/A</v>
      </c>
      <c r="D294" s="174"/>
      <c r="E294" s="174"/>
      <c r="F294" s="170"/>
      <c r="G294" s="170"/>
      <c r="H294" s="170"/>
      <c r="I294" s="171" t="e">
        <f>IF($K$312="LMX",VLOOKUP($B$313,'3Ph data'!M:AC,13,0)*0.1/100,IF($K$312="UPC3",VLOOKUP($B$313,'3Ph data'!M:AC,16,0)*0.2/100,VLOOKUP($B$313,'3Ph data'!M:AC,16,0)*0.1/100+0.25/100*C294))</f>
        <v>#N/A</v>
      </c>
      <c r="J294" s="172"/>
      <c r="K294" s="173"/>
    </row>
    <row r="295" spans="1:11" x14ac:dyDescent="0.25">
      <c r="A295" s="28"/>
      <c r="B295" s="28"/>
      <c r="C295" s="28"/>
      <c r="D295" s="28"/>
      <c r="E295" s="28"/>
      <c r="F295" s="28"/>
      <c r="G295" s="28"/>
      <c r="H295" s="28"/>
      <c r="I295" s="28"/>
      <c r="J295" s="28"/>
      <c r="K295" s="28"/>
    </row>
    <row r="296" spans="1:11" ht="15.75" x14ac:dyDescent="0.25">
      <c r="A296" s="101" t="s">
        <v>155</v>
      </c>
      <c r="B296" s="101"/>
      <c r="C296" s="101"/>
      <c r="D296" s="101"/>
      <c r="E296" s="101"/>
      <c r="F296" s="101"/>
      <c r="G296" s="101"/>
      <c r="H296" s="101"/>
      <c r="I296" s="101"/>
      <c r="J296" s="101"/>
      <c r="K296" s="101"/>
    </row>
    <row r="297" spans="1:11" x14ac:dyDescent="0.25">
      <c r="A297" s="28"/>
      <c r="B297" s="28"/>
      <c r="C297" s="28"/>
      <c r="D297" s="28"/>
      <c r="E297" s="28"/>
      <c r="F297" s="28"/>
      <c r="G297" s="28"/>
      <c r="H297" s="28"/>
      <c r="I297" s="28"/>
      <c r="J297" s="28"/>
      <c r="K297" s="28"/>
    </row>
    <row r="298" spans="1:11" ht="14.45" customHeight="1" x14ac:dyDescent="0.25">
      <c r="A298" s="160" t="s">
        <v>12</v>
      </c>
      <c r="B298" s="160"/>
      <c r="C298" s="160" t="s">
        <v>152</v>
      </c>
      <c r="D298" s="160"/>
      <c r="E298" s="160"/>
      <c r="F298" s="160" t="s">
        <v>151</v>
      </c>
      <c r="G298" s="160"/>
      <c r="H298" s="160"/>
      <c r="I298" s="160" t="s">
        <v>150</v>
      </c>
      <c r="J298" s="160"/>
      <c r="K298" s="160"/>
    </row>
    <row r="299" spans="1:11" x14ac:dyDescent="0.25">
      <c r="A299" s="160"/>
      <c r="B299" s="160"/>
      <c r="C299" s="160" t="s">
        <v>153</v>
      </c>
      <c r="D299" s="160"/>
      <c r="E299" s="160"/>
      <c r="F299" s="160" t="s">
        <v>153</v>
      </c>
      <c r="G299" s="160"/>
      <c r="H299" s="160"/>
      <c r="I299" s="160" t="s">
        <v>154</v>
      </c>
      <c r="J299" s="160"/>
      <c r="K299" s="160"/>
    </row>
    <row r="300" spans="1:11" x14ac:dyDescent="0.25">
      <c r="A300" s="170" t="s">
        <v>116</v>
      </c>
      <c r="B300" s="170"/>
      <c r="C300" s="174" t="e">
        <f>VLOOKUP($D$28,'3Ph data'!A:X,24,0)</f>
        <v>#N/A</v>
      </c>
      <c r="D300" s="174"/>
      <c r="E300" s="174"/>
      <c r="F300" s="170"/>
      <c r="G300" s="170"/>
      <c r="H300" s="170"/>
      <c r="I300" s="171" t="e">
        <f>IF($K$312="LMX",VLOOKUP($B$313,'3Ph data'!M:AC,14,0)*0.1/100,IF($K$312="UPC3",VLOOKUP($B$313,'3Ph data'!M:AC,17,0)*0.2/100,VLOOKUP($B$313,'3Ph data'!M:AC,17,0)*0.1/100+0.25/100*C300))</f>
        <v>#N/A</v>
      </c>
      <c r="J300" s="172"/>
      <c r="K300" s="173"/>
    </row>
    <row r="301" spans="1:11" x14ac:dyDescent="0.25">
      <c r="A301" s="28"/>
      <c r="B301" s="28"/>
      <c r="C301" s="28"/>
      <c r="D301" s="28"/>
      <c r="E301" s="28"/>
      <c r="F301" s="28"/>
      <c r="G301" s="28"/>
      <c r="H301" s="28"/>
      <c r="I301" s="28"/>
      <c r="J301" s="28"/>
      <c r="K301" s="28"/>
    </row>
    <row r="302" spans="1:11" ht="15.75" x14ac:dyDescent="0.25">
      <c r="A302" s="8" t="s">
        <v>124</v>
      </c>
      <c r="B302" s="28"/>
      <c r="C302" s="28" t="s">
        <v>156</v>
      </c>
      <c r="D302" s="28"/>
      <c r="E302" s="28"/>
      <c r="F302" s="28"/>
      <c r="G302" s="28"/>
      <c r="H302" s="28"/>
      <c r="I302" s="28"/>
      <c r="J302" s="28"/>
      <c r="K302" s="28"/>
    </row>
    <row r="303" spans="1:11" x14ac:dyDescent="0.25">
      <c r="A303" s="28"/>
      <c r="B303" s="28"/>
      <c r="C303" s="28" t="s">
        <v>157</v>
      </c>
      <c r="D303" s="28"/>
      <c r="E303" s="28"/>
      <c r="F303" s="28"/>
      <c r="G303" s="28"/>
      <c r="H303" s="28"/>
      <c r="I303" s="28"/>
      <c r="J303" s="28"/>
      <c r="K303" s="28"/>
    </row>
    <row r="304" spans="1:11" x14ac:dyDescent="0.25">
      <c r="A304" s="28"/>
      <c r="B304" s="28"/>
      <c r="C304" s="28"/>
      <c r="D304" s="28"/>
      <c r="E304" s="28"/>
      <c r="F304" s="28"/>
      <c r="G304" s="28"/>
      <c r="H304" s="28"/>
      <c r="I304" s="28"/>
      <c r="J304" s="28"/>
      <c r="K304" s="28"/>
    </row>
    <row r="305" spans="1:11" x14ac:dyDescent="0.25">
      <c r="A305" s="28"/>
      <c r="B305" s="28"/>
      <c r="C305" s="28"/>
      <c r="D305" s="28"/>
      <c r="E305" s="28"/>
      <c r="F305" s="28"/>
      <c r="G305" s="28"/>
      <c r="H305" s="28"/>
      <c r="I305" s="28"/>
      <c r="J305" s="28"/>
      <c r="K305" s="28"/>
    </row>
    <row r="306" spans="1:11" x14ac:dyDescent="0.25">
      <c r="A306" s="28"/>
      <c r="B306" s="28"/>
      <c r="C306" s="28"/>
      <c r="D306" s="28"/>
      <c r="E306" s="28"/>
      <c r="F306" s="28"/>
      <c r="G306" s="28"/>
      <c r="H306" s="28"/>
      <c r="I306" s="28"/>
      <c r="J306" s="28"/>
      <c r="K306" s="28"/>
    </row>
    <row r="307" spans="1:11" x14ac:dyDescent="0.25">
      <c r="A307" s="28"/>
      <c r="B307" s="28"/>
      <c r="C307" s="28"/>
      <c r="D307" s="28"/>
      <c r="E307" s="28"/>
      <c r="F307" s="28"/>
      <c r="G307" s="28"/>
      <c r="H307" s="28"/>
      <c r="I307" s="28"/>
      <c r="J307" s="28"/>
      <c r="K307" s="28"/>
    </row>
    <row r="308" spans="1:11" x14ac:dyDescent="0.25">
      <c r="A308" s="28"/>
      <c r="B308" s="28"/>
      <c r="C308" s="28"/>
      <c r="D308" s="28"/>
      <c r="E308" s="28"/>
      <c r="F308" s="28"/>
      <c r="G308" s="28"/>
      <c r="H308" s="28"/>
      <c r="I308" s="28"/>
      <c r="J308" s="28"/>
      <c r="K308" s="28"/>
    </row>
    <row r="309" spans="1:11" x14ac:dyDescent="0.25">
      <c r="A309" s="153" t="s">
        <v>158</v>
      </c>
      <c r="B309" s="153"/>
      <c r="C309" s="153"/>
      <c r="D309" s="153"/>
      <c r="E309" s="153"/>
      <c r="F309" s="153"/>
      <c r="G309" s="153"/>
      <c r="H309" s="153"/>
      <c r="I309" s="153"/>
      <c r="J309" s="153"/>
      <c r="K309" s="153"/>
    </row>
    <row r="310" spans="1:11" x14ac:dyDescent="0.25">
      <c r="A310" s="177" t="s">
        <v>163</v>
      </c>
      <c r="B310" s="177"/>
      <c r="C310" s="177"/>
      <c r="D310" s="177"/>
      <c r="E310" s="177"/>
      <c r="F310" s="177"/>
      <c r="G310" s="177"/>
      <c r="H310" s="177"/>
      <c r="I310" s="177"/>
      <c r="J310" s="177"/>
      <c r="K310" s="177"/>
    </row>
    <row r="311" spans="1:11" x14ac:dyDescent="0.25">
      <c r="A311" s="177"/>
      <c r="B311" s="177"/>
      <c r="C311" s="177"/>
      <c r="D311" s="177"/>
      <c r="E311" s="177"/>
      <c r="F311" s="177"/>
      <c r="G311" s="177"/>
      <c r="H311" s="177"/>
      <c r="I311" s="177"/>
      <c r="J311" s="177"/>
      <c r="K311" s="177"/>
    </row>
    <row r="312" spans="1:11" x14ac:dyDescent="0.25">
      <c r="A312" s="50" t="s">
        <v>164</v>
      </c>
      <c r="B312" s="178" t="str">
        <f>D17</f>
        <v>Caltest Instruments Ltd</v>
      </c>
      <c r="C312" s="178"/>
      <c r="D312" s="178"/>
      <c r="E312" s="178"/>
      <c r="F312" s="50" t="s">
        <v>165</v>
      </c>
      <c r="G312" s="178">
        <f>D30</f>
        <v>1243</v>
      </c>
      <c r="H312" s="178"/>
      <c r="I312" s="39" t="s">
        <v>214</v>
      </c>
      <c r="J312" s="39"/>
      <c r="K312" s="39" t="e">
        <f>VLOOKUP(B313,'3Ph data'!A:K,11,0)</f>
        <v>#N/A</v>
      </c>
    </row>
    <row r="313" spans="1:11" x14ac:dyDescent="0.25">
      <c r="A313" s="50" t="s">
        <v>83</v>
      </c>
      <c r="B313" s="178" t="str">
        <f>D28</f>
        <v/>
      </c>
      <c r="C313" s="178"/>
      <c r="D313" s="178"/>
      <c r="E313" s="178"/>
      <c r="F313" s="50" t="s">
        <v>166</v>
      </c>
      <c r="G313" s="179">
        <f>D34</f>
        <v>44175</v>
      </c>
      <c r="H313" s="179"/>
      <c r="I313" s="39" t="s">
        <v>233</v>
      </c>
      <c r="J313" s="39"/>
      <c r="K313" s="39" t="e">
        <f>VLOOKUP(B313,'3Ph data'!A:L,12,0)</f>
        <v>#N/A</v>
      </c>
    </row>
    <row r="314" spans="1:11" x14ac:dyDescent="0.25">
      <c r="A314" s="28"/>
      <c r="B314" s="28"/>
      <c r="C314" s="28"/>
      <c r="D314" s="28"/>
      <c r="E314" s="28"/>
      <c r="F314" s="28"/>
      <c r="G314" s="28"/>
      <c r="H314" s="28"/>
      <c r="I314" s="28"/>
      <c r="J314" s="28"/>
      <c r="K314" s="28"/>
    </row>
    <row r="315" spans="1:11" x14ac:dyDescent="0.25">
      <c r="A315" s="175" t="s">
        <v>167</v>
      </c>
      <c r="B315" s="175"/>
      <c r="C315" s="175"/>
      <c r="D315" s="175"/>
      <c r="E315" s="175"/>
      <c r="F315" s="175"/>
      <c r="G315" s="175"/>
      <c r="H315" s="175"/>
      <c r="I315" s="175"/>
      <c r="J315" s="175"/>
      <c r="K315" s="175"/>
    </row>
    <row r="316" spans="1:11" x14ac:dyDescent="0.25">
      <c r="A316" s="39" t="s">
        <v>168</v>
      </c>
      <c r="B316" s="39" t="s">
        <v>12</v>
      </c>
      <c r="C316" s="176" t="s">
        <v>169</v>
      </c>
      <c r="D316" s="176"/>
      <c r="E316" s="39" t="s">
        <v>12</v>
      </c>
      <c r="F316" s="176" t="s">
        <v>169</v>
      </c>
      <c r="G316" s="176"/>
      <c r="H316" s="39" t="s">
        <v>12</v>
      </c>
      <c r="I316" s="176" t="s">
        <v>169</v>
      </c>
      <c r="J316" s="176"/>
      <c r="K316" s="39"/>
    </row>
    <row r="317" spans="1:11" x14ac:dyDescent="0.25">
      <c r="A317" s="39" t="s">
        <v>170</v>
      </c>
      <c r="B317" s="39" t="s">
        <v>173</v>
      </c>
      <c r="C317" s="176"/>
      <c r="D317" s="176"/>
      <c r="E317" s="39" t="s">
        <v>174</v>
      </c>
      <c r="F317" s="176"/>
      <c r="G317" s="176"/>
      <c r="H317" s="39" t="s">
        <v>175</v>
      </c>
      <c r="I317" s="176"/>
      <c r="J317" s="176"/>
      <c r="K317" s="39"/>
    </row>
    <row r="318" spans="1:11" x14ac:dyDescent="0.25">
      <c r="A318" s="39" t="s">
        <v>171</v>
      </c>
      <c r="B318" s="39" t="s">
        <v>173</v>
      </c>
      <c r="C318" s="176"/>
      <c r="D318" s="176"/>
      <c r="E318" s="39" t="s">
        <v>174</v>
      </c>
      <c r="F318" s="176"/>
      <c r="G318" s="176"/>
      <c r="H318" s="39" t="s">
        <v>175</v>
      </c>
      <c r="I318" s="176"/>
      <c r="J318" s="176"/>
      <c r="K318" s="39"/>
    </row>
    <row r="319" spans="1:11" x14ac:dyDescent="0.25">
      <c r="A319" s="39" t="s">
        <v>508</v>
      </c>
      <c r="B319" s="39" t="s">
        <v>173</v>
      </c>
      <c r="C319" s="176"/>
      <c r="D319" s="176"/>
      <c r="E319" s="39" t="s">
        <v>174</v>
      </c>
      <c r="F319" s="176"/>
      <c r="G319" s="176"/>
      <c r="H319" s="39" t="s">
        <v>175</v>
      </c>
      <c r="I319" s="176"/>
      <c r="J319" s="176"/>
      <c r="K319" s="39"/>
    </row>
    <row r="320" spans="1:11" x14ac:dyDescent="0.25">
      <c r="A320" s="39" t="s">
        <v>172</v>
      </c>
      <c r="B320" s="39" t="s">
        <v>173</v>
      </c>
      <c r="C320" s="176"/>
      <c r="D320" s="176"/>
      <c r="E320" s="39" t="s">
        <v>174</v>
      </c>
      <c r="F320" s="176"/>
      <c r="G320" s="176"/>
      <c r="H320" s="39" t="s">
        <v>175</v>
      </c>
      <c r="I320" s="176"/>
      <c r="J320" s="176"/>
      <c r="K320" s="39"/>
    </row>
    <row r="321" spans="1:11" x14ac:dyDescent="0.25">
      <c r="A321" s="28"/>
      <c r="B321" s="28"/>
      <c r="C321" s="28"/>
      <c r="D321" s="28"/>
      <c r="E321" s="28"/>
      <c r="F321" s="28"/>
      <c r="G321" s="28"/>
      <c r="H321" s="28"/>
      <c r="I321" s="28"/>
      <c r="J321" s="28"/>
      <c r="K321" s="28"/>
    </row>
    <row r="322" spans="1:11" x14ac:dyDescent="0.25">
      <c r="A322" s="28"/>
      <c r="B322" s="160" t="s">
        <v>176</v>
      </c>
      <c r="C322" s="160"/>
      <c r="D322" s="160"/>
      <c r="E322" s="28"/>
      <c r="F322" s="28"/>
      <c r="G322" s="160" t="s">
        <v>177</v>
      </c>
      <c r="H322" s="160"/>
      <c r="I322" s="160"/>
      <c r="J322" s="28"/>
      <c r="K322" s="28"/>
    </row>
    <row r="323" spans="1:11" x14ac:dyDescent="0.25">
      <c r="A323" s="28"/>
      <c r="B323" s="160"/>
      <c r="C323" s="160"/>
      <c r="D323" s="160"/>
      <c r="E323" s="28"/>
      <c r="F323" s="28"/>
      <c r="G323" s="160"/>
      <c r="H323" s="160"/>
      <c r="I323" s="160"/>
      <c r="J323" s="28"/>
      <c r="K323" s="28"/>
    </row>
    <row r="324" spans="1:11" x14ac:dyDescent="0.25">
      <c r="A324" s="28"/>
      <c r="B324" s="39" t="s">
        <v>168</v>
      </c>
      <c r="C324" s="176"/>
      <c r="D324" s="176"/>
      <c r="E324" s="28"/>
      <c r="F324" s="28"/>
      <c r="G324" s="39" t="s">
        <v>168</v>
      </c>
      <c r="H324" s="176"/>
      <c r="I324" s="176"/>
      <c r="J324" s="28"/>
      <c r="K324" s="28"/>
    </row>
    <row r="325" spans="1:11" x14ac:dyDescent="0.25">
      <c r="A325" s="28"/>
      <c r="B325" s="39" t="s">
        <v>170</v>
      </c>
      <c r="C325" s="176"/>
      <c r="D325" s="176"/>
      <c r="E325" s="28"/>
      <c r="F325" s="28"/>
      <c r="G325" s="39" t="s">
        <v>170</v>
      </c>
      <c r="H325" s="176"/>
      <c r="I325" s="176"/>
      <c r="J325" s="28"/>
      <c r="K325" s="28"/>
    </row>
    <row r="326" spans="1:11" x14ac:dyDescent="0.25">
      <c r="A326" s="28"/>
      <c r="B326" s="39" t="s">
        <v>171</v>
      </c>
      <c r="C326" s="176"/>
      <c r="D326" s="176"/>
      <c r="E326" s="28"/>
      <c r="F326" s="28"/>
      <c r="G326" s="39" t="s">
        <v>171</v>
      </c>
      <c r="H326" s="176"/>
      <c r="I326" s="176"/>
      <c r="J326" s="28"/>
      <c r="K326" s="28"/>
    </row>
    <row r="327" spans="1:11" x14ac:dyDescent="0.25">
      <c r="A327" s="28"/>
      <c r="B327" s="39" t="s">
        <v>170</v>
      </c>
      <c r="C327" s="176"/>
      <c r="D327" s="176"/>
      <c r="E327" s="28"/>
      <c r="F327" s="28"/>
      <c r="G327" s="39" t="s">
        <v>170</v>
      </c>
      <c r="H327" s="176"/>
      <c r="I327" s="176"/>
      <c r="J327" s="28"/>
      <c r="K327" s="28"/>
    </row>
    <row r="328" spans="1:11" x14ac:dyDescent="0.25">
      <c r="A328" s="28"/>
      <c r="B328" s="39" t="s">
        <v>172</v>
      </c>
      <c r="C328" s="176"/>
      <c r="D328" s="176"/>
      <c r="E328" s="28"/>
      <c r="F328" s="28"/>
      <c r="G328" s="39" t="s">
        <v>172</v>
      </c>
      <c r="H328" s="176"/>
      <c r="I328" s="176"/>
      <c r="J328" s="28"/>
      <c r="K328" s="28"/>
    </row>
    <row r="329" spans="1:11" x14ac:dyDescent="0.25">
      <c r="A329" s="28"/>
      <c r="B329" s="28"/>
      <c r="C329" s="28"/>
      <c r="D329" s="28"/>
      <c r="E329" s="28"/>
      <c r="F329" s="28"/>
      <c r="G329" s="28"/>
      <c r="H329" s="28"/>
      <c r="I329" s="28"/>
      <c r="J329" s="28"/>
      <c r="K329" s="28"/>
    </row>
    <row r="330" spans="1:11" x14ac:dyDescent="0.25">
      <c r="A330" s="28"/>
      <c r="B330" s="106" t="s">
        <v>178</v>
      </c>
      <c r="C330" s="106"/>
      <c r="D330" s="106"/>
      <c r="E330" s="106"/>
      <c r="F330" s="106"/>
      <c r="G330" s="106"/>
      <c r="H330" s="106"/>
      <c r="I330" s="106"/>
      <c r="J330" s="106"/>
      <c r="K330" s="28"/>
    </row>
    <row r="331" spans="1:11" x14ac:dyDescent="0.25">
      <c r="A331" s="28"/>
      <c r="B331" s="28"/>
      <c r="C331" s="28"/>
      <c r="D331" s="28"/>
      <c r="E331" s="28"/>
      <c r="F331" s="28"/>
      <c r="G331" s="28"/>
      <c r="H331" s="28"/>
      <c r="I331" s="28"/>
      <c r="J331" s="28"/>
      <c r="K331" s="28"/>
    </row>
    <row r="332" spans="1:11" x14ac:dyDescent="0.25">
      <c r="A332" s="28"/>
      <c r="B332" s="28" t="s">
        <v>179</v>
      </c>
      <c r="C332" s="28"/>
      <c r="D332" s="28"/>
      <c r="E332" s="28"/>
      <c r="F332" s="28"/>
      <c r="G332" s="28"/>
      <c r="H332" s="28"/>
      <c r="I332" s="28"/>
      <c r="J332" s="28"/>
      <c r="K332" s="28"/>
    </row>
    <row r="333" spans="1:11" x14ac:dyDescent="0.25">
      <c r="A333" s="175" t="s">
        <v>180</v>
      </c>
      <c r="B333" s="175"/>
      <c r="C333" s="175"/>
      <c r="D333" s="175"/>
      <c r="E333" s="175"/>
      <c r="F333" s="175"/>
      <c r="G333" s="175"/>
      <c r="H333" s="175"/>
      <c r="I333" s="175"/>
      <c r="J333" s="175"/>
      <c r="K333" s="175"/>
    </row>
    <row r="334" spans="1:11" x14ac:dyDescent="0.25">
      <c r="A334" s="39" t="s">
        <v>181</v>
      </c>
      <c r="B334" s="39"/>
      <c r="C334" s="182"/>
      <c r="D334" s="183"/>
      <c r="E334" s="184"/>
      <c r="F334" s="39" t="s">
        <v>182</v>
      </c>
      <c r="G334" s="39"/>
      <c r="H334" s="182"/>
      <c r="I334" s="184"/>
      <c r="J334" s="39" t="s">
        <v>119</v>
      </c>
      <c r="K334" s="39"/>
    </row>
    <row r="335" spans="1:11" x14ac:dyDescent="0.25">
      <c r="A335" s="39" t="s">
        <v>183</v>
      </c>
      <c r="B335" s="39"/>
      <c r="C335" s="180"/>
      <c r="D335" s="185"/>
      <c r="E335" s="185"/>
      <c r="F335" s="185"/>
      <c r="G335" s="185"/>
      <c r="H335" s="185"/>
      <c r="I335" s="185"/>
      <c r="J335" s="185"/>
      <c r="K335" s="181"/>
    </row>
    <row r="336" spans="1:11" x14ac:dyDescent="0.25">
      <c r="A336" s="39" t="s">
        <v>184</v>
      </c>
      <c r="B336" s="39"/>
      <c r="C336" s="39"/>
      <c r="D336" s="182"/>
      <c r="E336" s="184"/>
      <c r="F336" s="39" t="s">
        <v>185</v>
      </c>
      <c r="G336" s="182"/>
      <c r="H336" s="183"/>
      <c r="I336" s="183"/>
      <c r="J336" s="183"/>
      <c r="K336" s="184"/>
    </row>
    <row r="337" spans="1:11" x14ac:dyDescent="0.25">
      <c r="A337" s="39" t="s">
        <v>186</v>
      </c>
      <c r="B337" s="39"/>
      <c r="C337" s="39"/>
      <c r="D337" s="182"/>
      <c r="E337" s="184"/>
      <c r="F337" s="39" t="s">
        <v>187</v>
      </c>
      <c r="G337" s="182"/>
      <c r="H337" s="183"/>
      <c r="I337" s="184"/>
      <c r="J337" s="39" t="s">
        <v>192</v>
      </c>
      <c r="K337" s="39"/>
    </row>
    <row r="338" spans="1:11" x14ac:dyDescent="0.25">
      <c r="A338" s="28"/>
      <c r="B338" s="28"/>
      <c r="C338" s="28"/>
      <c r="D338" s="28"/>
      <c r="E338" s="28"/>
      <c r="F338" s="28"/>
      <c r="G338" s="28"/>
      <c r="H338" s="28"/>
      <c r="I338" s="28"/>
      <c r="J338" s="28"/>
      <c r="K338" s="28"/>
    </row>
    <row r="339" spans="1:11" x14ac:dyDescent="0.25">
      <c r="A339" s="28"/>
      <c r="B339" s="28"/>
      <c r="C339" s="28"/>
      <c r="D339" s="28"/>
      <c r="E339" s="28"/>
      <c r="F339" s="28"/>
      <c r="G339" s="28"/>
      <c r="H339" s="28"/>
      <c r="I339" s="28"/>
      <c r="J339" s="28"/>
      <c r="K339" s="28"/>
    </row>
    <row r="340" spans="1:11" x14ac:dyDescent="0.25">
      <c r="A340" s="175" t="s">
        <v>188</v>
      </c>
      <c r="B340" s="175"/>
      <c r="C340" s="175"/>
      <c r="D340" s="175"/>
      <c r="E340" s="175"/>
      <c r="F340" s="175"/>
      <c r="G340" s="175"/>
      <c r="H340" s="175"/>
      <c r="I340" s="175"/>
      <c r="J340" s="175"/>
      <c r="K340" s="175"/>
    </row>
    <row r="341" spans="1:11" x14ac:dyDescent="0.25">
      <c r="A341" s="50" t="s">
        <v>181</v>
      </c>
      <c r="B341" s="50"/>
      <c r="C341" s="182"/>
      <c r="D341" s="183"/>
      <c r="E341" s="184"/>
      <c r="F341" s="178" t="s">
        <v>182</v>
      </c>
      <c r="G341" s="178"/>
      <c r="H341" s="182"/>
      <c r="I341" s="184"/>
      <c r="J341" s="39" t="s">
        <v>119</v>
      </c>
      <c r="K341" s="39"/>
    </row>
    <row r="342" spans="1:11" x14ac:dyDescent="0.25">
      <c r="A342" s="180" t="s">
        <v>189</v>
      </c>
      <c r="B342" s="181"/>
      <c r="C342" s="182"/>
      <c r="D342" s="183"/>
      <c r="E342" s="184"/>
      <c r="F342" s="39" t="s">
        <v>190</v>
      </c>
      <c r="G342" s="182"/>
      <c r="H342" s="183"/>
      <c r="I342" s="183"/>
      <c r="J342" s="183"/>
      <c r="K342" s="184"/>
    </row>
    <row r="343" spans="1:11" x14ac:dyDescent="0.25">
      <c r="A343" s="50" t="s">
        <v>184</v>
      </c>
      <c r="B343" s="50"/>
      <c r="C343" s="50"/>
      <c r="D343" s="182"/>
      <c r="E343" s="184"/>
      <c r="F343" s="39" t="s">
        <v>185</v>
      </c>
      <c r="G343" s="182"/>
      <c r="H343" s="183"/>
      <c r="I343" s="183"/>
      <c r="J343" s="183"/>
      <c r="K343" s="184"/>
    </row>
    <row r="344" spans="1:11" x14ac:dyDescent="0.25">
      <c r="A344" s="50" t="s">
        <v>186</v>
      </c>
      <c r="B344" s="50"/>
      <c r="C344" s="50"/>
      <c r="D344" s="182"/>
      <c r="E344" s="184"/>
      <c r="F344" s="39" t="s">
        <v>187</v>
      </c>
      <c r="G344" s="182"/>
      <c r="H344" s="183"/>
      <c r="I344" s="184"/>
      <c r="J344" s="39" t="s">
        <v>192</v>
      </c>
      <c r="K344" s="39"/>
    </row>
    <row r="345" spans="1:11" x14ac:dyDescent="0.25">
      <c r="A345" s="28"/>
      <c r="B345" s="28"/>
      <c r="C345" s="28"/>
      <c r="D345" s="28"/>
      <c r="E345" s="28"/>
      <c r="F345" s="28"/>
      <c r="G345" s="28"/>
      <c r="H345" s="28"/>
      <c r="I345" s="28"/>
      <c r="J345" s="28"/>
      <c r="K345" s="28"/>
    </row>
    <row r="346" spans="1:11" x14ac:dyDescent="0.25">
      <c r="A346" s="28"/>
      <c r="B346" s="28"/>
      <c r="C346" s="28"/>
      <c r="D346" s="28"/>
      <c r="E346" s="28"/>
      <c r="F346" s="28"/>
      <c r="G346" s="28"/>
      <c r="H346" s="28"/>
      <c r="I346" s="28"/>
      <c r="J346" s="28"/>
      <c r="K346" s="28"/>
    </row>
    <row r="347" spans="1:11" x14ac:dyDescent="0.25">
      <c r="A347" s="28"/>
      <c r="B347" s="28"/>
      <c r="C347" s="28"/>
      <c r="D347" s="28"/>
      <c r="E347" s="28"/>
      <c r="F347" s="28"/>
      <c r="G347" s="28"/>
      <c r="H347" s="28"/>
      <c r="I347" s="28"/>
      <c r="J347" s="28"/>
      <c r="K347" s="28"/>
    </row>
    <row r="348" spans="1:11" x14ac:dyDescent="0.25">
      <c r="A348" s="28"/>
      <c r="B348" s="28"/>
      <c r="C348" s="28"/>
      <c r="D348" s="28"/>
      <c r="E348" s="28"/>
      <c r="F348" s="28"/>
      <c r="G348" s="28"/>
      <c r="H348" s="28"/>
      <c r="I348" s="28"/>
      <c r="J348" s="28"/>
      <c r="K348" s="28"/>
    </row>
    <row r="349" spans="1:11" x14ac:dyDescent="0.25">
      <c r="A349" s="28"/>
      <c r="B349" s="28"/>
      <c r="C349" s="28"/>
      <c r="D349" s="28"/>
      <c r="E349" s="28"/>
      <c r="F349" s="28"/>
      <c r="G349" s="28"/>
      <c r="H349" s="28"/>
      <c r="I349" s="28"/>
      <c r="J349" s="28"/>
      <c r="K349" s="28"/>
    </row>
    <row r="350" spans="1:11" x14ac:dyDescent="0.25">
      <c r="A350" s="28"/>
      <c r="B350" s="28"/>
      <c r="C350" s="28"/>
      <c r="D350" s="28"/>
      <c r="E350" s="28"/>
      <c r="F350" s="28"/>
      <c r="G350" s="28"/>
      <c r="H350" s="28"/>
      <c r="I350" s="28"/>
      <c r="J350" s="28"/>
      <c r="K350" s="28"/>
    </row>
    <row r="351" spans="1:11" x14ac:dyDescent="0.25">
      <c r="A351" s="28"/>
      <c r="B351" s="28"/>
      <c r="C351" s="28"/>
      <c r="D351" s="28"/>
      <c r="E351" s="28"/>
      <c r="F351" s="28"/>
      <c r="G351" s="28"/>
      <c r="H351" s="28"/>
      <c r="I351" s="28"/>
      <c r="J351" s="28"/>
      <c r="K351" s="28"/>
    </row>
    <row r="352" spans="1:11" x14ac:dyDescent="0.25">
      <c r="A352" s="28"/>
      <c r="B352" s="28"/>
      <c r="C352" s="28"/>
      <c r="D352" s="28"/>
      <c r="E352" s="28"/>
      <c r="F352" s="28"/>
      <c r="G352" s="28"/>
      <c r="H352" s="28"/>
      <c r="I352" s="28"/>
      <c r="J352" s="28"/>
      <c r="K352" s="28"/>
    </row>
    <row r="353" spans="1:11" x14ac:dyDescent="0.25">
      <c r="A353" s="28"/>
      <c r="B353" s="28"/>
      <c r="C353" s="28"/>
      <c r="D353" s="28"/>
      <c r="E353" s="28"/>
      <c r="F353" s="28"/>
      <c r="G353" s="28"/>
      <c r="H353" s="28"/>
      <c r="I353" s="28"/>
      <c r="J353" s="28"/>
      <c r="K353" s="28"/>
    </row>
    <row r="354" spans="1:11" x14ac:dyDescent="0.25">
      <c r="A354" s="28"/>
      <c r="B354" s="28"/>
      <c r="C354" s="28"/>
      <c r="D354" s="28"/>
      <c r="E354" s="28"/>
      <c r="F354" s="28"/>
      <c r="G354" s="28"/>
      <c r="H354" s="28"/>
      <c r="I354" s="28"/>
      <c r="J354" s="28"/>
      <c r="K354" s="28"/>
    </row>
    <row r="355" spans="1:11" x14ac:dyDescent="0.25">
      <c r="A355" s="28"/>
      <c r="B355" s="28"/>
      <c r="C355" s="28"/>
      <c r="D355" s="28"/>
      <c r="E355" s="28"/>
      <c r="F355" s="28"/>
      <c r="G355" s="28"/>
      <c r="H355" s="28"/>
      <c r="I355" s="28"/>
      <c r="J355" s="28"/>
      <c r="K355" s="28"/>
    </row>
    <row r="356" spans="1:11" x14ac:dyDescent="0.25">
      <c r="A356" s="28"/>
      <c r="B356" s="28"/>
      <c r="C356" s="28"/>
      <c r="D356" s="28"/>
      <c r="E356" s="28"/>
      <c r="F356" s="28"/>
      <c r="G356" s="28"/>
      <c r="H356" s="28"/>
      <c r="I356" s="28"/>
      <c r="J356" s="28"/>
      <c r="K356" s="28"/>
    </row>
    <row r="357" spans="1:11" x14ac:dyDescent="0.25">
      <c r="A357" s="28"/>
      <c r="B357" s="28"/>
      <c r="C357" s="28"/>
      <c r="D357" s="28"/>
      <c r="E357" s="28"/>
      <c r="F357" s="28"/>
      <c r="G357" s="28"/>
      <c r="H357" s="28"/>
      <c r="I357" s="28"/>
      <c r="J357" s="28"/>
      <c r="K357" s="28"/>
    </row>
    <row r="358" spans="1:11" x14ac:dyDescent="0.25">
      <c r="A358" s="28"/>
      <c r="B358" s="28"/>
      <c r="C358" s="28"/>
      <c r="D358" s="28"/>
      <c r="E358" s="28"/>
      <c r="F358" s="28"/>
      <c r="G358" s="28"/>
      <c r="H358" s="28"/>
      <c r="I358" s="28"/>
      <c r="J358" s="28"/>
      <c r="K358" s="28"/>
    </row>
    <row r="359" spans="1:11" x14ac:dyDescent="0.25">
      <c r="A359" s="28"/>
      <c r="B359" s="28"/>
      <c r="C359" s="28"/>
      <c r="D359" s="28"/>
      <c r="E359" s="28"/>
      <c r="F359" s="28"/>
      <c r="G359" s="28"/>
      <c r="H359" s="28"/>
      <c r="I359" s="28"/>
      <c r="J359" s="28"/>
      <c r="K359" s="28"/>
    </row>
    <row r="360" spans="1:11" x14ac:dyDescent="0.25">
      <c r="A360" s="28"/>
      <c r="B360" s="28"/>
      <c r="C360" s="28"/>
      <c r="D360" s="28"/>
      <c r="E360" s="28"/>
      <c r="F360" s="28"/>
      <c r="G360" s="28"/>
      <c r="H360" s="28"/>
      <c r="I360" s="28"/>
      <c r="J360" s="28"/>
      <c r="K360" s="28"/>
    </row>
    <row r="361" spans="1:11" x14ac:dyDescent="0.25">
      <c r="A361" s="28"/>
      <c r="B361" s="28"/>
      <c r="C361" s="28"/>
      <c r="D361" s="28"/>
      <c r="E361" s="28"/>
      <c r="F361" s="28"/>
      <c r="G361" s="28"/>
      <c r="H361" s="28"/>
      <c r="I361" s="28"/>
      <c r="J361" s="28"/>
      <c r="K361" s="28"/>
    </row>
    <row r="362" spans="1:11" x14ac:dyDescent="0.25">
      <c r="A362" s="28"/>
      <c r="B362" s="28"/>
      <c r="C362" s="28"/>
      <c r="D362" s="28"/>
      <c r="E362" s="28"/>
      <c r="F362" s="28"/>
      <c r="G362" s="28"/>
      <c r="H362" s="28"/>
      <c r="I362" s="28"/>
      <c r="J362" s="28"/>
      <c r="K362" s="28"/>
    </row>
    <row r="363" spans="1:11" x14ac:dyDescent="0.25">
      <c r="A363" s="28"/>
      <c r="B363" s="28"/>
      <c r="C363" s="28"/>
      <c r="D363" s="28"/>
      <c r="E363" s="28"/>
      <c r="F363" s="28"/>
      <c r="G363" s="28"/>
      <c r="H363" s="28"/>
      <c r="I363" s="28"/>
      <c r="J363" s="28"/>
      <c r="K363" s="28"/>
    </row>
    <row r="364" spans="1:11" x14ac:dyDescent="0.25">
      <c r="A364" s="28"/>
      <c r="B364" s="28"/>
      <c r="C364" s="28"/>
      <c r="D364" s="28"/>
      <c r="E364" s="28"/>
      <c r="F364" s="28"/>
      <c r="G364" s="28"/>
      <c r="H364" s="28"/>
      <c r="I364" s="28"/>
      <c r="J364" s="28"/>
      <c r="K364" s="28"/>
    </row>
  </sheetData>
  <mergeCells count="504">
    <mergeCell ref="A216:K216"/>
    <mergeCell ref="A217:B217"/>
    <mergeCell ref="A219:K221"/>
    <mergeCell ref="A222:K222"/>
    <mergeCell ref="B224:C224"/>
    <mergeCell ref="D224:E224"/>
    <mergeCell ref="F224:G224"/>
    <mergeCell ref="H224:I224"/>
    <mergeCell ref="J224:K224"/>
    <mergeCell ref="B91:C91"/>
    <mergeCell ref="B92:C92"/>
    <mergeCell ref="B93:C93"/>
    <mergeCell ref="B94:C94"/>
    <mergeCell ref="B86:C86"/>
    <mergeCell ref="B87:C87"/>
    <mergeCell ref="B88:C88"/>
    <mergeCell ref="B95:C95"/>
    <mergeCell ref="B96:C96"/>
    <mergeCell ref="B83:C83"/>
    <mergeCell ref="B84:C84"/>
    <mergeCell ref="B85:C85"/>
    <mergeCell ref="F83:G83"/>
    <mergeCell ref="F84:G84"/>
    <mergeCell ref="F85:G85"/>
    <mergeCell ref="D85:E85"/>
    <mergeCell ref="B89:C89"/>
    <mergeCell ref="B90:C90"/>
    <mergeCell ref="B77:C77"/>
    <mergeCell ref="B78:C78"/>
    <mergeCell ref="B79:C79"/>
    <mergeCell ref="F80:G80"/>
    <mergeCell ref="F81:G81"/>
    <mergeCell ref="F82:G82"/>
    <mergeCell ref="B80:C80"/>
    <mergeCell ref="B81:C81"/>
    <mergeCell ref="B82:C82"/>
    <mergeCell ref="D343:E343"/>
    <mergeCell ref="G343:K343"/>
    <mergeCell ref="D344:E344"/>
    <mergeCell ref="G344:I344"/>
    <mergeCell ref="F77:G77"/>
    <mergeCell ref="F78:G78"/>
    <mergeCell ref="F79:G79"/>
    <mergeCell ref="F89:G89"/>
    <mergeCell ref="F90:G90"/>
    <mergeCell ref="F91:G91"/>
    <mergeCell ref="C341:E341"/>
    <mergeCell ref="F341:G341"/>
    <mergeCell ref="H341:I341"/>
    <mergeCell ref="C328:D328"/>
    <mergeCell ref="H328:I328"/>
    <mergeCell ref="B330:J330"/>
    <mergeCell ref="A333:K333"/>
    <mergeCell ref="C334:E334"/>
    <mergeCell ref="H334:I334"/>
    <mergeCell ref="C325:D325"/>
    <mergeCell ref="H325:I325"/>
    <mergeCell ref="C326:D326"/>
    <mergeCell ref="H326:I326"/>
    <mergeCell ref="C327:D327"/>
    <mergeCell ref="A342:B342"/>
    <mergeCell ref="C342:E342"/>
    <mergeCell ref="G342:K342"/>
    <mergeCell ref="C335:K335"/>
    <mergeCell ref="D336:E336"/>
    <mergeCell ref="G336:K336"/>
    <mergeCell ref="D337:E337"/>
    <mergeCell ref="G337:I337"/>
    <mergeCell ref="A340:K340"/>
    <mergeCell ref="H327:I327"/>
    <mergeCell ref="C320:D320"/>
    <mergeCell ref="F320:G320"/>
    <mergeCell ref="I320:J320"/>
    <mergeCell ref="B322:D323"/>
    <mergeCell ref="G322:I323"/>
    <mergeCell ref="C324:D324"/>
    <mergeCell ref="H324:I324"/>
    <mergeCell ref="C318:D318"/>
    <mergeCell ref="F318:G318"/>
    <mergeCell ref="I318:J318"/>
    <mergeCell ref="C319:D319"/>
    <mergeCell ref="F319:G319"/>
    <mergeCell ref="I319:J319"/>
    <mergeCell ref="A315:K315"/>
    <mergeCell ref="C316:D316"/>
    <mergeCell ref="F316:G316"/>
    <mergeCell ref="I316:J316"/>
    <mergeCell ref="C317:D317"/>
    <mergeCell ref="F317:G317"/>
    <mergeCell ref="I317:J317"/>
    <mergeCell ref="A309:K309"/>
    <mergeCell ref="A310:K311"/>
    <mergeCell ref="B312:E312"/>
    <mergeCell ref="G312:H312"/>
    <mergeCell ref="B313:E313"/>
    <mergeCell ref="G313:H313"/>
    <mergeCell ref="A299:B299"/>
    <mergeCell ref="C299:E299"/>
    <mergeCell ref="F299:H299"/>
    <mergeCell ref="I299:K299"/>
    <mergeCell ref="A300:B300"/>
    <mergeCell ref="C300:E300"/>
    <mergeCell ref="F300:H300"/>
    <mergeCell ref="I300:K300"/>
    <mergeCell ref="A294:B294"/>
    <mergeCell ref="C294:E294"/>
    <mergeCell ref="F294:H294"/>
    <mergeCell ref="I294:K294"/>
    <mergeCell ref="A296:K296"/>
    <mergeCell ref="A298:B298"/>
    <mergeCell ref="C298:E298"/>
    <mergeCell ref="F298:H298"/>
    <mergeCell ref="I298:K298"/>
    <mergeCell ref="A292:B292"/>
    <mergeCell ref="C292:E292"/>
    <mergeCell ref="F292:H292"/>
    <mergeCell ref="I292:K292"/>
    <mergeCell ref="A293:B293"/>
    <mergeCell ref="C293:E293"/>
    <mergeCell ref="F293:H293"/>
    <mergeCell ref="I293:K293"/>
    <mergeCell ref="A290:B290"/>
    <mergeCell ref="C290:E290"/>
    <mergeCell ref="F290:H290"/>
    <mergeCell ref="I290:K290"/>
    <mergeCell ref="A291:B291"/>
    <mergeCell ref="C291:E291"/>
    <mergeCell ref="F291:H291"/>
    <mergeCell ref="I291:K291"/>
    <mergeCell ref="A288:B288"/>
    <mergeCell ref="C288:E288"/>
    <mergeCell ref="F288:H288"/>
    <mergeCell ref="I288:K288"/>
    <mergeCell ref="A289:B289"/>
    <mergeCell ref="C289:E289"/>
    <mergeCell ref="F289:H289"/>
    <mergeCell ref="I289:K289"/>
    <mergeCell ref="A286:B286"/>
    <mergeCell ref="C286:E286"/>
    <mergeCell ref="F286:H286"/>
    <mergeCell ref="I286:K286"/>
    <mergeCell ref="A287:B287"/>
    <mergeCell ref="C287:E287"/>
    <mergeCell ref="F287:H287"/>
    <mergeCell ref="I287:K287"/>
    <mergeCell ref="A284:B284"/>
    <mergeCell ref="C284:E284"/>
    <mergeCell ref="F284:H284"/>
    <mergeCell ref="I284:K284"/>
    <mergeCell ref="A285:B285"/>
    <mergeCell ref="C285:E285"/>
    <mergeCell ref="F285:H285"/>
    <mergeCell ref="I285:K285"/>
    <mergeCell ref="A282:B282"/>
    <mergeCell ref="C282:E282"/>
    <mergeCell ref="F282:H282"/>
    <mergeCell ref="I282:K282"/>
    <mergeCell ref="A283:B283"/>
    <mergeCell ref="C283:E283"/>
    <mergeCell ref="F283:H283"/>
    <mergeCell ref="I283:K283"/>
    <mergeCell ref="A280:B280"/>
    <mergeCell ref="C280:E280"/>
    <mergeCell ref="F280:H280"/>
    <mergeCell ref="I280:K280"/>
    <mergeCell ref="A281:B281"/>
    <mergeCell ref="C281:E281"/>
    <mergeCell ref="F281:H281"/>
    <mergeCell ref="I281:K281"/>
    <mergeCell ref="A278:B278"/>
    <mergeCell ref="C278:E278"/>
    <mergeCell ref="F278:H278"/>
    <mergeCell ref="I278:K278"/>
    <mergeCell ref="A279:B279"/>
    <mergeCell ref="C279:E279"/>
    <mergeCell ref="F279:H279"/>
    <mergeCell ref="I279:K279"/>
    <mergeCell ref="A276:B276"/>
    <mergeCell ref="C276:E276"/>
    <mergeCell ref="F276:H276"/>
    <mergeCell ref="I276:K276"/>
    <mergeCell ref="A277:B277"/>
    <mergeCell ref="C277:E277"/>
    <mergeCell ref="F277:H277"/>
    <mergeCell ref="I277:K277"/>
    <mergeCell ref="A266:K266"/>
    <mergeCell ref="A267:B267"/>
    <mergeCell ref="A269:K271"/>
    <mergeCell ref="A272:K272"/>
    <mergeCell ref="A275:B275"/>
    <mergeCell ref="C275:E275"/>
    <mergeCell ref="F275:H275"/>
    <mergeCell ref="I275:K275"/>
    <mergeCell ref="J239:K239"/>
    <mergeCell ref="H240:I240"/>
    <mergeCell ref="J240:K240"/>
    <mergeCell ref="A261:G264"/>
    <mergeCell ref="I261:I262"/>
    <mergeCell ref="J261:K262"/>
    <mergeCell ref="I263:K264"/>
    <mergeCell ref="H237:I237"/>
    <mergeCell ref="J237:K237"/>
    <mergeCell ref="B238:C240"/>
    <mergeCell ref="F238:G240"/>
    <mergeCell ref="H238:I238"/>
    <mergeCell ref="J238:K238"/>
    <mergeCell ref="H239:I239"/>
    <mergeCell ref="D235:E237"/>
    <mergeCell ref="D238:E240"/>
    <mergeCell ref="H234:I234"/>
    <mergeCell ref="J234:K234"/>
    <mergeCell ref="B235:C237"/>
    <mergeCell ref="F235:G237"/>
    <mergeCell ref="H235:I235"/>
    <mergeCell ref="J235:K235"/>
    <mergeCell ref="H236:I236"/>
    <mergeCell ref="J236:K236"/>
    <mergeCell ref="J231:K231"/>
    <mergeCell ref="B232:C234"/>
    <mergeCell ref="F232:G234"/>
    <mergeCell ref="H232:I232"/>
    <mergeCell ref="J232:K232"/>
    <mergeCell ref="H233:I233"/>
    <mergeCell ref="J233:K233"/>
    <mergeCell ref="B229:C231"/>
    <mergeCell ref="F229:G231"/>
    <mergeCell ref="H229:I229"/>
    <mergeCell ref="J229:K229"/>
    <mergeCell ref="H230:I230"/>
    <mergeCell ref="J230:K230"/>
    <mergeCell ref="H231:I231"/>
    <mergeCell ref="D229:E231"/>
    <mergeCell ref="D232:E234"/>
    <mergeCell ref="H227:I227"/>
    <mergeCell ref="J227:K227"/>
    <mergeCell ref="H228:I228"/>
    <mergeCell ref="J228:K228"/>
    <mergeCell ref="D226:E228"/>
    <mergeCell ref="B225:C225"/>
    <mergeCell ref="D225:E225"/>
    <mergeCell ref="F225:G225"/>
    <mergeCell ref="H225:I225"/>
    <mergeCell ref="J225:K225"/>
    <mergeCell ref="B226:C228"/>
    <mergeCell ref="F226:G228"/>
    <mergeCell ref="H226:I226"/>
    <mergeCell ref="J226:K226"/>
    <mergeCell ref="A211:G214"/>
    <mergeCell ref="I211:I212"/>
    <mergeCell ref="J211:K212"/>
    <mergeCell ref="I213:K214"/>
    <mergeCell ref="B181:C181"/>
    <mergeCell ref="D181:E181"/>
    <mergeCell ref="F181:G181"/>
    <mergeCell ref="H181:I181"/>
    <mergeCell ref="J181:K181"/>
    <mergeCell ref="B182:C182"/>
    <mergeCell ref="D182:E182"/>
    <mergeCell ref="F182:G182"/>
    <mergeCell ref="H182:I182"/>
    <mergeCell ref="J182:K182"/>
    <mergeCell ref="B183:C183"/>
    <mergeCell ref="D183:E183"/>
    <mergeCell ref="F183:G183"/>
    <mergeCell ref="H183:I183"/>
    <mergeCell ref="J183:K183"/>
    <mergeCell ref="B179:C179"/>
    <mergeCell ref="D179:E179"/>
    <mergeCell ref="F179:G179"/>
    <mergeCell ref="H179:I179"/>
    <mergeCell ref="J179:K179"/>
    <mergeCell ref="B180:C180"/>
    <mergeCell ref="D180:E180"/>
    <mergeCell ref="F180:G180"/>
    <mergeCell ref="H180:I180"/>
    <mergeCell ref="J180:K180"/>
    <mergeCell ref="B177:C177"/>
    <mergeCell ref="D177:E177"/>
    <mergeCell ref="F177:G177"/>
    <mergeCell ref="H177:I177"/>
    <mergeCell ref="J177:K177"/>
    <mergeCell ref="B178:C178"/>
    <mergeCell ref="D178:E178"/>
    <mergeCell ref="F178:G178"/>
    <mergeCell ref="H178:I178"/>
    <mergeCell ref="J178:K178"/>
    <mergeCell ref="B175:C175"/>
    <mergeCell ref="D175:E175"/>
    <mergeCell ref="F175:G175"/>
    <mergeCell ref="H175:I175"/>
    <mergeCell ref="J175:K175"/>
    <mergeCell ref="B176:C176"/>
    <mergeCell ref="D176:E176"/>
    <mergeCell ref="F176:G176"/>
    <mergeCell ref="H176:I176"/>
    <mergeCell ref="J176:K176"/>
    <mergeCell ref="A165:K165"/>
    <mergeCell ref="A166:B166"/>
    <mergeCell ref="A168:K170"/>
    <mergeCell ref="A171:K171"/>
    <mergeCell ref="A172:K172"/>
    <mergeCell ref="B174:C174"/>
    <mergeCell ref="D174:E174"/>
    <mergeCell ref="F174:G174"/>
    <mergeCell ref="H174:I174"/>
    <mergeCell ref="J174:K174"/>
    <mergeCell ref="B133:C133"/>
    <mergeCell ref="D133:E133"/>
    <mergeCell ref="F133:G133"/>
    <mergeCell ref="H133:I133"/>
    <mergeCell ref="J133:K133"/>
    <mergeCell ref="A160:G163"/>
    <mergeCell ref="I160:I161"/>
    <mergeCell ref="J160:K161"/>
    <mergeCell ref="I162:K163"/>
    <mergeCell ref="B131:C131"/>
    <mergeCell ref="D131:E131"/>
    <mergeCell ref="F131:G131"/>
    <mergeCell ref="H131:I131"/>
    <mergeCell ref="J131:K131"/>
    <mergeCell ref="B132:C132"/>
    <mergeCell ref="D132:E132"/>
    <mergeCell ref="F132:G132"/>
    <mergeCell ref="H132:I132"/>
    <mergeCell ref="J132:K132"/>
    <mergeCell ref="B129:C129"/>
    <mergeCell ref="D129:E129"/>
    <mergeCell ref="F129:G129"/>
    <mergeCell ref="H129:I129"/>
    <mergeCell ref="J129:K129"/>
    <mergeCell ref="B130:C130"/>
    <mergeCell ref="D130:E130"/>
    <mergeCell ref="F130:G130"/>
    <mergeCell ref="H130:I130"/>
    <mergeCell ref="J130:K130"/>
    <mergeCell ref="B127:C127"/>
    <mergeCell ref="D127:E127"/>
    <mergeCell ref="F127:G127"/>
    <mergeCell ref="H127:I127"/>
    <mergeCell ref="J127:K127"/>
    <mergeCell ref="B128:C128"/>
    <mergeCell ref="D128:E128"/>
    <mergeCell ref="F128:G128"/>
    <mergeCell ref="H128:I128"/>
    <mergeCell ref="J128:K128"/>
    <mergeCell ref="B125:C125"/>
    <mergeCell ref="D125:E125"/>
    <mergeCell ref="F125:G125"/>
    <mergeCell ref="H125:I125"/>
    <mergeCell ref="J125:K125"/>
    <mergeCell ref="B126:C126"/>
    <mergeCell ref="D126:E126"/>
    <mergeCell ref="F126:G126"/>
    <mergeCell ref="H126:I126"/>
    <mergeCell ref="J126:K126"/>
    <mergeCell ref="A115:K115"/>
    <mergeCell ref="A116:B116"/>
    <mergeCell ref="A118:K120"/>
    <mergeCell ref="A121:K121"/>
    <mergeCell ref="A122:K122"/>
    <mergeCell ref="B124:C124"/>
    <mergeCell ref="D124:E124"/>
    <mergeCell ref="F124:G124"/>
    <mergeCell ref="H124:I124"/>
    <mergeCell ref="J124:K124"/>
    <mergeCell ref="H100:I100"/>
    <mergeCell ref="J100:K100"/>
    <mergeCell ref="A109:G112"/>
    <mergeCell ref="I109:I110"/>
    <mergeCell ref="J109:K110"/>
    <mergeCell ref="I111:K112"/>
    <mergeCell ref="J97:K97"/>
    <mergeCell ref="D98:E98"/>
    <mergeCell ref="H98:I98"/>
    <mergeCell ref="J98:K98"/>
    <mergeCell ref="D99:E99"/>
    <mergeCell ref="H99:I99"/>
    <mergeCell ref="J99:K99"/>
    <mergeCell ref="D100:E100"/>
    <mergeCell ref="B97:C97"/>
    <mergeCell ref="F97:G97"/>
    <mergeCell ref="B98:C98"/>
    <mergeCell ref="B99:C99"/>
    <mergeCell ref="B100:C100"/>
    <mergeCell ref="F98:G98"/>
    <mergeCell ref="F99:G99"/>
    <mergeCell ref="F100:G100"/>
    <mergeCell ref="H95:I95"/>
    <mergeCell ref="J95:K95"/>
    <mergeCell ref="D96:E96"/>
    <mergeCell ref="H96:I96"/>
    <mergeCell ref="J96:K96"/>
    <mergeCell ref="D97:E97"/>
    <mergeCell ref="H97:I97"/>
    <mergeCell ref="D93:E93"/>
    <mergeCell ref="H93:I93"/>
    <mergeCell ref="J93:K93"/>
    <mergeCell ref="D94:E94"/>
    <mergeCell ref="H94:I94"/>
    <mergeCell ref="J94:K94"/>
    <mergeCell ref="F93:G93"/>
    <mergeCell ref="F94:G94"/>
    <mergeCell ref="F95:G95"/>
    <mergeCell ref="F96:G96"/>
    <mergeCell ref="D95:E95"/>
    <mergeCell ref="H90:I90"/>
    <mergeCell ref="J90:K90"/>
    <mergeCell ref="D91:E91"/>
    <mergeCell ref="H91:I91"/>
    <mergeCell ref="J91:K91"/>
    <mergeCell ref="D92:E92"/>
    <mergeCell ref="H92:I92"/>
    <mergeCell ref="J92:K92"/>
    <mergeCell ref="J87:K87"/>
    <mergeCell ref="D88:E88"/>
    <mergeCell ref="H88:I88"/>
    <mergeCell ref="J88:K88"/>
    <mergeCell ref="D89:E89"/>
    <mergeCell ref="H89:I89"/>
    <mergeCell ref="J89:K89"/>
    <mergeCell ref="D90:E90"/>
    <mergeCell ref="F87:G87"/>
    <mergeCell ref="F88:G88"/>
    <mergeCell ref="F92:G92"/>
    <mergeCell ref="H85:I85"/>
    <mergeCell ref="J85:K85"/>
    <mergeCell ref="D86:E86"/>
    <mergeCell ref="H86:I86"/>
    <mergeCell ref="J86:K86"/>
    <mergeCell ref="D87:E87"/>
    <mergeCell ref="H87:I87"/>
    <mergeCell ref="H82:I82"/>
    <mergeCell ref="J82:K82"/>
    <mergeCell ref="D83:E83"/>
    <mergeCell ref="H83:I83"/>
    <mergeCell ref="J83:K83"/>
    <mergeCell ref="D84:E84"/>
    <mergeCell ref="H84:I84"/>
    <mergeCell ref="J84:K84"/>
    <mergeCell ref="F86:G86"/>
    <mergeCell ref="J79:K79"/>
    <mergeCell ref="D80:E80"/>
    <mergeCell ref="H80:I80"/>
    <mergeCell ref="J80:K80"/>
    <mergeCell ref="D81:E81"/>
    <mergeCell ref="H81:I81"/>
    <mergeCell ref="J81:K81"/>
    <mergeCell ref="D82:E82"/>
    <mergeCell ref="D77:E77"/>
    <mergeCell ref="H77:I77"/>
    <mergeCell ref="J77:K77"/>
    <mergeCell ref="D78:E78"/>
    <mergeCell ref="H78:I78"/>
    <mergeCell ref="J78:K78"/>
    <mergeCell ref="D79:E79"/>
    <mergeCell ref="H79:I79"/>
    <mergeCell ref="B75:C75"/>
    <mergeCell ref="D75:E75"/>
    <mergeCell ref="F75:G75"/>
    <mergeCell ref="H75:I75"/>
    <mergeCell ref="J75:K75"/>
    <mergeCell ref="B76:C76"/>
    <mergeCell ref="D76:E76"/>
    <mergeCell ref="F76:G76"/>
    <mergeCell ref="H76:I76"/>
    <mergeCell ref="J76:K76"/>
    <mergeCell ref="A67:K67"/>
    <mergeCell ref="A68:B68"/>
    <mergeCell ref="A69:K71"/>
    <mergeCell ref="A72:K72"/>
    <mergeCell ref="A73:B73"/>
    <mergeCell ref="A74:K74"/>
    <mergeCell ref="A54:K54"/>
    <mergeCell ref="A55:K55"/>
    <mergeCell ref="A56:K56"/>
    <mergeCell ref="A57:K57"/>
    <mergeCell ref="A61:G64"/>
    <mergeCell ref="I61:I62"/>
    <mergeCell ref="J61:K62"/>
    <mergeCell ref="I63:K64"/>
    <mergeCell ref="A37:B37"/>
    <mergeCell ref="A38:B38"/>
    <mergeCell ref="A42:B42"/>
    <mergeCell ref="A45:K45"/>
    <mergeCell ref="A47:K47"/>
    <mergeCell ref="A49:K51"/>
    <mergeCell ref="A32:B32"/>
    <mergeCell ref="A33:B33"/>
    <mergeCell ref="A34:B34"/>
    <mergeCell ref="D34:E34"/>
    <mergeCell ref="A35:B35"/>
    <mergeCell ref="A36:B36"/>
    <mergeCell ref="A25:B25"/>
    <mergeCell ref="A26:B26"/>
    <mergeCell ref="A27:B27"/>
    <mergeCell ref="A28:B28"/>
    <mergeCell ref="A29:B29"/>
    <mergeCell ref="A30:B30"/>
    <mergeCell ref="A1:K2"/>
    <mergeCell ref="A6:B7"/>
    <mergeCell ref="C6:E6"/>
    <mergeCell ref="G6:I6"/>
    <mergeCell ref="A16:K16"/>
    <mergeCell ref="A24:B24"/>
  </mergeCells>
  <conditionalFormatting sqref="H77:I100">
    <cfRule type="cellIs" dxfId="16" priority="3" operator="lessThan">
      <formula>100</formula>
    </cfRule>
  </conditionalFormatting>
  <conditionalFormatting sqref="H126:I133">
    <cfRule type="cellIs" dxfId="15" priority="2" operator="lessThan">
      <formula>100</formula>
    </cfRule>
  </conditionalFormatting>
  <conditionalFormatting sqref="H176:I183">
    <cfRule type="cellIs" dxfId="14" priority="1" operator="lessThan">
      <formula>100</formula>
    </cfRule>
  </conditionalFormatting>
  <dataValidations count="1">
    <dataValidation type="list" allowBlank="1" showInputMessage="1" showErrorMessage="1" sqref="J337" xr:uid="{3FF97F4C-C3DA-4B6F-A23B-571C1F59027C}">
      <formula1>$J$24:$J$25</formula1>
    </dataValidation>
  </dataValidations>
  <pageMargins left="0.39370078740157483" right="0.39370078740157483" top="0.23622047244094491" bottom="0.23622047244094491" header="0.31496062992125984" footer="0.31496062992125984"/>
  <pageSetup paperSize="9" orientation="portrait" r:id="rId1"/>
  <rowBreaks count="6" manualBreakCount="6">
    <brk id="60" max="16383" man="1"/>
    <brk id="108" max="16383" man="1"/>
    <brk id="159" max="16383" man="1"/>
    <brk id="210" max="16383" man="1"/>
    <brk id="260" max="16383" man="1"/>
    <brk id="309" max="16383" man="1"/>
  </rowBreaks>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D327D5-B641-4FCF-8EDF-45D57990E4A2}">
  <dimension ref="A1:K461"/>
  <sheetViews>
    <sheetView view="pageLayout" zoomScale="120" zoomScaleNormal="100" zoomScalePageLayoutView="120" workbookViewId="0">
      <selection activeCell="H277" sqref="H277:I284"/>
    </sheetView>
  </sheetViews>
  <sheetFormatPr defaultRowHeight="15" x14ac:dyDescent="0.25"/>
  <cols>
    <col min="1" max="10" width="8.28515625" style="20" customWidth="1"/>
    <col min="11" max="16384" width="9.140625" style="20"/>
  </cols>
  <sheetData>
    <row r="1" spans="1:11" x14ac:dyDescent="0.25">
      <c r="A1" s="86" t="s">
        <v>0</v>
      </c>
      <c r="B1" s="87"/>
      <c r="C1" s="87"/>
      <c r="D1" s="87"/>
      <c r="E1" s="87"/>
      <c r="F1" s="87"/>
      <c r="G1" s="87"/>
      <c r="H1" s="87"/>
      <c r="I1" s="87"/>
      <c r="J1" s="87"/>
      <c r="K1" s="88"/>
    </row>
    <row r="2" spans="1:11" x14ac:dyDescent="0.25">
      <c r="A2" s="89"/>
      <c r="B2" s="90"/>
      <c r="C2" s="90"/>
      <c r="D2" s="90"/>
      <c r="E2" s="90"/>
      <c r="F2" s="90"/>
      <c r="G2" s="90"/>
      <c r="H2" s="90"/>
      <c r="I2" s="90"/>
      <c r="J2" s="90"/>
      <c r="K2" s="91"/>
    </row>
    <row r="3" spans="1:11" ht="7.15" customHeight="1" x14ac:dyDescent="0.25">
      <c r="A3" s="21"/>
      <c r="B3" s="57"/>
      <c r="C3" s="57"/>
      <c r="D3" s="57"/>
      <c r="E3" s="57"/>
      <c r="F3" s="57"/>
      <c r="G3" s="57"/>
      <c r="H3" s="57"/>
      <c r="I3" s="57"/>
      <c r="J3" s="57"/>
      <c r="K3" s="22"/>
    </row>
    <row r="4" spans="1:11" ht="15.6" customHeight="1" x14ac:dyDescent="0.25">
      <c r="A4" s="23" t="s">
        <v>159</v>
      </c>
      <c r="B4" s="58"/>
      <c r="C4" s="58" t="s">
        <v>111</v>
      </c>
      <c r="D4" s="58"/>
      <c r="E4" s="58"/>
      <c r="F4" s="59"/>
      <c r="G4" s="59"/>
      <c r="H4" s="59"/>
      <c r="I4" s="59"/>
      <c r="J4" s="59"/>
      <c r="K4" s="24"/>
    </row>
    <row r="5" spans="1:11" ht="7.9" customHeight="1" x14ac:dyDescent="0.25">
      <c r="A5" s="23"/>
      <c r="B5" s="58"/>
      <c r="C5" s="58"/>
      <c r="D5" s="58"/>
      <c r="E5" s="58"/>
      <c r="F5" s="59"/>
      <c r="G5" s="59"/>
      <c r="H5" s="59"/>
      <c r="I5" s="59"/>
      <c r="J5" s="59"/>
      <c r="K5" s="24"/>
    </row>
    <row r="6" spans="1:11" ht="15.75" x14ac:dyDescent="0.25">
      <c r="A6" s="92" t="s">
        <v>37</v>
      </c>
      <c r="B6" s="93"/>
      <c r="C6" s="96">
        <v>44175</v>
      </c>
      <c r="D6" s="96"/>
      <c r="E6" s="96"/>
      <c r="F6" s="59"/>
      <c r="G6" s="97" t="s">
        <v>2</v>
      </c>
      <c r="H6" s="97"/>
      <c r="I6" s="97"/>
      <c r="J6" s="60" t="s">
        <v>195</v>
      </c>
      <c r="K6" s="24"/>
    </row>
    <row r="7" spans="1:11" ht="7.9" customHeight="1" x14ac:dyDescent="0.25">
      <c r="A7" s="94"/>
      <c r="B7" s="95"/>
      <c r="C7" s="25"/>
      <c r="D7" s="25"/>
      <c r="E7" s="25"/>
      <c r="F7" s="26"/>
      <c r="G7" s="26"/>
      <c r="H7" s="26"/>
      <c r="I7" s="26"/>
      <c r="J7" s="26"/>
      <c r="K7" s="27"/>
    </row>
    <row r="8" spans="1:11" ht="7.9" customHeight="1" x14ac:dyDescent="0.25">
      <c r="A8" s="28"/>
      <c r="B8" s="28"/>
      <c r="C8" s="28"/>
      <c r="D8" s="28"/>
      <c r="E8" s="28"/>
      <c r="F8" s="28"/>
      <c r="G8" s="28"/>
      <c r="H8" s="28"/>
      <c r="I8" s="28"/>
      <c r="J8" s="28"/>
      <c r="K8" s="28"/>
    </row>
    <row r="9" spans="1:11" x14ac:dyDescent="0.25">
      <c r="A9" s="28"/>
      <c r="B9" s="28"/>
      <c r="C9" s="28"/>
      <c r="D9" s="28"/>
      <c r="E9" s="28"/>
      <c r="F9" s="29" t="s">
        <v>3</v>
      </c>
      <c r="G9" s="30"/>
      <c r="H9" s="30"/>
      <c r="I9" s="28"/>
      <c r="J9" s="31" t="s">
        <v>255</v>
      </c>
      <c r="K9" s="31"/>
    </row>
    <row r="10" spans="1:11" x14ac:dyDescent="0.25">
      <c r="A10" s="28"/>
      <c r="B10" s="28"/>
      <c r="C10" s="28"/>
      <c r="D10" s="28"/>
      <c r="E10" s="28"/>
      <c r="F10" s="29" t="s">
        <v>4</v>
      </c>
      <c r="G10" s="30"/>
      <c r="H10" s="30"/>
      <c r="I10" s="28"/>
      <c r="J10" s="31"/>
      <c r="K10" s="31"/>
    </row>
    <row r="11" spans="1:11" x14ac:dyDescent="0.25">
      <c r="A11" s="28"/>
      <c r="B11" s="28"/>
      <c r="C11" s="28"/>
      <c r="D11" s="28"/>
      <c r="E11" s="28"/>
      <c r="F11" s="29" t="s">
        <v>5</v>
      </c>
      <c r="G11" s="30"/>
      <c r="H11" s="30"/>
      <c r="I11" s="28"/>
      <c r="J11" s="31" t="s">
        <v>9</v>
      </c>
      <c r="K11" s="31"/>
    </row>
    <row r="12" spans="1:11" x14ac:dyDescent="0.25">
      <c r="A12" s="28"/>
      <c r="B12" s="28"/>
      <c r="C12" s="28"/>
      <c r="D12" s="28"/>
      <c r="E12" s="28"/>
      <c r="F12" s="29" t="s">
        <v>6</v>
      </c>
      <c r="G12" s="30"/>
      <c r="H12" s="30"/>
      <c r="I12" s="28"/>
      <c r="J12" s="31"/>
      <c r="K12" s="31"/>
    </row>
    <row r="13" spans="1:11" x14ac:dyDescent="0.25">
      <c r="A13" s="28"/>
      <c r="B13" s="28"/>
      <c r="C13" s="28"/>
      <c r="D13" s="28"/>
      <c r="E13" s="28"/>
      <c r="F13" s="29" t="s">
        <v>7</v>
      </c>
      <c r="G13" s="30"/>
      <c r="H13" s="30"/>
      <c r="I13" s="28"/>
      <c r="J13" s="31"/>
      <c r="K13" s="31"/>
    </row>
    <row r="14" spans="1:11" x14ac:dyDescent="0.25">
      <c r="A14" s="28"/>
      <c r="B14" s="28"/>
      <c r="C14" s="28"/>
      <c r="D14" s="28"/>
      <c r="E14" s="28"/>
      <c r="F14" s="29" t="s">
        <v>8</v>
      </c>
      <c r="G14" s="30"/>
      <c r="H14" s="30"/>
      <c r="I14" s="28"/>
      <c r="J14" s="31" t="s">
        <v>39</v>
      </c>
      <c r="K14" s="31"/>
    </row>
    <row r="15" spans="1:11" ht="7.15" customHeight="1" thickBot="1" x14ac:dyDescent="0.3">
      <c r="A15" s="32"/>
      <c r="B15" s="32"/>
      <c r="C15" s="32"/>
      <c r="D15" s="32"/>
      <c r="E15" s="32"/>
      <c r="F15" s="32"/>
      <c r="G15" s="32"/>
      <c r="H15" s="32"/>
      <c r="I15" s="32"/>
      <c r="J15" s="32"/>
      <c r="K15" s="32"/>
    </row>
    <row r="16" spans="1:11" ht="7.5" customHeight="1" x14ac:dyDescent="0.25">
      <c r="A16" s="98"/>
      <c r="B16" s="98"/>
      <c r="C16" s="98"/>
      <c r="D16" s="98"/>
      <c r="E16" s="98"/>
      <c r="F16" s="98"/>
      <c r="G16" s="98"/>
      <c r="H16" s="98"/>
      <c r="I16" s="98"/>
      <c r="J16" s="98"/>
      <c r="K16" s="98"/>
    </row>
    <row r="17" spans="1:11" x14ac:dyDescent="0.25">
      <c r="A17" s="33" t="s">
        <v>11</v>
      </c>
      <c r="B17" s="33"/>
      <c r="C17" s="33"/>
      <c r="D17" s="33" t="s">
        <v>111</v>
      </c>
      <c r="E17" s="33"/>
      <c r="F17" s="33"/>
      <c r="G17" s="33"/>
      <c r="H17" s="33"/>
      <c r="I17" s="33"/>
      <c r="J17" s="33"/>
      <c r="K17" s="33"/>
    </row>
    <row r="18" spans="1:11" x14ac:dyDescent="0.25">
      <c r="A18" s="33"/>
      <c r="B18" s="33"/>
      <c r="C18" s="33"/>
      <c r="D18" s="34" t="s">
        <v>3</v>
      </c>
      <c r="E18" s="33"/>
      <c r="F18" s="33"/>
      <c r="G18" s="33"/>
      <c r="H18" s="33"/>
      <c r="I18" s="33"/>
      <c r="J18" s="33"/>
      <c r="K18" s="33"/>
    </row>
    <row r="19" spans="1:11" x14ac:dyDescent="0.25">
      <c r="A19" s="33"/>
      <c r="B19" s="33"/>
      <c r="C19" s="33"/>
      <c r="D19" s="34" t="s">
        <v>4</v>
      </c>
      <c r="E19" s="33"/>
      <c r="F19" s="33"/>
      <c r="G19" s="33"/>
      <c r="H19" s="33"/>
      <c r="I19" s="33"/>
      <c r="J19" s="33"/>
      <c r="K19" s="33"/>
    </row>
    <row r="20" spans="1:11" x14ac:dyDescent="0.25">
      <c r="A20" s="33"/>
      <c r="B20" s="33"/>
      <c r="C20" s="33"/>
      <c r="D20" s="34" t="s">
        <v>5</v>
      </c>
      <c r="E20" s="33"/>
      <c r="F20" s="33"/>
      <c r="G20" s="33"/>
      <c r="H20" s="33"/>
      <c r="I20" s="33"/>
      <c r="J20" s="33"/>
      <c r="K20" s="33"/>
    </row>
    <row r="21" spans="1:11" x14ac:dyDescent="0.25">
      <c r="A21" s="33"/>
      <c r="B21" s="33"/>
      <c r="C21" s="33"/>
      <c r="D21" s="34" t="s">
        <v>6</v>
      </c>
      <c r="E21" s="33"/>
      <c r="F21" s="33"/>
      <c r="G21" s="33"/>
      <c r="H21" s="33"/>
      <c r="I21" s="33"/>
      <c r="J21" s="33"/>
      <c r="K21" s="33"/>
    </row>
    <row r="22" spans="1:11" x14ac:dyDescent="0.25">
      <c r="A22" s="33"/>
      <c r="B22" s="33"/>
      <c r="C22" s="33"/>
      <c r="D22" s="34" t="s">
        <v>7</v>
      </c>
      <c r="E22" s="33"/>
      <c r="F22" s="33"/>
      <c r="G22" s="33"/>
      <c r="H22" s="33"/>
      <c r="I22" s="33"/>
      <c r="J22" s="33"/>
      <c r="K22" s="33"/>
    </row>
    <row r="23" spans="1:11" x14ac:dyDescent="0.25">
      <c r="A23" s="33"/>
      <c r="B23" s="33"/>
      <c r="C23" s="33"/>
      <c r="D23" s="29"/>
      <c r="E23" s="33"/>
      <c r="F23" s="33"/>
      <c r="G23" s="33"/>
      <c r="H23" s="33"/>
      <c r="I23" s="33"/>
      <c r="J23" s="33"/>
      <c r="K23" s="33"/>
    </row>
    <row r="24" spans="1:11" x14ac:dyDescent="0.25">
      <c r="A24" s="85" t="s">
        <v>20</v>
      </c>
      <c r="B24" s="85"/>
      <c r="C24" s="33"/>
      <c r="D24" s="55">
        <v>78546978</v>
      </c>
      <c r="E24" s="33"/>
      <c r="F24" s="33"/>
      <c r="G24" s="33"/>
      <c r="H24" s="33"/>
      <c r="I24" s="33"/>
      <c r="J24" s="33"/>
      <c r="K24" s="33"/>
    </row>
    <row r="25" spans="1:11" x14ac:dyDescent="0.25">
      <c r="A25" s="85" t="s">
        <v>31</v>
      </c>
      <c r="B25" s="85"/>
      <c r="C25" s="33"/>
      <c r="D25" s="33" t="s">
        <v>109</v>
      </c>
      <c r="E25" s="33" t="s">
        <v>193</v>
      </c>
      <c r="F25" s="33"/>
      <c r="G25" s="33"/>
      <c r="H25" s="33"/>
      <c r="I25" s="33"/>
      <c r="J25" s="33"/>
      <c r="K25" s="33"/>
    </row>
    <row r="26" spans="1:11" x14ac:dyDescent="0.25">
      <c r="A26" s="85"/>
      <c r="B26" s="85"/>
      <c r="C26" s="33"/>
      <c r="D26" s="33"/>
      <c r="E26" s="33"/>
      <c r="F26" s="33"/>
      <c r="G26" s="33"/>
      <c r="H26" s="33"/>
      <c r="I26" s="33"/>
      <c r="J26" s="33"/>
      <c r="K26" s="33"/>
    </row>
    <row r="27" spans="1:11" x14ac:dyDescent="0.25">
      <c r="A27" s="85" t="s">
        <v>21</v>
      </c>
      <c r="B27" s="85"/>
      <c r="C27" s="28"/>
      <c r="D27" s="33" t="s">
        <v>32</v>
      </c>
      <c r="E27" s="33"/>
      <c r="F27" s="33"/>
      <c r="G27" s="33"/>
      <c r="H27" s="33"/>
      <c r="I27" s="33"/>
      <c r="J27" s="33"/>
      <c r="K27" s="33"/>
    </row>
    <row r="28" spans="1:11" x14ac:dyDescent="0.25">
      <c r="A28" s="85" t="s">
        <v>22</v>
      </c>
      <c r="B28" s="85"/>
      <c r="C28" s="28"/>
      <c r="D28" s="55" t="str">
        <f>IF(Checks!C26="0","",Checks!C26)</f>
        <v/>
      </c>
      <c r="E28" s="55"/>
      <c r="F28" s="35"/>
      <c r="G28" s="33"/>
      <c r="H28" s="33"/>
      <c r="I28" s="33"/>
      <c r="J28" s="33"/>
      <c r="K28" s="33"/>
    </row>
    <row r="29" spans="1:11" x14ac:dyDescent="0.25">
      <c r="A29" s="85" t="s">
        <v>23</v>
      </c>
      <c r="B29" s="85"/>
      <c r="C29" s="28"/>
      <c r="D29" s="33" t="s">
        <v>33</v>
      </c>
      <c r="E29" s="33"/>
      <c r="F29" s="33"/>
      <c r="G29" s="33"/>
      <c r="H29" s="33"/>
      <c r="I29" s="33"/>
      <c r="J29" s="33"/>
      <c r="K29" s="33"/>
    </row>
    <row r="30" spans="1:11" x14ac:dyDescent="0.25">
      <c r="A30" s="85" t="s">
        <v>24</v>
      </c>
      <c r="B30" s="85"/>
      <c r="C30" s="28"/>
      <c r="D30" s="55">
        <v>1243</v>
      </c>
      <c r="E30" s="33"/>
      <c r="F30" s="33"/>
      <c r="G30" s="33"/>
      <c r="H30" s="33"/>
      <c r="I30" s="33"/>
      <c r="J30" s="33"/>
      <c r="K30" s="33"/>
    </row>
    <row r="31" spans="1:11" x14ac:dyDescent="0.25">
      <c r="A31" s="55" t="s">
        <v>257</v>
      </c>
      <c r="B31" s="55"/>
      <c r="C31" s="28"/>
      <c r="D31" s="55">
        <v>5647</v>
      </c>
      <c r="E31" s="33"/>
      <c r="F31" s="33"/>
      <c r="G31" s="33"/>
      <c r="H31" s="33"/>
      <c r="I31" s="33"/>
      <c r="J31" s="33"/>
      <c r="K31" s="33"/>
    </row>
    <row r="32" spans="1:11" x14ac:dyDescent="0.25">
      <c r="A32" s="55" t="s">
        <v>258</v>
      </c>
      <c r="B32" s="55"/>
      <c r="C32" s="28"/>
      <c r="D32" s="55">
        <v>2</v>
      </c>
      <c r="E32" s="33"/>
      <c r="F32" s="33"/>
      <c r="G32" s="33"/>
      <c r="H32" s="33"/>
      <c r="I32" s="33"/>
      <c r="J32" s="33"/>
      <c r="K32" s="33"/>
    </row>
    <row r="33" spans="1:11" x14ac:dyDescent="0.25">
      <c r="A33" s="85" t="s">
        <v>30</v>
      </c>
      <c r="B33" s="85"/>
      <c r="C33" s="28"/>
      <c r="D33" s="33" t="s">
        <v>110</v>
      </c>
      <c r="E33" s="33"/>
      <c r="F33" s="33"/>
      <c r="G33" s="33"/>
      <c r="H33" s="33"/>
      <c r="I33" s="33"/>
      <c r="J33" s="33"/>
      <c r="K33" s="33"/>
    </row>
    <row r="34" spans="1:11" x14ac:dyDescent="0.25">
      <c r="A34" s="85"/>
      <c r="B34" s="85"/>
      <c r="C34" s="28"/>
      <c r="D34" s="33"/>
      <c r="E34" s="33"/>
      <c r="F34" s="33"/>
      <c r="G34" s="33"/>
      <c r="H34" s="33"/>
      <c r="I34" s="33"/>
      <c r="J34" s="33"/>
      <c r="K34" s="33"/>
    </row>
    <row r="35" spans="1:11" x14ac:dyDescent="0.25">
      <c r="A35" s="85" t="s">
        <v>25</v>
      </c>
      <c r="B35" s="85"/>
      <c r="C35" s="28"/>
      <c r="D35" s="100">
        <v>44175</v>
      </c>
      <c r="E35" s="100"/>
      <c r="F35" s="33"/>
      <c r="G35" s="33"/>
      <c r="H35" s="33"/>
      <c r="I35" s="33"/>
      <c r="J35" s="33"/>
      <c r="K35" s="33"/>
    </row>
    <row r="36" spans="1:11" x14ac:dyDescent="0.25">
      <c r="A36" s="85" t="s">
        <v>26</v>
      </c>
      <c r="B36" s="85"/>
      <c r="C36" s="28"/>
      <c r="D36" s="33" t="str">
        <f>IF(D28="","",IF(C397&gt;20,'Test Equ'!B40,'Test Equ'!B39))</f>
        <v/>
      </c>
      <c r="E36" s="33"/>
      <c r="F36" s="33"/>
      <c r="G36" s="33"/>
      <c r="H36" s="33"/>
      <c r="I36" s="33"/>
      <c r="J36" s="33"/>
      <c r="K36" s="33"/>
    </row>
    <row r="37" spans="1:11" x14ac:dyDescent="0.25">
      <c r="A37" s="85" t="s">
        <v>27</v>
      </c>
      <c r="B37" s="85"/>
      <c r="C37" s="28"/>
      <c r="D37" s="33" t="s">
        <v>34</v>
      </c>
      <c r="E37" s="33"/>
      <c r="F37" s="33"/>
      <c r="G37" s="33"/>
      <c r="H37" s="33"/>
      <c r="I37" s="33"/>
      <c r="J37" s="33"/>
      <c r="K37" s="33"/>
    </row>
    <row r="38" spans="1:11" x14ac:dyDescent="0.25">
      <c r="A38" s="85" t="s">
        <v>28</v>
      </c>
      <c r="B38" s="85"/>
      <c r="C38" s="28"/>
      <c r="D38" s="33" t="s">
        <v>35</v>
      </c>
      <c r="E38" s="33"/>
      <c r="F38" s="33"/>
      <c r="G38" s="33"/>
      <c r="H38" s="33"/>
      <c r="I38" s="33"/>
      <c r="J38" s="33"/>
      <c r="K38" s="33"/>
    </row>
    <row r="39" spans="1:11" x14ac:dyDescent="0.25">
      <c r="A39" s="85" t="s">
        <v>29</v>
      </c>
      <c r="B39" s="85"/>
      <c r="C39" s="28"/>
      <c r="D39" s="33" t="str">
        <f>IF(D28="","",VLOOKUP(D28,'3PhT data'!A:G,5,0))</f>
        <v/>
      </c>
      <c r="E39" s="33"/>
      <c r="F39" s="33"/>
      <c r="G39" s="33"/>
      <c r="H39" s="33"/>
      <c r="I39" s="33"/>
      <c r="J39" s="33"/>
      <c r="K39" s="33"/>
    </row>
    <row r="40" spans="1:11" ht="7.9" customHeight="1" x14ac:dyDescent="0.25">
      <c r="A40" s="33"/>
      <c r="B40" s="33"/>
      <c r="C40" s="33"/>
      <c r="D40" s="33"/>
      <c r="E40" s="33"/>
      <c r="F40" s="33"/>
      <c r="G40" s="33"/>
      <c r="H40" s="33"/>
      <c r="I40" s="33"/>
      <c r="J40" s="33"/>
      <c r="K40" s="33"/>
    </row>
    <row r="41" spans="1:11" x14ac:dyDescent="0.25">
      <c r="A41" s="33" t="s">
        <v>45</v>
      </c>
      <c r="B41" s="33"/>
      <c r="C41" s="33"/>
      <c r="D41" s="33"/>
      <c r="E41" s="33"/>
      <c r="F41" s="33"/>
      <c r="G41" s="33"/>
      <c r="H41" s="33"/>
      <c r="I41" s="33"/>
      <c r="J41" s="33"/>
      <c r="K41" s="33"/>
    </row>
    <row r="42" spans="1:11" ht="7.9" customHeight="1" x14ac:dyDescent="0.25">
      <c r="A42" s="33"/>
      <c r="B42" s="33"/>
      <c r="C42" s="33"/>
      <c r="D42" s="33"/>
      <c r="E42" s="33"/>
      <c r="F42" s="33"/>
      <c r="G42" s="33"/>
      <c r="H42" s="33"/>
      <c r="I42" s="33"/>
      <c r="J42" s="33"/>
      <c r="K42" s="33"/>
    </row>
    <row r="43" spans="1:11" x14ac:dyDescent="0.25">
      <c r="A43" s="85" t="s">
        <v>43</v>
      </c>
      <c r="B43" s="85"/>
      <c r="C43" s="33" t="str">
        <f>IF(D28="","",VLOOKUP(K410,'Test Equ'!A:B,2,0))</f>
        <v/>
      </c>
      <c r="D43" s="33"/>
      <c r="E43" s="33"/>
      <c r="F43" s="33"/>
      <c r="G43" s="33"/>
      <c r="H43" s="33"/>
      <c r="I43" s="33"/>
      <c r="J43" s="33"/>
      <c r="K43" s="33"/>
    </row>
    <row r="44" spans="1:11" x14ac:dyDescent="0.25">
      <c r="A44" s="33"/>
      <c r="B44" s="33"/>
      <c r="C44" s="33" t="str">
        <f>IF(D28="","",IF(K409="LMX","",VLOOKUP(K409,'Test Equ'!A:B,2,0)))</f>
        <v/>
      </c>
      <c r="D44" s="33"/>
      <c r="E44" s="33"/>
      <c r="F44" s="33"/>
      <c r="G44" s="33"/>
      <c r="H44" s="33"/>
      <c r="I44" s="33"/>
      <c r="J44" s="33"/>
      <c r="K44" s="33"/>
    </row>
    <row r="45" spans="1:11" ht="7.9" customHeight="1" x14ac:dyDescent="0.25">
      <c r="A45" s="33"/>
      <c r="B45" s="33"/>
      <c r="C45" s="33"/>
      <c r="D45" s="33"/>
      <c r="E45" s="33"/>
      <c r="F45" s="33"/>
      <c r="G45" s="33"/>
      <c r="H45" s="33"/>
      <c r="I45" s="33"/>
      <c r="J45" s="33"/>
      <c r="K45" s="33"/>
    </row>
    <row r="46" spans="1:11" x14ac:dyDescent="0.25">
      <c r="A46" s="85" t="s">
        <v>92</v>
      </c>
      <c r="B46" s="85"/>
      <c r="C46" s="85"/>
      <c r="D46" s="85"/>
      <c r="E46" s="85"/>
      <c r="F46" s="85"/>
      <c r="G46" s="85"/>
      <c r="H46" s="85"/>
      <c r="I46" s="85"/>
      <c r="J46" s="85"/>
      <c r="K46" s="85"/>
    </row>
    <row r="47" spans="1:11" ht="7.9" customHeight="1" x14ac:dyDescent="0.25">
      <c r="A47" s="33"/>
      <c r="B47" s="33"/>
      <c r="C47" s="33"/>
      <c r="D47" s="33"/>
      <c r="E47" s="33"/>
      <c r="F47" s="33"/>
      <c r="G47" s="33"/>
      <c r="H47" s="33"/>
      <c r="I47" s="33"/>
      <c r="J47" s="33"/>
      <c r="K47" s="33"/>
    </row>
    <row r="48" spans="1:11" x14ac:dyDescent="0.25">
      <c r="A48" s="85" t="s">
        <v>93</v>
      </c>
      <c r="B48" s="85"/>
      <c r="C48" s="85"/>
      <c r="D48" s="85"/>
      <c r="E48" s="85"/>
      <c r="F48" s="85"/>
      <c r="G48" s="85"/>
      <c r="H48" s="85"/>
      <c r="I48" s="85"/>
      <c r="J48" s="85"/>
      <c r="K48" s="85"/>
    </row>
    <row r="49" spans="1:11" ht="7.9" customHeight="1" x14ac:dyDescent="0.25">
      <c r="A49" s="33"/>
      <c r="B49" s="33"/>
      <c r="C49" s="33"/>
      <c r="D49" s="33"/>
      <c r="E49" s="33"/>
      <c r="F49" s="33"/>
      <c r="G49" s="33"/>
      <c r="H49" s="33"/>
      <c r="I49" s="33"/>
      <c r="J49" s="33"/>
      <c r="K49" s="33"/>
    </row>
    <row r="50" spans="1:11" x14ac:dyDescent="0.25">
      <c r="A50" s="99" t="s">
        <v>94</v>
      </c>
      <c r="B50" s="99"/>
      <c r="C50" s="99"/>
      <c r="D50" s="99"/>
      <c r="E50" s="99"/>
      <c r="F50" s="99"/>
      <c r="G50" s="99"/>
      <c r="H50" s="99"/>
      <c r="I50" s="99"/>
      <c r="J50" s="99"/>
      <c r="K50" s="99"/>
    </row>
    <row r="51" spans="1:11" x14ac:dyDescent="0.25">
      <c r="A51" s="99"/>
      <c r="B51" s="99"/>
      <c r="C51" s="99"/>
      <c r="D51" s="99"/>
      <c r="E51" s="99"/>
      <c r="F51" s="99"/>
      <c r="G51" s="99"/>
      <c r="H51" s="99"/>
      <c r="I51" s="99"/>
      <c r="J51" s="99"/>
      <c r="K51" s="99"/>
    </row>
    <row r="52" spans="1:11" x14ac:dyDescent="0.25">
      <c r="A52" s="99"/>
      <c r="B52" s="99"/>
      <c r="C52" s="99"/>
      <c r="D52" s="99"/>
      <c r="E52" s="99"/>
      <c r="F52" s="99"/>
      <c r="G52" s="99"/>
      <c r="H52" s="99"/>
      <c r="I52" s="99"/>
      <c r="J52" s="99"/>
      <c r="K52" s="99"/>
    </row>
    <row r="53" spans="1:11" ht="7.9" customHeight="1" x14ac:dyDescent="0.25">
      <c r="A53" s="33"/>
      <c r="B53" s="33"/>
      <c r="C53" s="33"/>
      <c r="D53" s="33"/>
      <c r="E53" s="33"/>
      <c r="F53" s="33"/>
      <c r="G53" s="33"/>
      <c r="H53" s="33"/>
      <c r="I53" s="33"/>
      <c r="J53" s="33"/>
      <c r="K53" s="33"/>
    </row>
    <row r="54" spans="1:11" x14ac:dyDescent="0.25">
      <c r="A54" s="33" t="s">
        <v>95</v>
      </c>
      <c r="B54" s="33"/>
      <c r="C54" s="33"/>
      <c r="D54" s="33"/>
      <c r="E54" s="33"/>
      <c r="F54" s="33"/>
      <c r="G54" s="33"/>
      <c r="H54" s="33"/>
      <c r="I54" s="33"/>
      <c r="J54" s="33"/>
      <c r="K54" s="33"/>
    </row>
    <row r="55" spans="1:11" x14ac:dyDescent="0.25">
      <c r="A55" s="85"/>
      <c r="B55" s="85"/>
      <c r="C55" s="85"/>
      <c r="D55" s="85"/>
      <c r="E55" s="85"/>
      <c r="F55" s="85"/>
      <c r="G55" s="85"/>
      <c r="H55" s="85"/>
      <c r="I55" s="85"/>
      <c r="J55" s="85"/>
      <c r="K55" s="85"/>
    </row>
    <row r="56" spans="1:11" x14ac:dyDescent="0.25">
      <c r="A56" s="85"/>
      <c r="B56" s="85"/>
      <c r="C56" s="85"/>
      <c r="D56" s="85"/>
      <c r="E56" s="85"/>
      <c r="F56" s="85"/>
      <c r="G56" s="85"/>
      <c r="H56" s="85"/>
      <c r="I56" s="85"/>
      <c r="J56" s="85"/>
      <c r="K56" s="85"/>
    </row>
    <row r="57" spans="1:11" x14ac:dyDescent="0.25">
      <c r="A57" s="85"/>
      <c r="B57" s="85"/>
      <c r="C57" s="85"/>
      <c r="D57" s="85"/>
      <c r="E57" s="85"/>
      <c r="F57" s="85"/>
      <c r="G57" s="85"/>
      <c r="H57" s="85"/>
      <c r="I57" s="85"/>
      <c r="J57" s="85"/>
      <c r="K57" s="85"/>
    </row>
    <row r="58" spans="1:11" x14ac:dyDescent="0.25">
      <c r="A58" s="33"/>
      <c r="B58" s="33"/>
      <c r="C58" s="33"/>
      <c r="D58" s="33"/>
      <c r="E58" s="33"/>
      <c r="F58" s="33"/>
      <c r="G58" s="33"/>
      <c r="H58" s="33"/>
      <c r="I58" s="33"/>
      <c r="J58" s="33"/>
      <c r="K58" s="33"/>
    </row>
    <row r="59" spans="1:11" x14ac:dyDescent="0.25">
      <c r="A59" s="33"/>
      <c r="B59" s="33"/>
      <c r="C59" s="33"/>
      <c r="D59" s="33"/>
      <c r="E59" s="33"/>
      <c r="F59" s="33"/>
      <c r="G59" s="33"/>
      <c r="H59" s="33"/>
      <c r="I59" s="33"/>
      <c r="J59" s="33"/>
      <c r="K59" s="33"/>
    </row>
    <row r="60" spans="1:11" x14ac:dyDescent="0.25">
      <c r="A60" s="33" t="s">
        <v>108</v>
      </c>
      <c r="B60" s="33"/>
      <c r="C60" s="33" t="s">
        <v>39</v>
      </c>
      <c r="D60" s="33"/>
      <c r="E60" s="33"/>
      <c r="F60" s="33"/>
      <c r="G60" s="33"/>
      <c r="H60" s="33"/>
      <c r="I60" s="33"/>
      <c r="J60" s="36"/>
      <c r="K60" s="36"/>
    </row>
    <row r="61" spans="1:11" x14ac:dyDescent="0.25">
      <c r="A61" s="37"/>
      <c r="B61" s="37"/>
      <c r="C61" s="37"/>
      <c r="D61" s="37"/>
      <c r="E61" s="37"/>
      <c r="F61" s="37"/>
      <c r="G61" s="37"/>
      <c r="H61" s="37"/>
      <c r="I61" s="37"/>
      <c r="J61" s="37"/>
      <c r="K61" s="37"/>
    </row>
    <row r="62" spans="1:11" ht="14.45" customHeight="1" x14ac:dyDescent="0.25">
      <c r="A62" s="107" t="s">
        <v>0</v>
      </c>
      <c r="B62" s="108"/>
      <c r="C62" s="108"/>
      <c r="D62" s="108"/>
      <c r="E62" s="108"/>
      <c r="F62" s="108"/>
      <c r="G62" s="109"/>
      <c r="H62" s="28"/>
      <c r="I62" s="116" t="s">
        <v>1</v>
      </c>
      <c r="J62" s="118" t="str">
        <f>$J$6</f>
        <v>04567</v>
      </c>
      <c r="K62" s="119"/>
    </row>
    <row r="63" spans="1:11" ht="14.45" customHeight="1" x14ac:dyDescent="0.25">
      <c r="A63" s="110"/>
      <c r="B63" s="111"/>
      <c r="C63" s="111"/>
      <c r="D63" s="111"/>
      <c r="E63" s="111"/>
      <c r="F63" s="111"/>
      <c r="G63" s="112"/>
      <c r="H63" s="28"/>
      <c r="I63" s="117"/>
      <c r="J63" s="120"/>
      <c r="K63" s="121"/>
    </row>
    <row r="64" spans="1:11" ht="14.45" customHeight="1" x14ac:dyDescent="0.25">
      <c r="A64" s="110"/>
      <c r="B64" s="111"/>
      <c r="C64" s="111"/>
      <c r="D64" s="111"/>
      <c r="E64" s="111"/>
      <c r="F64" s="111"/>
      <c r="G64" s="112"/>
      <c r="H64" s="28"/>
      <c r="I64" s="122" t="s">
        <v>259</v>
      </c>
      <c r="J64" s="123"/>
      <c r="K64" s="124"/>
    </row>
    <row r="65" spans="1:11" ht="14.45" customHeight="1" x14ac:dyDescent="0.25">
      <c r="A65" s="113"/>
      <c r="B65" s="114"/>
      <c r="C65" s="114"/>
      <c r="D65" s="114"/>
      <c r="E65" s="114"/>
      <c r="F65" s="114"/>
      <c r="G65" s="115"/>
      <c r="H65" s="28"/>
      <c r="I65" s="125"/>
      <c r="J65" s="126"/>
      <c r="K65" s="127"/>
    </row>
    <row r="66" spans="1:11" x14ac:dyDescent="0.25">
      <c r="A66" s="28"/>
      <c r="B66" s="28"/>
      <c r="C66" s="28"/>
      <c r="D66" s="28"/>
      <c r="E66" s="28"/>
      <c r="F66" s="28"/>
      <c r="G66" s="28"/>
      <c r="H66" s="28"/>
      <c r="I66" s="28"/>
      <c r="J66" s="28"/>
      <c r="K66" s="28"/>
    </row>
    <row r="67" spans="1:11" x14ac:dyDescent="0.25">
      <c r="A67" s="28"/>
      <c r="B67" s="28"/>
      <c r="C67" s="28"/>
      <c r="D67" s="28"/>
      <c r="E67" s="28"/>
      <c r="F67" s="28"/>
      <c r="G67" s="28"/>
      <c r="H67" s="28"/>
      <c r="I67" s="28"/>
      <c r="J67" s="28"/>
      <c r="K67" s="28"/>
    </row>
    <row r="68" spans="1:11" ht="15.75" x14ac:dyDescent="0.25">
      <c r="A68" s="101" t="s">
        <v>113</v>
      </c>
      <c r="B68" s="101"/>
      <c r="C68" s="101"/>
      <c r="D68" s="101"/>
      <c r="E68" s="101"/>
      <c r="F68" s="101"/>
      <c r="G68" s="101"/>
      <c r="H68" s="101"/>
      <c r="I68" s="101"/>
      <c r="J68" s="101"/>
      <c r="K68" s="101"/>
    </row>
    <row r="69" spans="1:11" x14ac:dyDescent="0.25">
      <c r="A69" s="102" t="s">
        <v>115</v>
      </c>
      <c r="B69" s="102"/>
      <c r="C69" s="28"/>
      <c r="D69" s="28"/>
      <c r="E69" s="28"/>
      <c r="F69" s="28"/>
      <c r="G69" s="28"/>
      <c r="H69" s="28"/>
      <c r="I69" s="28"/>
      <c r="J69" s="28"/>
      <c r="K69" s="28"/>
    </row>
    <row r="70" spans="1:11" x14ac:dyDescent="0.25">
      <c r="A70" s="103" t="s">
        <v>114</v>
      </c>
      <c r="B70" s="103"/>
      <c r="C70" s="103"/>
      <c r="D70" s="103"/>
      <c r="E70" s="103"/>
      <c r="F70" s="103"/>
      <c r="G70" s="103"/>
      <c r="H70" s="103"/>
      <c r="I70" s="103"/>
      <c r="J70" s="103"/>
      <c r="K70" s="103"/>
    </row>
    <row r="71" spans="1:11" x14ac:dyDescent="0.25">
      <c r="A71" s="103"/>
      <c r="B71" s="103"/>
      <c r="C71" s="103"/>
      <c r="D71" s="103"/>
      <c r="E71" s="103"/>
      <c r="F71" s="103"/>
      <c r="G71" s="103"/>
      <c r="H71" s="103"/>
      <c r="I71" s="103"/>
      <c r="J71" s="103"/>
      <c r="K71" s="103"/>
    </row>
    <row r="72" spans="1:11" x14ac:dyDescent="0.25">
      <c r="A72" s="103"/>
      <c r="B72" s="103"/>
      <c r="C72" s="103"/>
      <c r="D72" s="103"/>
      <c r="E72" s="103"/>
      <c r="F72" s="103"/>
      <c r="G72" s="103"/>
      <c r="H72" s="103"/>
      <c r="I72" s="103"/>
      <c r="J72" s="103"/>
      <c r="K72" s="103"/>
    </row>
    <row r="73" spans="1:11" x14ac:dyDescent="0.25">
      <c r="A73" s="104" t="e">
        <f>IF($K$409="LMX",'Test Equ'!B62,'Test Equ'!B61)</f>
        <v>#N/A</v>
      </c>
      <c r="B73" s="104"/>
      <c r="C73" s="104"/>
      <c r="D73" s="104"/>
      <c r="E73" s="104"/>
      <c r="F73" s="104"/>
      <c r="G73" s="104"/>
      <c r="H73" s="104"/>
      <c r="I73" s="104"/>
      <c r="J73" s="104"/>
      <c r="K73" s="104"/>
    </row>
    <row r="74" spans="1:11" x14ac:dyDescent="0.25">
      <c r="A74" s="104" t="str">
        <f>IF($E$25="A","Frequency 400Hz.","Frequency 60Hz.")</f>
        <v>Frequency 400Hz.</v>
      </c>
      <c r="B74" s="104"/>
      <c r="D74" s="28"/>
      <c r="E74" s="28"/>
      <c r="F74" s="28"/>
      <c r="G74" s="28"/>
      <c r="H74" s="28"/>
      <c r="I74" s="28"/>
      <c r="J74" s="28"/>
      <c r="K74" s="28"/>
    </row>
    <row r="75" spans="1:11" x14ac:dyDescent="0.25">
      <c r="A75" s="105"/>
      <c r="B75" s="105"/>
      <c r="C75" s="105"/>
      <c r="D75" s="105"/>
      <c r="E75" s="105"/>
      <c r="F75" s="105"/>
      <c r="G75" s="105"/>
      <c r="H75" s="105"/>
      <c r="I75" s="105"/>
      <c r="J75" s="106"/>
      <c r="K75" s="106"/>
    </row>
    <row r="76" spans="1:11" ht="28.9" customHeight="1" x14ac:dyDescent="0.25">
      <c r="A76" s="53" t="s">
        <v>12</v>
      </c>
      <c r="B76" s="128" t="s">
        <v>13</v>
      </c>
      <c r="C76" s="129"/>
      <c r="D76" s="128" t="s">
        <v>14</v>
      </c>
      <c r="E76" s="129"/>
      <c r="F76" s="128" t="s">
        <v>15</v>
      </c>
      <c r="G76" s="129"/>
      <c r="H76" s="128" t="s">
        <v>16</v>
      </c>
      <c r="I76" s="129"/>
      <c r="J76" s="130" t="s">
        <v>17</v>
      </c>
      <c r="K76" s="130"/>
    </row>
    <row r="77" spans="1:11" ht="18.600000000000001" customHeight="1" x14ac:dyDescent="0.25">
      <c r="A77" s="53"/>
      <c r="B77" s="128" t="s">
        <v>18</v>
      </c>
      <c r="C77" s="129"/>
      <c r="D77" s="131" t="s">
        <v>18</v>
      </c>
      <c r="E77" s="132"/>
      <c r="F77" s="131" t="s">
        <v>19</v>
      </c>
      <c r="G77" s="132"/>
      <c r="H77" s="131" t="s">
        <v>18</v>
      </c>
      <c r="I77" s="132"/>
      <c r="J77" s="130" t="s">
        <v>19</v>
      </c>
      <c r="K77" s="130"/>
    </row>
    <row r="78" spans="1:11" ht="18.600000000000001" customHeight="1" x14ac:dyDescent="0.25">
      <c r="A78" s="38" t="s">
        <v>116</v>
      </c>
      <c r="B78" s="155">
        <v>10</v>
      </c>
      <c r="C78" s="156"/>
      <c r="D78" s="135" t="str">
        <f>IF(Checks!$D$26="1",#REF!,"")</f>
        <v/>
      </c>
      <c r="E78" s="135"/>
      <c r="F78" s="137" t="str">
        <f t="shared" ref="F78:F101" si="0">IF($D$28="","",IF($K$409="LMX",340*0.1/100,IF($K$409="UPC3",354*0.2/100,0.25/100*B78+0.1/100*354)))</f>
        <v/>
      </c>
      <c r="G78" s="138"/>
      <c r="H78" s="135" t="str">
        <f>IF(Checks!$D$26="1",#REF!,"")</f>
        <v/>
      </c>
      <c r="I78" s="135"/>
      <c r="J78" s="133" t="e">
        <f t="shared" ref="J78:J101" si="1">IF($K$409="LMX",135*0.1/100,IF($K$409="ASX",150*0.5/100,150*0.5/100))</f>
        <v>#N/A</v>
      </c>
      <c r="K78" s="134"/>
    </row>
    <row r="79" spans="1:11" ht="18.600000000000001" customHeight="1" x14ac:dyDescent="0.25">
      <c r="A79" s="38" t="s">
        <v>117</v>
      </c>
      <c r="B79" s="155">
        <v>10</v>
      </c>
      <c r="C79" s="156"/>
      <c r="D79" s="135" t="str">
        <f>IF(Checks!$D$26="1",#REF!,"")</f>
        <v/>
      </c>
      <c r="E79" s="135"/>
      <c r="F79" s="137" t="str">
        <f t="shared" si="0"/>
        <v/>
      </c>
      <c r="G79" s="138"/>
      <c r="H79" s="135" t="str">
        <f>IF(Checks!$D$26="1",#REF!,"")</f>
        <v/>
      </c>
      <c r="I79" s="135"/>
      <c r="J79" s="133" t="e">
        <f t="shared" si="1"/>
        <v>#N/A</v>
      </c>
      <c r="K79" s="134"/>
    </row>
    <row r="80" spans="1:11" ht="18.600000000000001" customHeight="1" x14ac:dyDescent="0.25">
      <c r="A80" s="38" t="s">
        <v>118</v>
      </c>
      <c r="B80" s="155">
        <v>10</v>
      </c>
      <c r="C80" s="156"/>
      <c r="D80" s="135" t="str">
        <f>IF(Checks!$D$26="1",#REF!,"")</f>
        <v/>
      </c>
      <c r="E80" s="135"/>
      <c r="F80" s="137" t="str">
        <f t="shared" si="0"/>
        <v/>
      </c>
      <c r="G80" s="138"/>
      <c r="H80" s="135" t="str">
        <f>IF(Checks!$D$26="1",#REF!,"")</f>
        <v/>
      </c>
      <c r="I80" s="135"/>
      <c r="J80" s="133" t="e">
        <f t="shared" si="1"/>
        <v>#N/A</v>
      </c>
      <c r="K80" s="134"/>
    </row>
    <row r="81" spans="1:11" ht="18.600000000000001" customHeight="1" x14ac:dyDescent="0.25">
      <c r="A81" s="38" t="s">
        <v>116</v>
      </c>
      <c r="B81" s="155">
        <v>25</v>
      </c>
      <c r="C81" s="156"/>
      <c r="D81" s="135" t="str">
        <f>IF(Checks!$D$26="1",#REF!,"")</f>
        <v/>
      </c>
      <c r="E81" s="135"/>
      <c r="F81" s="137" t="str">
        <f t="shared" si="0"/>
        <v/>
      </c>
      <c r="G81" s="138"/>
      <c r="H81" s="135" t="str">
        <f>IF(Checks!$D$26="1",#REF!,"")</f>
        <v/>
      </c>
      <c r="I81" s="135"/>
      <c r="J81" s="133" t="e">
        <f t="shared" si="1"/>
        <v>#N/A</v>
      </c>
      <c r="K81" s="134"/>
    </row>
    <row r="82" spans="1:11" ht="18.600000000000001" customHeight="1" x14ac:dyDescent="0.25">
      <c r="A82" s="38" t="s">
        <v>117</v>
      </c>
      <c r="B82" s="155">
        <v>25</v>
      </c>
      <c r="C82" s="156"/>
      <c r="D82" s="135" t="str">
        <f>IF(Checks!$D$26="1",#REF!,"")</f>
        <v/>
      </c>
      <c r="E82" s="135"/>
      <c r="F82" s="137" t="str">
        <f t="shared" si="0"/>
        <v/>
      </c>
      <c r="G82" s="138"/>
      <c r="H82" s="135" t="str">
        <f>IF(Checks!$D$26="1",#REF!,"")</f>
        <v/>
      </c>
      <c r="I82" s="135"/>
      <c r="J82" s="133" t="e">
        <f t="shared" si="1"/>
        <v>#N/A</v>
      </c>
      <c r="K82" s="134"/>
    </row>
    <row r="83" spans="1:11" ht="18.600000000000001" customHeight="1" x14ac:dyDescent="0.25">
      <c r="A83" s="38" t="s">
        <v>118</v>
      </c>
      <c r="B83" s="155">
        <v>25</v>
      </c>
      <c r="C83" s="156"/>
      <c r="D83" s="135" t="str">
        <f>IF(Checks!$D$26="1",#REF!,"")</f>
        <v/>
      </c>
      <c r="E83" s="135"/>
      <c r="F83" s="137" t="str">
        <f t="shared" si="0"/>
        <v/>
      </c>
      <c r="G83" s="138"/>
      <c r="H83" s="135" t="str">
        <f>IF(Checks!$D$26="1",#REF!,"")</f>
        <v/>
      </c>
      <c r="I83" s="135"/>
      <c r="J83" s="133" t="e">
        <f t="shared" si="1"/>
        <v>#N/A</v>
      </c>
      <c r="K83" s="134"/>
    </row>
    <row r="84" spans="1:11" ht="18.600000000000001" customHeight="1" x14ac:dyDescent="0.25">
      <c r="A84" s="38" t="s">
        <v>116</v>
      </c>
      <c r="B84" s="155">
        <v>50</v>
      </c>
      <c r="C84" s="156"/>
      <c r="D84" s="135" t="str">
        <f>IF(Checks!$D$26="1",#REF!,"")</f>
        <v/>
      </c>
      <c r="E84" s="135"/>
      <c r="F84" s="137" t="str">
        <f t="shared" si="0"/>
        <v/>
      </c>
      <c r="G84" s="138"/>
      <c r="H84" s="135" t="str">
        <f>IF(Checks!$D$26="1",#REF!,"")</f>
        <v/>
      </c>
      <c r="I84" s="135"/>
      <c r="J84" s="133" t="e">
        <f t="shared" si="1"/>
        <v>#N/A</v>
      </c>
      <c r="K84" s="134"/>
    </row>
    <row r="85" spans="1:11" ht="18.600000000000001" customHeight="1" x14ac:dyDescent="0.25">
      <c r="A85" s="38" t="s">
        <v>117</v>
      </c>
      <c r="B85" s="155">
        <v>50</v>
      </c>
      <c r="C85" s="156"/>
      <c r="D85" s="135" t="str">
        <f>IF(Checks!$D$26="1",#REF!,"")</f>
        <v/>
      </c>
      <c r="E85" s="135"/>
      <c r="F85" s="137" t="str">
        <f t="shared" si="0"/>
        <v/>
      </c>
      <c r="G85" s="138"/>
      <c r="H85" s="135" t="str">
        <f>IF(Checks!$D$26="1",#REF!,"")</f>
        <v/>
      </c>
      <c r="I85" s="135"/>
      <c r="J85" s="133" t="e">
        <f t="shared" si="1"/>
        <v>#N/A</v>
      </c>
      <c r="K85" s="134"/>
    </row>
    <row r="86" spans="1:11" ht="18.600000000000001" customHeight="1" x14ac:dyDescent="0.25">
      <c r="A86" s="38" t="s">
        <v>118</v>
      </c>
      <c r="B86" s="155">
        <v>50</v>
      </c>
      <c r="C86" s="156"/>
      <c r="D86" s="135" t="str">
        <f>IF(Checks!$D$26="1",#REF!,"")</f>
        <v/>
      </c>
      <c r="E86" s="135"/>
      <c r="F86" s="137" t="str">
        <f t="shared" si="0"/>
        <v/>
      </c>
      <c r="G86" s="138"/>
      <c r="H86" s="135" t="str">
        <f>IF(Checks!$D$26="1",#REF!,"")</f>
        <v/>
      </c>
      <c r="I86" s="135"/>
      <c r="J86" s="133" t="e">
        <f t="shared" si="1"/>
        <v>#N/A</v>
      </c>
      <c r="K86" s="134"/>
    </row>
    <row r="87" spans="1:11" ht="18.600000000000001" customHeight="1" x14ac:dyDescent="0.25">
      <c r="A87" s="38" t="s">
        <v>116</v>
      </c>
      <c r="B87" s="155">
        <v>75</v>
      </c>
      <c r="C87" s="156"/>
      <c r="D87" s="135" t="str">
        <f>IF(Checks!$D$26="1",#REF!,"")</f>
        <v/>
      </c>
      <c r="E87" s="135"/>
      <c r="F87" s="137" t="str">
        <f t="shared" si="0"/>
        <v/>
      </c>
      <c r="G87" s="138"/>
      <c r="H87" s="135" t="str">
        <f>IF(Checks!$D$26="1",#REF!,"")</f>
        <v/>
      </c>
      <c r="I87" s="135"/>
      <c r="J87" s="133" t="e">
        <f t="shared" si="1"/>
        <v>#N/A</v>
      </c>
      <c r="K87" s="134"/>
    </row>
    <row r="88" spans="1:11" ht="18.600000000000001" customHeight="1" x14ac:dyDescent="0.25">
      <c r="A88" s="38" t="s">
        <v>117</v>
      </c>
      <c r="B88" s="155">
        <v>75</v>
      </c>
      <c r="C88" s="156"/>
      <c r="D88" s="135" t="str">
        <f>IF(Checks!$D$26="1",#REF!,"")</f>
        <v/>
      </c>
      <c r="E88" s="135"/>
      <c r="F88" s="137" t="str">
        <f t="shared" si="0"/>
        <v/>
      </c>
      <c r="G88" s="138"/>
      <c r="H88" s="135" t="str">
        <f>IF(Checks!$D$26="1",#REF!,"")</f>
        <v/>
      </c>
      <c r="I88" s="135"/>
      <c r="J88" s="133" t="e">
        <f t="shared" si="1"/>
        <v>#N/A</v>
      </c>
      <c r="K88" s="134"/>
    </row>
    <row r="89" spans="1:11" ht="18.600000000000001" customHeight="1" x14ac:dyDescent="0.25">
      <c r="A89" s="38" t="s">
        <v>118</v>
      </c>
      <c r="B89" s="155">
        <v>75</v>
      </c>
      <c r="C89" s="156"/>
      <c r="D89" s="135" t="str">
        <f>IF(Checks!$D$26="1",#REF!,"")</f>
        <v/>
      </c>
      <c r="E89" s="135"/>
      <c r="F89" s="137" t="str">
        <f t="shared" si="0"/>
        <v/>
      </c>
      <c r="G89" s="138"/>
      <c r="H89" s="135" t="str">
        <f>IF(Checks!$D$26="1",#REF!,"")</f>
        <v/>
      </c>
      <c r="I89" s="135"/>
      <c r="J89" s="133" t="e">
        <f t="shared" si="1"/>
        <v>#N/A</v>
      </c>
      <c r="K89" s="134"/>
    </row>
    <row r="90" spans="1:11" ht="18.600000000000001" customHeight="1" x14ac:dyDescent="0.25">
      <c r="A90" s="38" t="s">
        <v>116</v>
      </c>
      <c r="B90" s="155">
        <v>100</v>
      </c>
      <c r="C90" s="156"/>
      <c r="D90" s="135" t="str">
        <f>IF(Checks!$D$26="1",#REF!,"")</f>
        <v/>
      </c>
      <c r="E90" s="135"/>
      <c r="F90" s="137" t="str">
        <f t="shared" si="0"/>
        <v/>
      </c>
      <c r="G90" s="138"/>
      <c r="H90" s="135" t="str">
        <f>IF(Checks!$D$26="1",#REF!,"")</f>
        <v/>
      </c>
      <c r="I90" s="135"/>
      <c r="J90" s="133" t="e">
        <f t="shared" si="1"/>
        <v>#N/A</v>
      </c>
      <c r="K90" s="134"/>
    </row>
    <row r="91" spans="1:11" ht="18.600000000000001" customHeight="1" x14ac:dyDescent="0.25">
      <c r="A91" s="38" t="s">
        <v>117</v>
      </c>
      <c r="B91" s="155">
        <v>100</v>
      </c>
      <c r="C91" s="156"/>
      <c r="D91" s="135" t="str">
        <f>IF(Checks!$D$26="1",#REF!,"")</f>
        <v/>
      </c>
      <c r="E91" s="135"/>
      <c r="F91" s="137" t="str">
        <f t="shared" si="0"/>
        <v/>
      </c>
      <c r="G91" s="138"/>
      <c r="H91" s="135" t="str">
        <f>IF(Checks!$D$26="1",#REF!,"")</f>
        <v/>
      </c>
      <c r="I91" s="135"/>
      <c r="J91" s="133" t="e">
        <f t="shared" si="1"/>
        <v>#N/A</v>
      </c>
      <c r="K91" s="134"/>
    </row>
    <row r="92" spans="1:11" ht="18.600000000000001" customHeight="1" x14ac:dyDescent="0.25">
      <c r="A92" s="38" t="s">
        <v>118</v>
      </c>
      <c r="B92" s="155">
        <v>100</v>
      </c>
      <c r="C92" s="156"/>
      <c r="D92" s="135" t="str">
        <f>IF(Checks!$D$26="1",#REF!,"")</f>
        <v/>
      </c>
      <c r="E92" s="135"/>
      <c r="F92" s="137" t="str">
        <f t="shared" si="0"/>
        <v/>
      </c>
      <c r="G92" s="138"/>
      <c r="H92" s="135" t="str">
        <f>IF(Checks!$D$26="1",#REF!,"")</f>
        <v/>
      </c>
      <c r="I92" s="135"/>
      <c r="J92" s="133" t="e">
        <f t="shared" si="1"/>
        <v>#N/A</v>
      </c>
      <c r="K92" s="134"/>
    </row>
    <row r="93" spans="1:11" ht="18.600000000000001" customHeight="1" x14ac:dyDescent="0.25">
      <c r="A93" s="38" t="s">
        <v>116</v>
      </c>
      <c r="B93" s="155">
        <v>115</v>
      </c>
      <c r="C93" s="156"/>
      <c r="D93" s="135" t="str">
        <f>IF(Checks!$D$26="1",#REF!,"")</f>
        <v/>
      </c>
      <c r="E93" s="135"/>
      <c r="F93" s="137" t="str">
        <f t="shared" si="0"/>
        <v/>
      </c>
      <c r="G93" s="138"/>
      <c r="H93" s="135" t="str">
        <f>IF(Checks!$D$26="1",#REF!,"")</f>
        <v/>
      </c>
      <c r="I93" s="135"/>
      <c r="J93" s="133" t="e">
        <f t="shared" si="1"/>
        <v>#N/A</v>
      </c>
      <c r="K93" s="134"/>
    </row>
    <row r="94" spans="1:11" ht="18.600000000000001" customHeight="1" x14ac:dyDescent="0.25">
      <c r="A94" s="38" t="s">
        <v>117</v>
      </c>
      <c r="B94" s="155">
        <v>115</v>
      </c>
      <c r="C94" s="156"/>
      <c r="D94" s="135" t="str">
        <f>IF(Checks!$D$26="1",#REF!,"")</f>
        <v/>
      </c>
      <c r="E94" s="135"/>
      <c r="F94" s="137" t="str">
        <f t="shared" si="0"/>
        <v/>
      </c>
      <c r="G94" s="138"/>
      <c r="H94" s="135" t="str">
        <f>IF(Checks!$D$26="1",#REF!,"")</f>
        <v/>
      </c>
      <c r="I94" s="135"/>
      <c r="J94" s="133" t="e">
        <f t="shared" si="1"/>
        <v>#N/A</v>
      </c>
      <c r="K94" s="134"/>
    </row>
    <row r="95" spans="1:11" ht="18.600000000000001" customHeight="1" x14ac:dyDescent="0.25">
      <c r="A95" s="38" t="s">
        <v>118</v>
      </c>
      <c r="B95" s="155">
        <v>115</v>
      </c>
      <c r="C95" s="156"/>
      <c r="D95" s="135" t="str">
        <f>IF(Checks!$D$26="1",#REF!,"")</f>
        <v/>
      </c>
      <c r="E95" s="135"/>
      <c r="F95" s="137" t="str">
        <f t="shared" si="0"/>
        <v/>
      </c>
      <c r="G95" s="138"/>
      <c r="H95" s="135" t="str">
        <f>IF(Checks!$D$26="1",#REF!,"")</f>
        <v/>
      </c>
      <c r="I95" s="135"/>
      <c r="J95" s="133" t="e">
        <f t="shared" si="1"/>
        <v>#N/A</v>
      </c>
      <c r="K95" s="134"/>
    </row>
    <row r="96" spans="1:11" ht="18.600000000000001" customHeight="1" x14ac:dyDescent="0.25">
      <c r="A96" s="38" t="s">
        <v>116</v>
      </c>
      <c r="B96" s="155">
        <v>125</v>
      </c>
      <c r="C96" s="156"/>
      <c r="D96" s="135" t="str">
        <f>IF(Checks!$D$26="1",#REF!,"")</f>
        <v/>
      </c>
      <c r="E96" s="135"/>
      <c r="F96" s="137" t="str">
        <f t="shared" si="0"/>
        <v/>
      </c>
      <c r="G96" s="138"/>
      <c r="H96" s="135" t="str">
        <f>IF(Checks!$D$26="1",#REF!,"")</f>
        <v/>
      </c>
      <c r="I96" s="135"/>
      <c r="J96" s="133" t="e">
        <f t="shared" si="1"/>
        <v>#N/A</v>
      </c>
      <c r="K96" s="134"/>
    </row>
    <row r="97" spans="1:11" ht="18.600000000000001" customHeight="1" x14ac:dyDescent="0.25">
      <c r="A97" s="38" t="s">
        <v>117</v>
      </c>
      <c r="B97" s="155">
        <v>125</v>
      </c>
      <c r="C97" s="156"/>
      <c r="D97" s="135" t="str">
        <f>IF(Checks!$D$26="1",#REF!,"")</f>
        <v/>
      </c>
      <c r="E97" s="135"/>
      <c r="F97" s="137" t="str">
        <f t="shared" si="0"/>
        <v/>
      </c>
      <c r="G97" s="138"/>
      <c r="H97" s="135" t="str">
        <f>IF(Checks!$D$26="1",#REF!,"")</f>
        <v/>
      </c>
      <c r="I97" s="135"/>
      <c r="J97" s="133" t="e">
        <f t="shared" si="1"/>
        <v>#N/A</v>
      </c>
      <c r="K97" s="134"/>
    </row>
    <row r="98" spans="1:11" ht="18.600000000000001" customHeight="1" x14ac:dyDescent="0.25">
      <c r="A98" s="38" t="s">
        <v>118</v>
      </c>
      <c r="B98" s="155">
        <v>125</v>
      </c>
      <c r="C98" s="156"/>
      <c r="D98" s="135" t="str">
        <f>IF(Checks!$D$26="1",#REF!,"")</f>
        <v/>
      </c>
      <c r="E98" s="135"/>
      <c r="F98" s="137" t="str">
        <f t="shared" si="0"/>
        <v/>
      </c>
      <c r="G98" s="138"/>
      <c r="H98" s="135" t="str">
        <f>IF(Checks!$D$26="1",#REF!,"")</f>
        <v/>
      </c>
      <c r="I98" s="135"/>
      <c r="J98" s="133" t="e">
        <f t="shared" si="1"/>
        <v>#N/A</v>
      </c>
      <c r="K98" s="134"/>
    </row>
    <row r="99" spans="1:11" ht="18.600000000000001" customHeight="1" x14ac:dyDescent="0.25">
      <c r="A99" s="38" t="s">
        <v>116</v>
      </c>
      <c r="B99" s="155" t="e">
        <f>VLOOKUP($D$28,'3PhT data'!A:N,6,0)</f>
        <v>#N/A</v>
      </c>
      <c r="C99" s="156"/>
      <c r="D99" s="135" t="str">
        <f>IF(Checks!$D$26="1",#REF!,"")</f>
        <v/>
      </c>
      <c r="E99" s="135"/>
      <c r="F99" s="137" t="str">
        <f t="shared" si="0"/>
        <v/>
      </c>
      <c r="G99" s="138"/>
      <c r="H99" s="135" t="str">
        <f>IF(Checks!$D$26="1",#REF!,"")</f>
        <v/>
      </c>
      <c r="I99" s="135"/>
      <c r="J99" s="133" t="e">
        <f t="shared" si="1"/>
        <v>#N/A</v>
      </c>
      <c r="K99" s="134"/>
    </row>
    <row r="100" spans="1:11" ht="18.600000000000001" customHeight="1" x14ac:dyDescent="0.25">
      <c r="A100" s="38" t="s">
        <v>117</v>
      </c>
      <c r="B100" s="155" t="e">
        <f>VLOOKUP($D$28,'3PhT data'!A:N,6,0)</f>
        <v>#N/A</v>
      </c>
      <c r="C100" s="156"/>
      <c r="D100" s="135" t="str">
        <f>IF(Checks!$D$26="1",#REF!,"")</f>
        <v/>
      </c>
      <c r="E100" s="135"/>
      <c r="F100" s="137" t="str">
        <f t="shared" si="0"/>
        <v/>
      </c>
      <c r="G100" s="138"/>
      <c r="H100" s="135" t="str">
        <f>IF(Checks!$D$26="1",#REF!,"")</f>
        <v/>
      </c>
      <c r="I100" s="135"/>
      <c r="J100" s="133" t="e">
        <f t="shared" si="1"/>
        <v>#N/A</v>
      </c>
      <c r="K100" s="134"/>
    </row>
    <row r="101" spans="1:11" ht="18.600000000000001" customHeight="1" x14ac:dyDescent="0.25">
      <c r="A101" s="38" t="s">
        <v>118</v>
      </c>
      <c r="B101" s="155" t="e">
        <f>VLOOKUP($D$28,'3PhT data'!A:N,6,0)</f>
        <v>#N/A</v>
      </c>
      <c r="C101" s="156"/>
      <c r="D101" s="135" t="str">
        <f>IF(Checks!$D$26="1",#REF!,"")</f>
        <v/>
      </c>
      <c r="E101" s="135"/>
      <c r="F101" s="137" t="str">
        <f t="shared" si="0"/>
        <v/>
      </c>
      <c r="G101" s="138"/>
      <c r="H101" s="135" t="str">
        <f>IF(Checks!$D$26="1",#REF!,"")</f>
        <v/>
      </c>
      <c r="I101" s="135"/>
      <c r="J101" s="133" t="e">
        <f t="shared" si="1"/>
        <v>#N/A</v>
      </c>
      <c r="K101" s="134"/>
    </row>
    <row r="102" spans="1:11" x14ac:dyDescent="0.25">
      <c r="A102" s="28"/>
      <c r="B102" s="28"/>
      <c r="C102" s="28"/>
      <c r="D102" s="28"/>
      <c r="E102" s="28"/>
      <c r="F102" s="28"/>
      <c r="G102" s="28"/>
      <c r="H102" s="28"/>
      <c r="I102" s="28"/>
      <c r="J102" s="28"/>
      <c r="K102" s="28"/>
    </row>
    <row r="103" spans="1:11" x14ac:dyDescent="0.25">
      <c r="A103" s="5" t="s">
        <v>124</v>
      </c>
      <c r="B103" s="28"/>
      <c r="C103" s="28"/>
      <c r="D103" s="5" t="s">
        <v>125</v>
      </c>
      <c r="E103" s="28"/>
      <c r="F103" s="28"/>
      <c r="G103" s="28"/>
      <c r="H103" s="28"/>
      <c r="I103" s="28"/>
      <c r="J103" s="28"/>
      <c r="K103" s="28"/>
    </row>
    <row r="104" spans="1:11" x14ac:dyDescent="0.25">
      <c r="A104" s="28"/>
      <c r="B104" s="28"/>
      <c r="C104" s="28"/>
      <c r="D104" s="28"/>
      <c r="E104" s="28"/>
      <c r="F104" s="28"/>
      <c r="G104" s="28"/>
      <c r="H104" s="28"/>
      <c r="I104" s="28"/>
      <c r="J104" s="28"/>
      <c r="K104" s="28"/>
    </row>
    <row r="105" spans="1:11" x14ac:dyDescent="0.25">
      <c r="A105" s="28"/>
      <c r="B105" s="28"/>
      <c r="C105" s="28"/>
      <c r="D105" s="28"/>
      <c r="E105" s="28"/>
      <c r="F105" s="28"/>
      <c r="G105" s="28"/>
      <c r="H105" s="28"/>
      <c r="I105" s="28"/>
      <c r="J105" s="28"/>
      <c r="K105" s="28"/>
    </row>
    <row r="106" spans="1:11" x14ac:dyDescent="0.25">
      <c r="A106" s="28"/>
      <c r="B106" s="28"/>
      <c r="C106" s="28"/>
      <c r="D106" s="28"/>
      <c r="E106" s="28"/>
      <c r="F106" s="28"/>
      <c r="G106" s="28"/>
      <c r="H106" s="28"/>
      <c r="I106" s="28"/>
      <c r="J106" s="28"/>
      <c r="K106" s="28"/>
    </row>
    <row r="107" spans="1:11" x14ac:dyDescent="0.25">
      <c r="A107" s="28"/>
      <c r="B107" s="28"/>
      <c r="C107" s="28"/>
      <c r="D107" s="28"/>
      <c r="E107" s="28"/>
      <c r="F107" s="28"/>
      <c r="G107" s="28"/>
      <c r="H107" s="28"/>
      <c r="I107" s="28"/>
      <c r="J107" s="28"/>
      <c r="K107" s="28"/>
    </row>
    <row r="108" spans="1:11" x14ac:dyDescent="0.25">
      <c r="A108" s="28"/>
      <c r="B108" s="28"/>
      <c r="C108" s="28"/>
      <c r="D108" s="28"/>
      <c r="E108" s="28"/>
      <c r="F108" s="28"/>
      <c r="G108" s="28"/>
      <c r="H108" s="28"/>
      <c r="I108" s="28"/>
      <c r="J108" s="28"/>
      <c r="K108" s="28"/>
    </row>
    <row r="109" spans="1:11" x14ac:dyDescent="0.25">
      <c r="A109" s="28"/>
      <c r="B109" s="28"/>
      <c r="C109" s="28"/>
      <c r="D109" s="28"/>
      <c r="E109" s="28"/>
      <c r="F109" s="28"/>
      <c r="G109" s="28"/>
      <c r="H109" s="28"/>
      <c r="I109" s="28"/>
      <c r="J109" s="28"/>
      <c r="K109" s="28"/>
    </row>
    <row r="110" spans="1:11" ht="12" customHeight="1" x14ac:dyDescent="0.25">
      <c r="A110" s="28"/>
      <c r="B110" s="28"/>
      <c r="C110" s="28"/>
      <c r="D110" s="28"/>
      <c r="E110" s="28"/>
      <c r="F110" s="28"/>
      <c r="G110" s="28"/>
      <c r="H110" s="28"/>
      <c r="I110" s="28"/>
      <c r="J110" s="28"/>
      <c r="K110" s="28"/>
    </row>
    <row r="111" spans="1:11" ht="14.45" customHeight="1" x14ac:dyDescent="0.25">
      <c r="A111" s="107" t="s">
        <v>0</v>
      </c>
      <c r="B111" s="108"/>
      <c r="C111" s="108"/>
      <c r="D111" s="108"/>
      <c r="E111" s="108"/>
      <c r="F111" s="108"/>
      <c r="G111" s="109"/>
      <c r="H111" s="28"/>
      <c r="I111" s="116" t="s">
        <v>1</v>
      </c>
      <c r="J111" s="118" t="str">
        <f>$J$6</f>
        <v>04567</v>
      </c>
      <c r="K111" s="119"/>
    </row>
    <row r="112" spans="1:11" ht="14.45" customHeight="1" x14ac:dyDescent="0.25">
      <c r="A112" s="110"/>
      <c r="B112" s="111"/>
      <c r="C112" s="111"/>
      <c r="D112" s="111"/>
      <c r="E112" s="111"/>
      <c r="F112" s="111"/>
      <c r="G112" s="112"/>
      <c r="H112" s="28"/>
      <c r="I112" s="117"/>
      <c r="J112" s="120"/>
      <c r="K112" s="121"/>
    </row>
    <row r="113" spans="1:11" ht="14.45" customHeight="1" x14ac:dyDescent="0.25">
      <c r="A113" s="110"/>
      <c r="B113" s="111"/>
      <c r="C113" s="111"/>
      <c r="D113" s="111"/>
      <c r="E113" s="111"/>
      <c r="F113" s="111"/>
      <c r="G113" s="112"/>
      <c r="H113" s="28"/>
      <c r="I113" s="122" t="s">
        <v>260</v>
      </c>
      <c r="J113" s="123"/>
      <c r="K113" s="124"/>
    </row>
    <row r="114" spans="1:11" ht="14.45" customHeight="1" x14ac:dyDescent="0.25">
      <c r="A114" s="113"/>
      <c r="B114" s="114"/>
      <c r="C114" s="114"/>
      <c r="D114" s="114"/>
      <c r="E114" s="114"/>
      <c r="F114" s="114"/>
      <c r="G114" s="115"/>
      <c r="H114" s="28"/>
      <c r="I114" s="125"/>
      <c r="J114" s="126"/>
      <c r="K114" s="127"/>
    </row>
    <row r="115" spans="1:11" x14ac:dyDescent="0.25">
      <c r="A115" s="28"/>
      <c r="B115" s="28"/>
      <c r="C115" s="28"/>
      <c r="D115" s="28"/>
      <c r="E115" s="28"/>
      <c r="F115" s="28"/>
      <c r="G115" s="28"/>
      <c r="H115" s="28"/>
      <c r="I115" s="28"/>
      <c r="J115" s="28"/>
      <c r="K115" s="28"/>
    </row>
    <row r="116" spans="1:11" x14ac:dyDescent="0.25">
      <c r="A116" s="28"/>
      <c r="B116" s="28"/>
      <c r="C116" s="28"/>
      <c r="D116" s="28"/>
      <c r="E116" s="28"/>
      <c r="F116" s="28"/>
      <c r="G116" s="28"/>
      <c r="H116" s="28"/>
      <c r="I116" s="28"/>
      <c r="J116" s="28"/>
      <c r="K116" s="28"/>
    </row>
    <row r="117" spans="1:11" ht="15.75" x14ac:dyDescent="0.25">
      <c r="A117" s="101" t="s">
        <v>261</v>
      </c>
      <c r="B117" s="101"/>
      <c r="C117" s="101"/>
      <c r="D117" s="101"/>
      <c r="E117" s="101"/>
      <c r="F117" s="101"/>
      <c r="G117" s="101"/>
      <c r="H117" s="101"/>
      <c r="I117" s="101"/>
      <c r="J117" s="101"/>
      <c r="K117" s="101"/>
    </row>
    <row r="118" spans="1:11" x14ac:dyDescent="0.25">
      <c r="A118" s="102" t="s">
        <v>115</v>
      </c>
      <c r="B118" s="102"/>
      <c r="C118" s="28"/>
      <c r="D118" s="28"/>
      <c r="E118" s="28"/>
      <c r="F118" s="28"/>
      <c r="G118" s="28"/>
      <c r="H118" s="28"/>
      <c r="I118" s="28"/>
      <c r="J118" s="28"/>
      <c r="K118" s="28"/>
    </row>
    <row r="119" spans="1:11" x14ac:dyDescent="0.25">
      <c r="A119" s="103" t="s">
        <v>114</v>
      </c>
      <c r="B119" s="103"/>
      <c r="C119" s="103"/>
      <c r="D119" s="103"/>
      <c r="E119" s="103"/>
      <c r="F119" s="103"/>
      <c r="G119" s="103"/>
      <c r="H119" s="103"/>
      <c r="I119" s="103"/>
      <c r="J119" s="103"/>
      <c r="K119" s="103"/>
    </row>
    <row r="120" spans="1:11" x14ac:dyDescent="0.25">
      <c r="A120" s="103"/>
      <c r="B120" s="103"/>
      <c r="C120" s="103"/>
      <c r="D120" s="103"/>
      <c r="E120" s="103"/>
      <c r="F120" s="103"/>
      <c r="G120" s="103"/>
      <c r="H120" s="103"/>
      <c r="I120" s="103"/>
      <c r="J120" s="103"/>
      <c r="K120" s="103"/>
    </row>
    <row r="121" spans="1:11" x14ac:dyDescent="0.25">
      <c r="A121" s="103"/>
      <c r="B121" s="103"/>
      <c r="C121" s="103"/>
      <c r="D121" s="103"/>
      <c r="E121" s="103"/>
      <c r="F121" s="103"/>
      <c r="G121" s="103"/>
      <c r="H121" s="103"/>
      <c r="I121" s="103"/>
      <c r="J121" s="103"/>
      <c r="K121" s="103"/>
    </row>
    <row r="122" spans="1:11" x14ac:dyDescent="0.25">
      <c r="A122" s="104" t="s">
        <v>262</v>
      </c>
      <c r="B122" s="104"/>
      <c r="C122" s="104"/>
      <c r="D122" s="104"/>
      <c r="E122" s="104"/>
      <c r="F122" s="104"/>
      <c r="G122" s="104"/>
      <c r="H122" s="104"/>
      <c r="I122" s="104"/>
      <c r="J122" s="104"/>
      <c r="K122" s="104"/>
    </row>
    <row r="123" spans="1:11" x14ac:dyDescent="0.25">
      <c r="A123" s="104" t="str">
        <f>IF($E$25="A","Frequency 400Hz.","Frequency 60Hz.")</f>
        <v>Frequency 400Hz.</v>
      </c>
      <c r="B123" s="104"/>
      <c r="D123" s="28"/>
      <c r="E123" s="28"/>
      <c r="F123" s="28"/>
      <c r="G123" s="28"/>
      <c r="H123" s="28"/>
      <c r="I123" s="28"/>
      <c r="J123" s="28"/>
      <c r="K123" s="28"/>
    </row>
    <row r="124" spans="1:11" x14ac:dyDescent="0.25">
      <c r="A124" s="105"/>
      <c r="B124" s="105"/>
      <c r="C124" s="105"/>
      <c r="D124" s="105"/>
      <c r="E124" s="105"/>
      <c r="F124" s="105"/>
      <c r="G124" s="105"/>
      <c r="H124" s="105"/>
      <c r="I124" s="105"/>
      <c r="J124" s="106"/>
      <c r="K124" s="106"/>
    </row>
    <row r="125" spans="1:11" ht="28.9" customHeight="1" x14ac:dyDescent="0.25">
      <c r="A125" s="53" t="s">
        <v>12</v>
      </c>
      <c r="B125" s="128" t="s">
        <v>13</v>
      </c>
      <c r="C125" s="129"/>
      <c r="D125" s="128" t="s">
        <v>14</v>
      </c>
      <c r="E125" s="129"/>
      <c r="F125" s="128" t="s">
        <v>15</v>
      </c>
      <c r="G125" s="129"/>
      <c r="H125" s="128" t="s">
        <v>16</v>
      </c>
      <c r="I125" s="129"/>
      <c r="J125" s="130" t="s">
        <v>17</v>
      </c>
      <c r="K125" s="130"/>
    </row>
    <row r="126" spans="1:11" ht="18.600000000000001" customHeight="1" x14ac:dyDescent="0.25">
      <c r="A126" s="53"/>
      <c r="B126" s="128" t="s">
        <v>18</v>
      </c>
      <c r="C126" s="129"/>
      <c r="D126" s="131" t="s">
        <v>18</v>
      </c>
      <c r="E126" s="132"/>
      <c r="F126" s="131" t="s">
        <v>19</v>
      </c>
      <c r="G126" s="132"/>
      <c r="H126" s="131" t="s">
        <v>18</v>
      </c>
      <c r="I126" s="132"/>
      <c r="J126" s="130" t="s">
        <v>19</v>
      </c>
      <c r="K126" s="130"/>
    </row>
    <row r="127" spans="1:11" ht="18.600000000000001" customHeight="1" x14ac:dyDescent="0.25">
      <c r="A127" s="38" t="s">
        <v>116</v>
      </c>
      <c r="B127" s="155">
        <f t="shared" ref="B127:B150" si="2">B78*$D$32</f>
        <v>20</v>
      </c>
      <c r="C127" s="156"/>
      <c r="D127" s="135"/>
      <c r="E127" s="135"/>
      <c r="F127" s="137" t="e">
        <f t="shared" ref="F127:F150" si="3">IF($K$409="LMX",340*0.1/100,IF($K$409="UPC3",354*0.2/100,0.25/100*B127+0.1/100*354))</f>
        <v>#N/A</v>
      </c>
      <c r="G127" s="138"/>
      <c r="H127" s="186"/>
      <c r="I127" s="186"/>
      <c r="J127" s="158" t="e">
        <f t="shared" ref="J127:J150" si="4">IF($K$409="LMX",135*0.1/100,IF($K$409="ASX",150*0.5/100,150*0.5/100))*$D$32</f>
        <v>#N/A</v>
      </c>
      <c r="K127" s="159"/>
    </row>
    <row r="128" spans="1:11" ht="18.600000000000001" customHeight="1" x14ac:dyDescent="0.25">
      <c r="A128" s="38" t="s">
        <v>117</v>
      </c>
      <c r="B128" s="155">
        <f t="shared" si="2"/>
        <v>20</v>
      </c>
      <c r="C128" s="156"/>
      <c r="D128" s="135"/>
      <c r="E128" s="135"/>
      <c r="F128" s="137" t="e">
        <f t="shared" si="3"/>
        <v>#N/A</v>
      </c>
      <c r="G128" s="138"/>
      <c r="H128" s="186"/>
      <c r="I128" s="186"/>
      <c r="J128" s="158" t="e">
        <f t="shared" si="4"/>
        <v>#N/A</v>
      </c>
      <c r="K128" s="159"/>
    </row>
    <row r="129" spans="1:11" ht="18.600000000000001" customHeight="1" x14ac:dyDescent="0.25">
      <c r="A129" s="38" t="s">
        <v>118</v>
      </c>
      <c r="B129" s="155">
        <f t="shared" si="2"/>
        <v>20</v>
      </c>
      <c r="C129" s="156"/>
      <c r="D129" s="135"/>
      <c r="E129" s="135"/>
      <c r="F129" s="137" t="e">
        <f t="shared" si="3"/>
        <v>#N/A</v>
      </c>
      <c r="G129" s="138"/>
      <c r="H129" s="186"/>
      <c r="I129" s="186"/>
      <c r="J129" s="158" t="e">
        <f t="shared" si="4"/>
        <v>#N/A</v>
      </c>
      <c r="K129" s="159"/>
    </row>
    <row r="130" spans="1:11" ht="18.600000000000001" customHeight="1" x14ac:dyDescent="0.25">
      <c r="A130" s="38" t="s">
        <v>116</v>
      </c>
      <c r="B130" s="155">
        <f t="shared" si="2"/>
        <v>50</v>
      </c>
      <c r="C130" s="156"/>
      <c r="D130" s="135"/>
      <c r="E130" s="135"/>
      <c r="F130" s="137" t="e">
        <f t="shared" si="3"/>
        <v>#N/A</v>
      </c>
      <c r="G130" s="138"/>
      <c r="H130" s="186"/>
      <c r="I130" s="186"/>
      <c r="J130" s="158" t="e">
        <f t="shared" si="4"/>
        <v>#N/A</v>
      </c>
      <c r="K130" s="159"/>
    </row>
    <row r="131" spans="1:11" ht="18.600000000000001" customHeight="1" x14ac:dyDescent="0.25">
      <c r="A131" s="38" t="s">
        <v>117</v>
      </c>
      <c r="B131" s="155">
        <f t="shared" si="2"/>
        <v>50</v>
      </c>
      <c r="C131" s="156"/>
      <c r="D131" s="135"/>
      <c r="E131" s="135"/>
      <c r="F131" s="137" t="e">
        <f t="shared" si="3"/>
        <v>#N/A</v>
      </c>
      <c r="G131" s="138"/>
      <c r="H131" s="186"/>
      <c r="I131" s="186"/>
      <c r="J131" s="158" t="e">
        <f t="shared" si="4"/>
        <v>#N/A</v>
      </c>
      <c r="K131" s="159"/>
    </row>
    <row r="132" spans="1:11" ht="18.600000000000001" customHeight="1" x14ac:dyDescent="0.25">
      <c r="A132" s="38" t="s">
        <v>118</v>
      </c>
      <c r="B132" s="155">
        <f t="shared" si="2"/>
        <v>50</v>
      </c>
      <c r="C132" s="156"/>
      <c r="D132" s="135"/>
      <c r="E132" s="135"/>
      <c r="F132" s="137" t="e">
        <f t="shared" si="3"/>
        <v>#N/A</v>
      </c>
      <c r="G132" s="138"/>
      <c r="H132" s="186"/>
      <c r="I132" s="186"/>
      <c r="J132" s="158" t="e">
        <f t="shared" si="4"/>
        <v>#N/A</v>
      </c>
      <c r="K132" s="159"/>
    </row>
    <row r="133" spans="1:11" ht="18.600000000000001" customHeight="1" x14ac:dyDescent="0.25">
      <c r="A133" s="38" t="s">
        <v>116</v>
      </c>
      <c r="B133" s="155">
        <f t="shared" si="2"/>
        <v>100</v>
      </c>
      <c r="C133" s="156"/>
      <c r="D133" s="135"/>
      <c r="E133" s="135"/>
      <c r="F133" s="137" t="e">
        <f t="shared" si="3"/>
        <v>#N/A</v>
      </c>
      <c r="G133" s="138"/>
      <c r="H133" s="186"/>
      <c r="I133" s="186"/>
      <c r="J133" s="158" t="e">
        <f t="shared" si="4"/>
        <v>#N/A</v>
      </c>
      <c r="K133" s="159"/>
    </row>
    <row r="134" spans="1:11" ht="18.600000000000001" customHeight="1" x14ac:dyDescent="0.25">
      <c r="A134" s="38" t="s">
        <v>117</v>
      </c>
      <c r="B134" s="155">
        <f t="shared" si="2"/>
        <v>100</v>
      </c>
      <c r="C134" s="156"/>
      <c r="D134" s="135"/>
      <c r="E134" s="135"/>
      <c r="F134" s="137" t="e">
        <f t="shared" si="3"/>
        <v>#N/A</v>
      </c>
      <c r="G134" s="138"/>
      <c r="H134" s="186"/>
      <c r="I134" s="186"/>
      <c r="J134" s="158" t="e">
        <f t="shared" si="4"/>
        <v>#N/A</v>
      </c>
      <c r="K134" s="159"/>
    </row>
    <row r="135" spans="1:11" ht="18.600000000000001" customHeight="1" x14ac:dyDescent="0.25">
      <c r="A135" s="38" t="s">
        <v>118</v>
      </c>
      <c r="B135" s="155">
        <f t="shared" si="2"/>
        <v>100</v>
      </c>
      <c r="C135" s="156"/>
      <c r="D135" s="135"/>
      <c r="E135" s="135"/>
      <c r="F135" s="137" t="e">
        <f t="shared" si="3"/>
        <v>#N/A</v>
      </c>
      <c r="G135" s="138"/>
      <c r="H135" s="186"/>
      <c r="I135" s="186"/>
      <c r="J135" s="158" t="e">
        <f t="shared" si="4"/>
        <v>#N/A</v>
      </c>
      <c r="K135" s="159"/>
    </row>
    <row r="136" spans="1:11" ht="18.600000000000001" customHeight="1" x14ac:dyDescent="0.25">
      <c r="A136" s="38" t="s">
        <v>116</v>
      </c>
      <c r="B136" s="155">
        <f t="shared" si="2"/>
        <v>150</v>
      </c>
      <c r="C136" s="156"/>
      <c r="D136" s="135"/>
      <c r="E136" s="135"/>
      <c r="F136" s="137" t="e">
        <f t="shared" si="3"/>
        <v>#N/A</v>
      </c>
      <c r="G136" s="138"/>
      <c r="H136" s="186"/>
      <c r="I136" s="186"/>
      <c r="J136" s="158" t="e">
        <f t="shared" si="4"/>
        <v>#N/A</v>
      </c>
      <c r="K136" s="159"/>
    </row>
    <row r="137" spans="1:11" ht="18.600000000000001" customHeight="1" x14ac:dyDescent="0.25">
      <c r="A137" s="38" t="s">
        <v>117</v>
      </c>
      <c r="B137" s="155">
        <f t="shared" si="2"/>
        <v>150</v>
      </c>
      <c r="C137" s="156"/>
      <c r="D137" s="135"/>
      <c r="E137" s="135"/>
      <c r="F137" s="137" t="e">
        <f t="shared" si="3"/>
        <v>#N/A</v>
      </c>
      <c r="G137" s="138"/>
      <c r="H137" s="186"/>
      <c r="I137" s="186"/>
      <c r="J137" s="158" t="e">
        <f t="shared" si="4"/>
        <v>#N/A</v>
      </c>
      <c r="K137" s="159"/>
    </row>
    <row r="138" spans="1:11" ht="18.600000000000001" customHeight="1" x14ac:dyDescent="0.25">
      <c r="A138" s="38" t="s">
        <v>118</v>
      </c>
      <c r="B138" s="155">
        <f t="shared" si="2"/>
        <v>150</v>
      </c>
      <c r="C138" s="156"/>
      <c r="D138" s="135"/>
      <c r="E138" s="135"/>
      <c r="F138" s="137" t="e">
        <f t="shared" si="3"/>
        <v>#N/A</v>
      </c>
      <c r="G138" s="138"/>
      <c r="H138" s="186"/>
      <c r="I138" s="186"/>
      <c r="J138" s="158" t="e">
        <f t="shared" si="4"/>
        <v>#N/A</v>
      </c>
      <c r="K138" s="159"/>
    </row>
    <row r="139" spans="1:11" ht="18.600000000000001" customHeight="1" x14ac:dyDescent="0.25">
      <c r="A139" s="38" t="s">
        <v>116</v>
      </c>
      <c r="B139" s="155">
        <f t="shared" si="2"/>
        <v>200</v>
      </c>
      <c r="C139" s="156"/>
      <c r="D139" s="135"/>
      <c r="E139" s="135"/>
      <c r="F139" s="137" t="e">
        <f t="shared" si="3"/>
        <v>#N/A</v>
      </c>
      <c r="G139" s="138"/>
      <c r="H139" s="186"/>
      <c r="I139" s="186"/>
      <c r="J139" s="158" t="e">
        <f t="shared" si="4"/>
        <v>#N/A</v>
      </c>
      <c r="K139" s="159"/>
    </row>
    <row r="140" spans="1:11" ht="18.600000000000001" customHeight="1" x14ac:dyDescent="0.25">
      <c r="A140" s="38" t="s">
        <v>117</v>
      </c>
      <c r="B140" s="155">
        <f t="shared" si="2"/>
        <v>200</v>
      </c>
      <c r="C140" s="156"/>
      <c r="D140" s="135"/>
      <c r="E140" s="135"/>
      <c r="F140" s="137" t="e">
        <f t="shared" si="3"/>
        <v>#N/A</v>
      </c>
      <c r="G140" s="138"/>
      <c r="H140" s="186"/>
      <c r="I140" s="186"/>
      <c r="J140" s="158" t="e">
        <f t="shared" si="4"/>
        <v>#N/A</v>
      </c>
      <c r="K140" s="159"/>
    </row>
    <row r="141" spans="1:11" ht="18.600000000000001" customHeight="1" x14ac:dyDescent="0.25">
      <c r="A141" s="38" t="s">
        <v>118</v>
      </c>
      <c r="B141" s="155">
        <f t="shared" si="2"/>
        <v>200</v>
      </c>
      <c r="C141" s="156"/>
      <c r="D141" s="135"/>
      <c r="E141" s="135"/>
      <c r="F141" s="137" t="e">
        <f t="shared" si="3"/>
        <v>#N/A</v>
      </c>
      <c r="G141" s="138"/>
      <c r="H141" s="186"/>
      <c r="I141" s="186"/>
      <c r="J141" s="158" t="e">
        <f t="shared" si="4"/>
        <v>#N/A</v>
      </c>
      <c r="K141" s="159"/>
    </row>
    <row r="142" spans="1:11" ht="18.600000000000001" customHeight="1" x14ac:dyDescent="0.25">
      <c r="A142" s="38" t="s">
        <v>116</v>
      </c>
      <c r="B142" s="155">
        <f t="shared" si="2"/>
        <v>230</v>
      </c>
      <c r="C142" s="156"/>
      <c r="D142" s="135"/>
      <c r="E142" s="135"/>
      <c r="F142" s="137" t="e">
        <f t="shared" si="3"/>
        <v>#N/A</v>
      </c>
      <c r="G142" s="138"/>
      <c r="H142" s="186"/>
      <c r="I142" s="186"/>
      <c r="J142" s="158" t="e">
        <f t="shared" si="4"/>
        <v>#N/A</v>
      </c>
      <c r="K142" s="159"/>
    </row>
    <row r="143" spans="1:11" ht="18.600000000000001" customHeight="1" x14ac:dyDescent="0.25">
      <c r="A143" s="38" t="s">
        <v>117</v>
      </c>
      <c r="B143" s="155">
        <f t="shared" si="2"/>
        <v>230</v>
      </c>
      <c r="C143" s="156"/>
      <c r="D143" s="135"/>
      <c r="E143" s="135"/>
      <c r="F143" s="137" t="e">
        <f t="shared" si="3"/>
        <v>#N/A</v>
      </c>
      <c r="G143" s="138"/>
      <c r="H143" s="186"/>
      <c r="I143" s="186"/>
      <c r="J143" s="158" t="e">
        <f t="shared" si="4"/>
        <v>#N/A</v>
      </c>
      <c r="K143" s="159"/>
    </row>
    <row r="144" spans="1:11" ht="18.600000000000001" customHeight="1" x14ac:dyDescent="0.25">
      <c r="A144" s="38" t="s">
        <v>118</v>
      </c>
      <c r="B144" s="155">
        <f t="shared" si="2"/>
        <v>230</v>
      </c>
      <c r="C144" s="156"/>
      <c r="D144" s="135"/>
      <c r="E144" s="135"/>
      <c r="F144" s="137" t="e">
        <f t="shared" si="3"/>
        <v>#N/A</v>
      </c>
      <c r="G144" s="138"/>
      <c r="H144" s="186"/>
      <c r="I144" s="186"/>
      <c r="J144" s="158" t="e">
        <f t="shared" si="4"/>
        <v>#N/A</v>
      </c>
      <c r="K144" s="159"/>
    </row>
    <row r="145" spans="1:11" ht="18.600000000000001" customHeight="1" x14ac:dyDescent="0.25">
      <c r="A145" s="38" t="s">
        <v>116</v>
      </c>
      <c r="B145" s="155">
        <f t="shared" si="2"/>
        <v>250</v>
      </c>
      <c r="C145" s="156"/>
      <c r="D145" s="135"/>
      <c r="E145" s="135"/>
      <c r="F145" s="137" t="e">
        <f t="shared" si="3"/>
        <v>#N/A</v>
      </c>
      <c r="G145" s="138"/>
      <c r="H145" s="186"/>
      <c r="I145" s="186"/>
      <c r="J145" s="158" t="e">
        <f t="shared" si="4"/>
        <v>#N/A</v>
      </c>
      <c r="K145" s="159"/>
    </row>
    <row r="146" spans="1:11" ht="18.600000000000001" customHeight="1" x14ac:dyDescent="0.25">
      <c r="A146" s="38" t="s">
        <v>117</v>
      </c>
      <c r="B146" s="155">
        <f t="shared" si="2"/>
        <v>250</v>
      </c>
      <c r="C146" s="156"/>
      <c r="D146" s="135"/>
      <c r="E146" s="135"/>
      <c r="F146" s="137" t="e">
        <f t="shared" si="3"/>
        <v>#N/A</v>
      </c>
      <c r="G146" s="138"/>
      <c r="H146" s="186"/>
      <c r="I146" s="186"/>
      <c r="J146" s="158" t="e">
        <f t="shared" si="4"/>
        <v>#N/A</v>
      </c>
      <c r="K146" s="159"/>
    </row>
    <row r="147" spans="1:11" ht="18.600000000000001" customHeight="1" x14ac:dyDescent="0.25">
      <c r="A147" s="38" t="s">
        <v>118</v>
      </c>
      <c r="B147" s="155">
        <f t="shared" si="2"/>
        <v>250</v>
      </c>
      <c r="C147" s="156"/>
      <c r="D147" s="135"/>
      <c r="E147" s="135"/>
      <c r="F147" s="137" t="e">
        <f t="shared" si="3"/>
        <v>#N/A</v>
      </c>
      <c r="G147" s="138"/>
      <c r="H147" s="186"/>
      <c r="I147" s="186"/>
      <c r="J147" s="158" t="e">
        <f t="shared" si="4"/>
        <v>#N/A</v>
      </c>
      <c r="K147" s="159"/>
    </row>
    <row r="148" spans="1:11" ht="18.600000000000001" customHeight="1" x14ac:dyDescent="0.25">
      <c r="A148" s="38" t="s">
        <v>116</v>
      </c>
      <c r="B148" s="155" t="e">
        <f t="shared" si="2"/>
        <v>#N/A</v>
      </c>
      <c r="C148" s="156"/>
      <c r="D148" s="135"/>
      <c r="E148" s="135"/>
      <c r="F148" s="137" t="e">
        <f t="shared" si="3"/>
        <v>#N/A</v>
      </c>
      <c r="G148" s="138"/>
      <c r="H148" s="186"/>
      <c r="I148" s="186"/>
      <c r="J148" s="158" t="e">
        <f t="shared" si="4"/>
        <v>#N/A</v>
      </c>
      <c r="K148" s="159"/>
    </row>
    <row r="149" spans="1:11" ht="18.600000000000001" customHeight="1" x14ac:dyDescent="0.25">
      <c r="A149" s="38" t="s">
        <v>117</v>
      </c>
      <c r="B149" s="155" t="e">
        <f t="shared" si="2"/>
        <v>#N/A</v>
      </c>
      <c r="C149" s="156"/>
      <c r="D149" s="135"/>
      <c r="E149" s="135"/>
      <c r="F149" s="137" t="e">
        <f t="shared" si="3"/>
        <v>#N/A</v>
      </c>
      <c r="G149" s="138"/>
      <c r="H149" s="186"/>
      <c r="I149" s="186"/>
      <c r="J149" s="158" t="e">
        <f t="shared" si="4"/>
        <v>#N/A</v>
      </c>
      <c r="K149" s="159"/>
    </row>
    <row r="150" spans="1:11" ht="18.600000000000001" customHeight="1" x14ac:dyDescent="0.25">
      <c r="A150" s="38" t="s">
        <v>118</v>
      </c>
      <c r="B150" s="155" t="e">
        <f t="shared" si="2"/>
        <v>#N/A</v>
      </c>
      <c r="C150" s="156"/>
      <c r="D150" s="135"/>
      <c r="E150" s="135"/>
      <c r="F150" s="137" t="e">
        <f t="shared" si="3"/>
        <v>#N/A</v>
      </c>
      <c r="G150" s="138"/>
      <c r="H150" s="186"/>
      <c r="I150" s="186"/>
      <c r="J150" s="158" t="e">
        <f t="shared" si="4"/>
        <v>#N/A</v>
      </c>
      <c r="K150" s="159"/>
    </row>
    <row r="151" spans="1:11" x14ac:dyDescent="0.25">
      <c r="A151" s="28"/>
      <c r="B151" s="28"/>
      <c r="C151" s="28"/>
      <c r="D151" s="28"/>
      <c r="E151" s="28"/>
      <c r="F151" s="28"/>
      <c r="G151" s="28"/>
      <c r="H151" s="28"/>
      <c r="I151" s="28"/>
      <c r="J151" s="28"/>
      <c r="K151" s="28"/>
    </row>
    <row r="152" spans="1:11" x14ac:dyDescent="0.25">
      <c r="A152" s="5" t="s">
        <v>124</v>
      </c>
      <c r="B152" s="28"/>
      <c r="C152" s="28"/>
      <c r="D152" s="5" t="s">
        <v>125</v>
      </c>
      <c r="E152" s="28"/>
      <c r="F152" s="28"/>
      <c r="G152" s="28"/>
      <c r="H152" s="28"/>
      <c r="I152" s="28"/>
      <c r="J152" s="28"/>
      <c r="K152" s="28"/>
    </row>
    <row r="153" spans="1:11" x14ac:dyDescent="0.25">
      <c r="A153" s="28"/>
      <c r="B153" s="28"/>
      <c r="C153" s="28"/>
      <c r="D153" s="28"/>
      <c r="E153" s="28"/>
      <c r="F153" s="28"/>
      <c r="G153" s="28"/>
      <c r="H153" s="28"/>
      <c r="I153" s="28"/>
      <c r="J153" s="28"/>
      <c r="K153" s="28"/>
    </row>
    <row r="154" spans="1:11" x14ac:dyDescent="0.25">
      <c r="A154" s="28"/>
      <c r="B154" s="28"/>
      <c r="C154" s="28"/>
      <c r="D154" s="28"/>
      <c r="E154" s="28"/>
      <c r="F154" s="28"/>
      <c r="G154" s="28"/>
      <c r="H154" s="28"/>
      <c r="I154" s="28"/>
      <c r="J154" s="28"/>
      <c r="K154" s="28"/>
    </row>
    <row r="155" spans="1:11" x14ac:dyDescent="0.25">
      <c r="A155" s="28"/>
      <c r="B155" s="28"/>
      <c r="C155" s="28"/>
      <c r="D155" s="28"/>
      <c r="E155" s="28"/>
      <c r="F155" s="28"/>
      <c r="G155" s="28"/>
      <c r="H155" s="28"/>
      <c r="I155" s="28"/>
      <c r="J155" s="28"/>
      <c r="K155" s="28"/>
    </row>
    <row r="156" spans="1:11" x14ac:dyDescent="0.25">
      <c r="A156" s="28"/>
      <c r="B156" s="28"/>
      <c r="C156" s="28"/>
      <c r="D156" s="28"/>
      <c r="E156" s="28"/>
      <c r="F156" s="28"/>
      <c r="G156" s="28"/>
      <c r="H156" s="28"/>
      <c r="I156" s="28"/>
      <c r="J156" s="28"/>
      <c r="K156" s="28"/>
    </row>
    <row r="157" spans="1:11" x14ac:dyDescent="0.25">
      <c r="A157" s="28"/>
      <c r="B157" s="28"/>
      <c r="C157" s="28"/>
      <c r="D157" s="28"/>
      <c r="E157" s="28"/>
      <c r="F157" s="28"/>
      <c r="G157" s="28"/>
      <c r="H157" s="28"/>
      <c r="I157" s="28"/>
      <c r="J157" s="28"/>
      <c r="K157" s="28"/>
    </row>
    <row r="158" spans="1:11" x14ac:dyDescent="0.25">
      <c r="A158" s="28"/>
      <c r="B158" s="28"/>
      <c r="C158" s="28"/>
      <c r="D158" s="28"/>
      <c r="E158" s="28"/>
      <c r="F158" s="28"/>
      <c r="G158" s="28"/>
      <c r="H158" s="28"/>
      <c r="I158" s="28"/>
      <c r="J158" s="28"/>
      <c r="K158" s="28"/>
    </row>
    <row r="159" spans="1:11" x14ac:dyDescent="0.25">
      <c r="A159" s="139" t="s">
        <v>0</v>
      </c>
      <c r="B159" s="140"/>
      <c r="C159" s="140"/>
      <c r="D159" s="140"/>
      <c r="E159" s="140"/>
      <c r="F159" s="140"/>
      <c r="G159" s="141"/>
      <c r="H159" s="28"/>
      <c r="I159" s="116" t="s">
        <v>1</v>
      </c>
      <c r="J159" s="148" t="str">
        <f>$J$6</f>
        <v>04567</v>
      </c>
      <c r="K159" s="119"/>
    </row>
    <row r="160" spans="1:11" x14ac:dyDescent="0.25">
      <c r="A160" s="142"/>
      <c r="B160" s="143"/>
      <c r="C160" s="143"/>
      <c r="D160" s="143"/>
      <c r="E160" s="143"/>
      <c r="F160" s="143"/>
      <c r="G160" s="144"/>
      <c r="H160" s="28"/>
      <c r="I160" s="117"/>
      <c r="J160" s="120"/>
      <c r="K160" s="121"/>
    </row>
    <row r="161" spans="1:11" x14ac:dyDescent="0.25">
      <c r="A161" s="142"/>
      <c r="B161" s="143"/>
      <c r="C161" s="143"/>
      <c r="D161" s="143"/>
      <c r="E161" s="143"/>
      <c r="F161" s="143"/>
      <c r="G161" s="144"/>
      <c r="H161" s="28"/>
      <c r="I161" s="149" t="s">
        <v>263</v>
      </c>
      <c r="J161" s="150"/>
      <c r="K161" s="151"/>
    </row>
    <row r="162" spans="1:11" x14ac:dyDescent="0.25">
      <c r="A162" s="145"/>
      <c r="B162" s="146"/>
      <c r="C162" s="146"/>
      <c r="D162" s="146"/>
      <c r="E162" s="146"/>
      <c r="F162" s="146"/>
      <c r="G162" s="147"/>
      <c r="H162" s="28"/>
      <c r="I162" s="152"/>
      <c r="J162" s="153"/>
      <c r="K162" s="154"/>
    </row>
    <row r="163" spans="1:11" x14ac:dyDescent="0.25">
      <c r="A163" s="28"/>
      <c r="B163" s="28"/>
      <c r="C163" s="28"/>
      <c r="D163" s="28"/>
      <c r="E163" s="28"/>
      <c r="F163" s="28"/>
      <c r="G163" s="28"/>
      <c r="H163" s="28"/>
      <c r="I163" s="28"/>
      <c r="J163" s="28"/>
      <c r="K163" s="28"/>
    </row>
    <row r="164" spans="1:11" x14ac:dyDescent="0.25">
      <c r="A164" s="28"/>
      <c r="B164" s="28"/>
      <c r="C164" s="28"/>
      <c r="D164" s="28"/>
      <c r="E164" s="28"/>
      <c r="F164" s="28"/>
      <c r="G164" s="28"/>
      <c r="H164" s="28"/>
      <c r="I164" s="28"/>
      <c r="J164" s="28"/>
      <c r="K164" s="28"/>
    </row>
    <row r="165" spans="1:11" ht="15.75" x14ac:dyDescent="0.25">
      <c r="A165" s="101" t="s">
        <v>126</v>
      </c>
      <c r="B165" s="101"/>
      <c r="C165" s="101"/>
      <c r="D165" s="101"/>
      <c r="E165" s="101"/>
      <c r="F165" s="101"/>
      <c r="G165" s="101"/>
      <c r="H165" s="101"/>
      <c r="I165" s="101"/>
      <c r="J165" s="101"/>
      <c r="K165" s="101"/>
    </row>
    <row r="166" spans="1:11" x14ac:dyDescent="0.25">
      <c r="A166" s="102" t="s">
        <v>115</v>
      </c>
      <c r="B166" s="102"/>
      <c r="C166" s="28"/>
      <c r="D166" s="28"/>
      <c r="E166" s="28"/>
      <c r="F166" s="28"/>
      <c r="G166" s="28"/>
      <c r="H166" s="28"/>
      <c r="I166" s="28"/>
      <c r="J166" s="28"/>
      <c r="K166" s="28"/>
    </row>
    <row r="167" spans="1:11" x14ac:dyDescent="0.25">
      <c r="A167" s="28"/>
      <c r="B167" s="28"/>
      <c r="C167" s="28"/>
      <c r="D167" s="28"/>
      <c r="E167" s="28"/>
      <c r="F167" s="28"/>
      <c r="G167" s="28"/>
      <c r="H167" s="28"/>
      <c r="I167" s="28"/>
      <c r="J167" s="28"/>
      <c r="K167" s="28"/>
    </row>
    <row r="168" spans="1:11" ht="15.6" customHeight="1" x14ac:dyDescent="0.25">
      <c r="A168" s="157" t="s">
        <v>127</v>
      </c>
      <c r="B168" s="157"/>
      <c r="C168" s="157"/>
      <c r="D168" s="157"/>
      <c r="E168" s="157"/>
      <c r="F168" s="157"/>
      <c r="G168" s="157"/>
      <c r="H168" s="157"/>
      <c r="I168" s="157"/>
      <c r="J168" s="157"/>
      <c r="K168" s="157"/>
    </row>
    <row r="169" spans="1:11" x14ac:dyDescent="0.25">
      <c r="A169" s="157"/>
      <c r="B169" s="157"/>
      <c r="C169" s="157"/>
      <c r="D169" s="157"/>
      <c r="E169" s="157"/>
      <c r="F169" s="157"/>
      <c r="G169" s="157"/>
      <c r="H169" s="157"/>
      <c r="I169" s="157"/>
      <c r="J169" s="157"/>
      <c r="K169" s="157"/>
    </row>
    <row r="170" spans="1:11" x14ac:dyDescent="0.25">
      <c r="A170" s="157"/>
      <c r="B170" s="157"/>
      <c r="C170" s="157"/>
      <c r="D170" s="157"/>
      <c r="E170" s="157"/>
      <c r="F170" s="157"/>
      <c r="G170" s="157"/>
      <c r="H170" s="157"/>
      <c r="I170" s="157"/>
      <c r="J170" s="157"/>
      <c r="K170" s="157"/>
    </row>
    <row r="171" spans="1:11" x14ac:dyDescent="0.25">
      <c r="A171" s="104" t="e">
        <f>IF($K$409="LMX",'Test Equ'!B65,'Test Equ'!B64)</f>
        <v>#N/A</v>
      </c>
      <c r="B171" s="104"/>
      <c r="C171" s="104"/>
      <c r="D171" s="104"/>
      <c r="E171" s="104"/>
      <c r="F171" s="104"/>
      <c r="G171" s="104"/>
      <c r="H171" s="104"/>
      <c r="I171" s="104"/>
      <c r="J171" s="104"/>
      <c r="K171" s="104"/>
    </row>
    <row r="172" spans="1:11" x14ac:dyDescent="0.25">
      <c r="A172" s="104" t="s">
        <v>161</v>
      </c>
      <c r="B172" s="104"/>
      <c r="C172" s="104"/>
      <c r="D172" s="104"/>
      <c r="E172" s="104"/>
      <c r="F172" s="104"/>
      <c r="G172" s="104"/>
      <c r="H172" s="104"/>
      <c r="I172" s="104"/>
      <c r="J172" s="104"/>
      <c r="K172" s="104"/>
    </row>
    <row r="173" spans="1:11" x14ac:dyDescent="0.25">
      <c r="A173" s="28"/>
      <c r="B173" s="28"/>
      <c r="C173" s="28"/>
      <c r="D173" s="28"/>
      <c r="E173" s="28"/>
      <c r="F173" s="28"/>
      <c r="G173" s="28"/>
      <c r="H173" s="28"/>
      <c r="I173" s="28"/>
      <c r="J173" s="28"/>
      <c r="K173" s="28"/>
    </row>
    <row r="174" spans="1:11" ht="30" customHeight="1" x14ac:dyDescent="0.25">
      <c r="A174" s="53" t="s">
        <v>12</v>
      </c>
      <c r="B174" s="130" t="s">
        <v>13</v>
      </c>
      <c r="C174" s="130"/>
      <c r="D174" s="130" t="s">
        <v>14</v>
      </c>
      <c r="E174" s="130"/>
      <c r="F174" s="130" t="s">
        <v>15</v>
      </c>
      <c r="G174" s="130"/>
      <c r="H174" s="130" t="s">
        <v>16</v>
      </c>
      <c r="I174" s="130"/>
      <c r="J174" s="130" t="s">
        <v>17</v>
      </c>
      <c r="K174" s="130"/>
    </row>
    <row r="175" spans="1:11" ht="19.149999999999999" customHeight="1" x14ac:dyDescent="0.25">
      <c r="A175" s="53"/>
      <c r="B175" s="130" t="s">
        <v>18</v>
      </c>
      <c r="C175" s="130"/>
      <c r="D175" s="130" t="s">
        <v>18</v>
      </c>
      <c r="E175" s="130"/>
      <c r="F175" s="130" t="s">
        <v>19</v>
      </c>
      <c r="G175" s="130"/>
      <c r="H175" s="130" t="s">
        <v>18</v>
      </c>
      <c r="I175" s="130"/>
      <c r="J175" s="130" t="s">
        <v>19</v>
      </c>
      <c r="K175" s="130"/>
    </row>
    <row r="176" spans="1:11" ht="19.149999999999999" customHeight="1" x14ac:dyDescent="0.25">
      <c r="A176" s="38" t="s">
        <v>129</v>
      </c>
      <c r="B176" s="135">
        <v>20</v>
      </c>
      <c r="C176" s="135"/>
      <c r="D176" s="135" t="str">
        <f>IF(Checks!$D$26="1",#REF!,"")</f>
        <v/>
      </c>
      <c r="E176" s="135"/>
      <c r="F176" s="136" t="e">
        <f t="shared" ref="F176:F183" si="5">IF($K$409="LMX",0.1/100*600,IF($K$409="UPC3",708*0.2/100,0.25/100*B176+0.1/100*708))</f>
        <v>#N/A</v>
      </c>
      <c r="G176" s="136"/>
      <c r="H176" s="136"/>
      <c r="I176" s="136"/>
      <c r="J176" s="158" t="e">
        <f t="shared" ref="J176:J183" si="6">IF($K$409="LMX",270*0.1/100,IF($K$409="ASX",300*0.5/100,300*0.5/100))</f>
        <v>#N/A</v>
      </c>
      <c r="K176" s="159"/>
    </row>
    <row r="177" spans="1:11" ht="19.149999999999999" customHeight="1" x14ac:dyDescent="0.25">
      <c r="A177" s="38" t="s">
        <v>129</v>
      </c>
      <c r="B177" s="135">
        <v>50</v>
      </c>
      <c r="C177" s="135"/>
      <c r="D177" s="135" t="str">
        <f>IF(Checks!$D$26="1",#REF!,"")</f>
        <v/>
      </c>
      <c r="E177" s="135"/>
      <c r="F177" s="136" t="e">
        <f t="shared" si="5"/>
        <v>#N/A</v>
      </c>
      <c r="G177" s="136"/>
      <c r="H177" s="136" t="str">
        <f>IF(Checks!$D$26="1",#REF!,"")</f>
        <v/>
      </c>
      <c r="I177" s="136"/>
      <c r="J177" s="158" t="e">
        <f t="shared" si="6"/>
        <v>#N/A</v>
      </c>
      <c r="K177" s="159"/>
    </row>
    <row r="178" spans="1:11" ht="19.149999999999999" customHeight="1" x14ac:dyDescent="0.25">
      <c r="A178" s="38" t="s">
        <v>129</v>
      </c>
      <c r="B178" s="135">
        <v>100</v>
      </c>
      <c r="C178" s="135"/>
      <c r="D178" s="135" t="str">
        <f>IF(Checks!$D$26="1",#REF!,"")</f>
        <v/>
      </c>
      <c r="E178" s="135"/>
      <c r="F178" s="136" t="e">
        <f t="shared" si="5"/>
        <v>#N/A</v>
      </c>
      <c r="G178" s="136"/>
      <c r="H178" s="136" t="str">
        <f>IF(Checks!$D$26="1",#REF!,"")</f>
        <v/>
      </c>
      <c r="I178" s="136"/>
      <c r="J178" s="158" t="e">
        <f t="shared" si="6"/>
        <v>#N/A</v>
      </c>
      <c r="K178" s="159"/>
    </row>
    <row r="179" spans="1:11" ht="19.149999999999999" customHeight="1" x14ac:dyDescent="0.25">
      <c r="A179" s="38" t="s">
        <v>129</v>
      </c>
      <c r="B179" s="135">
        <v>150</v>
      </c>
      <c r="C179" s="135"/>
      <c r="D179" s="135" t="str">
        <f>IF(Checks!$D$26="1",#REF!,"")</f>
        <v/>
      </c>
      <c r="E179" s="135"/>
      <c r="F179" s="136" t="e">
        <f t="shared" si="5"/>
        <v>#N/A</v>
      </c>
      <c r="G179" s="136"/>
      <c r="H179" s="136" t="str">
        <f>IF(Checks!$D$26="1",#REF!,"")</f>
        <v/>
      </c>
      <c r="I179" s="136"/>
      <c r="J179" s="158" t="e">
        <f t="shared" si="6"/>
        <v>#N/A</v>
      </c>
      <c r="K179" s="159"/>
    </row>
    <row r="180" spans="1:11" ht="19.149999999999999" customHeight="1" x14ac:dyDescent="0.25">
      <c r="A180" s="38" t="s">
        <v>129</v>
      </c>
      <c r="B180" s="135">
        <v>200</v>
      </c>
      <c r="C180" s="135"/>
      <c r="D180" s="135" t="str">
        <f>IF(Checks!$D$26="1",#REF!,"")</f>
        <v/>
      </c>
      <c r="E180" s="135"/>
      <c r="F180" s="136" t="e">
        <f t="shared" si="5"/>
        <v>#N/A</v>
      </c>
      <c r="G180" s="136"/>
      <c r="H180" s="136" t="str">
        <f>IF(Checks!$D$26="1",#REF!,"")</f>
        <v/>
      </c>
      <c r="I180" s="136"/>
      <c r="J180" s="158" t="e">
        <f t="shared" si="6"/>
        <v>#N/A</v>
      </c>
      <c r="K180" s="159"/>
    </row>
    <row r="181" spans="1:11" ht="19.149999999999999" customHeight="1" x14ac:dyDescent="0.25">
      <c r="A181" s="38" t="s">
        <v>129</v>
      </c>
      <c r="B181" s="135">
        <v>230</v>
      </c>
      <c r="C181" s="135"/>
      <c r="D181" s="135" t="str">
        <f>IF(Checks!$D$26="1",#REF!,"")</f>
        <v/>
      </c>
      <c r="E181" s="135"/>
      <c r="F181" s="136" t="e">
        <f t="shared" si="5"/>
        <v>#N/A</v>
      </c>
      <c r="G181" s="136"/>
      <c r="H181" s="136" t="str">
        <f>IF(Checks!$D$26="1",#REF!,"")</f>
        <v/>
      </c>
      <c r="I181" s="136"/>
      <c r="J181" s="158" t="e">
        <f t="shared" si="6"/>
        <v>#N/A</v>
      </c>
      <c r="K181" s="159"/>
    </row>
    <row r="182" spans="1:11" ht="19.149999999999999" customHeight="1" x14ac:dyDescent="0.25">
      <c r="A182" s="38" t="s">
        <v>129</v>
      </c>
      <c r="B182" s="135">
        <v>250</v>
      </c>
      <c r="C182" s="135"/>
      <c r="D182" s="135" t="str">
        <f>IF(Checks!$D$26="1",#REF!,"")</f>
        <v/>
      </c>
      <c r="E182" s="135"/>
      <c r="F182" s="136" t="e">
        <f t="shared" si="5"/>
        <v>#N/A</v>
      </c>
      <c r="G182" s="136"/>
      <c r="H182" s="136" t="str">
        <f>IF(Checks!$D$26="1",#REF!,"")</f>
        <v/>
      </c>
      <c r="I182" s="136"/>
      <c r="J182" s="158" t="e">
        <f t="shared" si="6"/>
        <v>#N/A</v>
      </c>
      <c r="K182" s="159"/>
    </row>
    <row r="183" spans="1:11" ht="19.149999999999999" customHeight="1" x14ac:dyDescent="0.25">
      <c r="A183" s="38" t="s">
        <v>129</v>
      </c>
      <c r="B183" s="135" t="e">
        <f>2*B99</f>
        <v>#N/A</v>
      </c>
      <c r="C183" s="135"/>
      <c r="D183" s="135" t="str">
        <f>IF(Checks!$D$26="1",#REF!,"")</f>
        <v/>
      </c>
      <c r="E183" s="135"/>
      <c r="F183" s="136" t="e">
        <f t="shared" si="5"/>
        <v>#N/A</v>
      </c>
      <c r="G183" s="136"/>
      <c r="H183" s="136" t="str">
        <f>IF(Checks!$D$26="1",#REF!,"")</f>
        <v/>
      </c>
      <c r="I183" s="136"/>
      <c r="J183" s="158" t="e">
        <f t="shared" si="6"/>
        <v>#N/A</v>
      </c>
      <c r="K183" s="159"/>
    </row>
    <row r="184" spans="1:11" x14ac:dyDescent="0.25">
      <c r="A184" s="28"/>
      <c r="B184" s="28"/>
      <c r="C184" s="28"/>
      <c r="D184" s="28"/>
      <c r="E184" s="28"/>
      <c r="F184" s="28"/>
      <c r="G184" s="28"/>
      <c r="H184" s="28"/>
      <c r="I184" s="28"/>
      <c r="J184" s="28"/>
      <c r="K184" s="28"/>
    </row>
    <row r="185" spans="1:11" x14ac:dyDescent="0.25">
      <c r="A185" s="5" t="s">
        <v>124</v>
      </c>
      <c r="B185" s="5"/>
      <c r="C185" s="5"/>
      <c r="D185" s="5" t="s">
        <v>125</v>
      </c>
      <c r="E185" s="5"/>
      <c r="F185" s="5"/>
      <c r="G185" s="5"/>
      <c r="H185" s="5"/>
      <c r="I185" s="5"/>
      <c r="J185" s="5"/>
      <c r="K185" s="5"/>
    </row>
    <row r="186" spans="1:11" x14ac:dyDescent="0.25">
      <c r="A186" s="28"/>
      <c r="B186" s="28"/>
      <c r="C186" s="28"/>
      <c r="D186" s="28"/>
      <c r="E186" s="28"/>
      <c r="F186" s="28"/>
      <c r="G186" s="28"/>
      <c r="H186" s="28"/>
      <c r="I186" s="28"/>
      <c r="J186" s="28"/>
      <c r="K186" s="28"/>
    </row>
    <row r="187" spans="1:11" x14ac:dyDescent="0.25">
      <c r="A187" s="28"/>
      <c r="B187" s="28"/>
      <c r="C187" s="28"/>
      <c r="D187" s="28"/>
      <c r="E187" s="28"/>
      <c r="F187" s="28"/>
      <c r="G187" s="28"/>
      <c r="H187" s="28"/>
      <c r="I187" s="28"/>
      <c r="J187" s="28"/>
      <c r="K187" s="28"/>
    </row>
    <row r="188" spans="1:11" x14ac:dyDescent="0.25">
      <c r="A188" s="28"/>
      <c r="B188" s="28"/>
      <c r="C188" s="28"/>
      <c r="D188" s="28"/>
      <c r="E188" s="28"/>
      <c r="F188" s="28"/>
      <c r="G188" s="28"/>
      <c r="H188" s="28"/>
      <c r="I188" s="28"/>
      <c r="J188" s="28"/>
      <c r="K188" s="28"/>
    </row>
    <row r="189" spans="1:11" x14ac:dyDescent="0.25">
      <c r="A189" s="28"/>
      <c r="B189" s="28"/>
      <c r="C189" s="28"/>
      <c r="D189" s="28"/>
      <c r="E189" s="28"/>
      <c r="F189" s="28"/>
      <c r="G189" s="28"/>
      <c r="H189" s="28"/>
      <c r="I189" s="28"/>
      <c r="J189" s="28"/>
      <c r="K189" s="28"/>
    </row>
    <row r="190" spans="1:11" x14ac:dyDescent="0.25">
      <c r="A190" s="28"/>
      <c r="B190" s="28"/>
      <c r="C190" s="28"/>
      <c r="D190" s="28"/>
      <c r="E190" s="28"/>
      <c r="F190" s="28"/>
      <c r="G190" s="28"/>
      <c r="H190" s="28"/>
      <c r="I190" s="28"/>
      <c r="J190" s="28"/>
      <c r="K190" s="28"/>
    </row>
    <row r="191" spans="1:11" x14ac:dyDescent="0.25">
      <c r="A191" s="28"/>
      <c r="B191" s="28"/>
      <c r="C191" s="28"/>
      <c r="D191" s="28"/>
      <c r="E191" s="28"/>
      <c r="F191" s="28"/>
      <c r="G191" s="28"/>
      <c r="H191" s="28"/>
      <c r="I191" s="28"/>
      <c r="J191" s="28"/>
      <c r="K191" s="28"/>
    </row>
    <row r="192" spans="1:11" x14ac:dyDescent="0.25">
      <c r="A192" s="28"/>
      <c r="B192" s="28"/>
      <c r="C192" s="28"/>
      <c r="D192" s="28"/>
      <c r="E192" s="28"/>
      <c r="F192" s="28"/>
      <c r="G192" s="28"/>
      <c r="H192" s="28"/>
      <c r="I192" s="28"/>
      <c r="J192" s="28"/>
      <c r="K192" s="28"/>
    </row>
    <row r="193" spans="1:11" x14ac:dyDescent="0.25">
      <c r="A193" s="28"/>
      <c r="B193" s="28"/>
      <c r="C193" s="28"/>
      <c r="D193" s="28"/>
      <c r="E193" s="28"/>
      <c r="F193" s="28"/>
      <c r="G193" s="28"/>
      <c r="H193" s="28"/>
      <c r="I193" s="28"/>
      <c r="J193" s="28"/>
      <c r="K193" s="28"/>
    </row>
    <row r="194" spans="1:11" x14ac:dyDescent="0.25">
      <c r="A194" s="28"/>
      <c r="B194" s="28"/>
      <c r="C194" s="28"/>
      <c r="D194" s="28"/>
      <c r="E194" s="28"/>
      <c r="F194" s="28"/>
      <c r="G194" s="28"/>
      <c r="H194" s="28"/>
      <c r="I194" s="28"/>
      <c r="J194" s="28"/>
      <c r="K194" s="28"/>
    </row>
    <row r="195" spans="1:11" x14ac:dyDescent="0.25">
      <c r="A195" s="28"/>
      <c r="B195" s="28"/>
      <c r="C195" s="28"/>
      <c r="D195" s="28"/>
      <c r="E195" s="28"/>
      <c r="F195" s="28"/>
      <c r="G195" s="28"/>
      <c r="H195" s="28"/>
      <c r="I195" s="28"/>
      <c r="J195" s="28"/>
      <c r="K195" s="28"/>
    </row>
    <row r="196" spans="1:11" x14ac:dyDescent="0.25">
      <c r="A196" s="28"/>
      <c r="B196" s="28"/>
      <c r="C196" s="28"/>
      <c r="D196" s="28"/>
      <c r="E196" s="28"/>
      <c r="F196" s="28"/>
      <c r="G196" s="28"/>
      <c r="H196" s="28"/>
      <c r="I196" s="28"/>
      <c r="J196" s="28"/>
      <c r="K196" s="28"/>
    </row>
    <row r="197" spans="1:11" x14ac:dyDescent="0.25">
      <c r="A197" s="28"/>
      <c r="B197" s="28"/>
      <c r="C197" s="28"/>
      <c r="D197" s="28"/>
      <c r="E197" s="28"/>
      <c r="F197" s="28"/>
      <c r="G197" s="28"/>
      <c r="H197" s="28"/>
      <c r="I197" s="28"/>
      <c r="J197" s="28"/>
      <c r="K197" s="28"/>
    </row>
    <row r="198" spans="1:11" x14ac:dyDescent="0.25">
      <c r="A198" s="28"/>
      <c r="B198" s="28"/>
      <c r="C198" s="28"/>
      <c r="D198" s="28"/>
      <c r="E198" s="28"/>
      <c r="F198" s="28"/>
      <c r="G198" s="28"/>
      <c r="H198" s="28"/>
      <c r="I198" s="28"/>
      <c r="J198" s="28"/>
      <c r="K198" s="28"/>
    </row>
    <row r="199" spans="1:11" x14ac:dyDescent="0.25">
      <c r="A199" s="28"/>
      <c r="B199" s="28"/>
      <c r="C199" s="28"/>
      <c r="D199" s="28"/>
      <c r="E199" s="28"/>
      <c r="F199" s="28"/>
      <c r="G199" s="28"/>
      <c r="H199" s="28"/>
      <c r="I199" s="28"/>
      <c r="J199" s="28"/>
      <c r="K199" s="28"/>
    </row>
    <row r="200" spans="1:11" x14ac:dyDescent="0.25">
      <c r="A200" s="28"/>
      <c r="B200" s="28"/>
      <c r="C200" s="28"/>
      <c r="D200" s="28"/>
      <c r="E200" s="28"/>
      <c r="F200" s="28"/>
      <c r="G200" s="28"/>
      <c r="H200" s="28"/>
      <c r="I200" s="28"/>
      <c r="J200" s="28"/>
      <c r="K200" s="28"/>
    </row>
    <row r="201" spans="1:11" x14ac:dyDescent="0.25">
      <c r="A201" s="28"/>
      <c r="B201" s="28"/>
      <c r="C201" s="28"/>
      <c r="D201" s="28"/>
      <c r="E201" s="28"/>
      <c r="F201" s="28"/>
      <c r="G201" s="28"/>
      <c r="H201" s="28"/>
      <c r="I201" s="28"/>
      <c r="J201" s="28"/>
      <c r="K201" s="28"/>
    </row>
    <row r="202" spans="1:11" x14ac:dyDescent="0.25">
      <c r="A202" s="28"/>
      <c r="B202" s="28"/>
      <c r="C202" s="28"/>
      <c r="D202" s="28"/>
      <c r="E202" s="28"/>
      <c r="F202" s="28"/>
      <c r="G202" s="28"/>
      <c r="H202" s="28"/>
      <c r="I202" s="28"/>
      <c r="J202" s="28"/>
      <c r="K202" s="28"/>
    </row>
    <row r="203" spans="1:11" x14ac:dyDescent="0.25">
      <c r="A203" s="28"/>
      <c r="B203" s="28"/>
      <c r="C203" s="28"/>
      <c r="D203" s="28"/>
      <c r="E203" s="28"/>
      <c r="F203" s="28"/>
      <c r="G203" s="28"/>
      <c r="H203" s="28"/>
      <c r="I203" s="28"/>
      <c r="J203" s="28"/>
      <c r="K203" s="28"/>
    </row>
    <row r="204" spans="1:11" x14ac:dyDescent="0.25">
      <c r="A204" s="28"/>
      <c r="B204" s="28"/>
      <c r="C204" s="28"/>
      <c r="D204" s="28"/>
      <c r="E204" s="28"/>
      <c r="F204" s="28"/>
      <c r="G204" s="28"/>
      <c r="H204" s="28"/>
      <c r="I204" s="28"/>
      <c r="J204" s="28"/>
      <c r="K204" s="28"/>
    </row>
    <row r="205" spans="1:11" x14ac:dyDescent="0.25">
      <c r="A205" s="28"/>
      <c r="B205" s="28"/>
      <c r="C205" s="28"/>
      <c r="D205" s="28"/>
      <c r="E205" s="28"/>
      <c r="F205" s="28"/>
      <c r="G205" s="28"/>
      <c r="H205" s="28"/>
      <c r="I205" s="28"/>
      <c r="J205" s="28"/>
      <c r="K205" s="28"/>
    </row>
    <row r="206" spans="1:11" x14ac:dyDescent="0.25">
      <c r="A206" s="28"/>
      <c r="B206" s="28"/>
      <c r="C206" s="28"/>
      <c r="D206" s="28"/>
      <c r="E206" s="28"/>
      <c r="F206" s="28"/>
      <c r="G206" s="28"/>
      <c r="H206" s="28"/>
      <c r="I206" s="28"/>
      <c r="J206" s="28"/>
      <c r="K206" s="28"/>
    </row>
    <row r="207" spans="1:11" x14ac:dyDescent="0.25">
      <c r="A207" s="28"/>
      <c r="B207" s="28"/>
      <c r="C207" s="28"/>
      <c r="D207" s="28"/>
      <c r="E207" s="28"/>
      <c r="F207" s="28"/>
      <c r="G207" s="28"/>
      <c r="H207" s="28"/>
      <c r="I207" s="28"/>
      <c r="J207" s="28"/>
      <c r="K207" s="28"/>
    </row>
    <row r="208" spans="1:11" x14ac:dyDescent="0.25">
      <c r="A208" s="28"/>
      <c r="B208" s="28"/>
      <c r="C208" s="28"/>
      <c r="D208" s="28"/>
      <c r="E208" s="28"/>
      <c r="F208" s="28"/>
      <c r="G208" s="28"/>
      <c r="H208" s="28"/>
      <c r="I208" s="28"/>
      <c r="J208" s="28"/>
      <c r="K208" s="28"/>
    </row>
    <row r="209" spans="1:11" x14ac:dyDescent="0.25">
      <c r="A209" s="28"/>
      <c r="B209" s="28"/>
      <c r="C209" s="28"/>
      <c r="D209" s="28"/>
      <c r="E209" s="28"/>
      <c r="F209" s="28"/>
      <c r="G209" s="28"/>
      <c r="H209" s="28"/>
      <c r="I209" s="28"/>
      <c r="J209" s="28"/>
      <c r="K209" s="28"/>
    </row>
    <row r="210" spans="1:11" x14ac:dyDescent="0.25">
      <c r="A210" s="107" t="s">
        <v>0</v>
      </c>
      <c r="B210" s="108"/>
      <c r="C210" s="108"/>
      <c r="D210" s="108"/>
      <c r="E210" s="108"/>
      <c r="F210" s="108"/>
      <c r="G210" s="109"/>
      <c r="H210" s="28"/>
      <c r="I210" s="116" t="s">
        <v>1</v>
      </c>
      <c r="J210" s="148" t="str">
        <f>$J$6</f>
        <v>04567</v>
      </c>
      <c r="K210" s="119"/>
    </row>
    <row r="211" spans="1:11" x14ac:dyDescent="0.25">
      <c r="A211" s="110"/>
      <c r="B211" s="111"/>
      <c r="C211" s="111"/>
      <c r="D211" s="111"/>
      <c r="E211" s="111"/>
      <c r="F211" s="111"/>
      <c r="G211" s="112"/>
      <c r="H211" s="28"/>
      <c r="I211" s="117"/>
      <c r="J211" s="120"/>
      <c r="K211" s="121"/>
    </row>
    <row r="212" spans="1:11" x14ac:dyDescent="0.25">
      <c r="A212" s="110"/>
      <c r="B212" s="111"/>
      <c r="C212" s="111"/>
      <c r="D212" s="111"/>
      <c r="E212" s="111"/>
      <c r="F212" s="111"/>
      <c r="G212" s="112"/>
      <c r="H212" s="28"/>
      <c r="I212" s="122" t="s">
        <v>264</v>
      </c>
      <c r="J212" s="123"/>
      <c r="K212" s="124"/>
    </row>
    <row r="213" spans="1:11" x14ac:dyDescent="0.25">
      <c r="A213" s="113"/>
      <c r="B213" s="114"/>
      <c r="C213" s="114"/>
      <c r="D213" s="114"/>
      <c r="E213" s="114"/>
      <c r="F213" s="114"/>
      <c r="G213" s="115"/>
      <c r="H213" s="28"/>
      <c r="I213" s="125"/>
      <c r="J213" s="126"/>
      <c r="K213" s="127"/>
    </row>
    <row r="214" spans="1:11" x14ac:dyDescent="0.25">
      <c r="A214" s="28"/>
      <c r="B214" s="28"/>
      <c r="C214" s="28"/>
      <c r="D214" s="28"/>
      <c r="E214" s="28"/>
      <c r="F214" s="28"/>
      <c r="G214" s="28"/>
      <c r="H214" s="28"/>
      <c r="I214" s="28"/>
      <c r="J214" s="28"/>
      <c r="K214" s="28"/>
    </row>
    <row r="215" spans="1:11" ht="15.75" x14ac:dyDescent="0.25">
      <c r="A215" s="101" t="s">
        <v>128</v>
      </c>
      <c r="B215" s="101"/>
      <c r="C215" s="101"/>
      <c r="D215" s="101"/>
      <c r="E215" s="101"/>
      <c r="F215" s="101"/>
      <c r="G215" s="101"/>
      <c r="H215" s="101"/>
      <c r="I215" s="101"/>
      <c r="J215" s="101"/>
      <c r="K215" s="101"/>
    </row>
    <row r="216" spans="1:11" x14ac:dyDescent="0.25">
      <c r="A216" s="102" t="s">
        <v>115</v>
      </c>
      <c r="B216" s="102"/>
      <c r="C216" s="28"/>
      <c r="D216" s="28"/>
      <c r="E216" s="28"/>
      <c r="F216" s="28"/>
      <c r="G216" s="28"/>
      <c r="H216" s="28"/>
      <c r="I216" s="28"/>
      <c r="J216" s="28"/>
      <c r="K216" s="28"/>
    </row>
    <row r="217" spans="1:11" x14ac:dyDescent="0.25">
      <c r="A217" s="28"/>
      <c r="B217" s="28"/>
      <c r="C217" s="28"/>
      <c r="D217" s="28"/>
      <c r="E217" s="28"/>
      <c r="F217" s="28"/>
      <c r="G217" s="28"/>
      <c r="H217" s="28"/>
      <c r="I217" s="28"/>
      <c r="J217" s="28"/>
      <c r="K217" s="28"/>
    </row>
    <row r="218" spans="1:11" x14ac:dyDescent="0.25">
      <c r="A218" s="157" t="s">
        <v>130</v>
      </c>
      <c r="B218" s="157"/>
      <c r="C218" s="157"/>
      <c r="D218" s="157"/>
      <c r="E218" s="157"/>
      <c r="F218" s="157"/>
      <c r="G218" s="157"/>
      <c r="H218" s="157"/>
      <c r="I218" s="157"/>
      <c r="J218" s="157"/>
      <c r="K218" s="157"/>
    </row>
    <row r="219" spans="1:11" x14ac:dyDescent="0.25">
      <c r="A219" s="157"/>
      <c r="B219" s="157"/>
      <c r="C219" s="157"/>
      <c r="D219" s="157"/>
      <c r="E219" s="157"/>
      <c r="F219" s="157"/>
      <c r="G219" s="157"/>
      <c r="H219" s="157"/>
      <c r="I219" s="157"/>
      <c r="J219" s="157"/>
      <c r="K219" s="157"/>
    </row>
    <row r="220" spans="1:11" x14ac:dyDescent="0.25">
      <c r="A220" s="157"/>
      <c r="B220" s="157"/>
      <c r="C220" s="157"/>
      <c r="D220" s="157"/>
      <c r="E220" s="157"/>
      <c r="F220" s="157"/>
      <c r="G220" s="157"/>
      <c r="H220" s="157"/>
      <c r="I220" s="157"/>
      <c r="J220" s="157"/>
      <c r="K220" s="157"/>
    </row>
    <row r="221" spans="1:11" x14ac:dyDescent="0.25">
      <c r="A221" s="104" t="s">
        <v>162</v>
      </c>
      <c r="B221" s="104"/>
      <c r="C221" s="104"/>
      <c r="D221" s="104"/>
      <c r="E221" s="104"/>
      <c r="F221" s="104"/>
      <c r="G221" s="104"/>
      <c r="H221" s="104"/>
      <c r="I221" s="104"/>
      <c r="J221" s="104"/>
      <c r="K221" s="104"/>
    </row>
    <row r="222" spans="1:11" x14ac:dyDescent="0.25">
      <c r="A222" s="104" t="str">
        <f>IF(E25="A","Frequency 400Hz.","Frequency 60Hz.")</f>
        <v>Frequency 400Hz.</v>
      </c>
      <c r="B222" s="104"/>
      <c r="C222" s="104"/>
      <c r="D222" s="104"/>
      <c r="E222" s="104"/>
      <c r="F222" s="104"/>
      <c r="G222" s="104"/>
      <c r="H222" s="104"/>
      <c r="I222" s="104"/>
      <c r="J222" s="104"/>
      <c r="K222" s="104"/>
    </row>
    <row r="223" spans="1:11" x14ac:dyDescent="0.25">
      <c r="A223" s="28"/>
      <c r="B223" s="28"/>
      <c r="C223" s="28"/>
      <c r="D223" s="28"/>
      <c r="E223" s="28"/>
      <c r="F223" s="28"/>
      <c r="G223" s="28"/>
      <c r="H223" s="28"/>
      <c r="I223" s="28"/>
      <c r="J223" s="28"/>
      <c r="K223" s="28"/>
    </row>
    <row r="224" spans="1:11" ht="31.15" customHeight="1" x14ac:dyDescent="0.25">
      <c r="A224" s="48" t="s">
        <v>12</v>
      </c>
      <c r="B224" s="160" t="s">
        <v>13</v>
      </c>
      <c r="C224" s="160"/>
      <c r="D224" s="160" t="s">
        <v>14</v>
      </c>
      <c r="E224" s="160"/>
      <c r="F224" s="160" t="s">
        <v>15</v>
      </c>
      <c r="G224" s="160"/>
      <c r="H224" s="160" t="s">
        <v>16</v>
      </c>
      <c r="I224" s="160"/>
      <c r="J224" s="160" t="s">
        <v>17</v>
      </c>
      <c r="K224" s="160"/>
    </row>
    <row r="225" spans="1:11" ht="19.149999999999999" customHeight="1" x14ac:dyDescent="0.25">
      <c r="A225" s="48"/>
      <c r="B225" s="160" t="s">
        <v>18</v>
      </c>
      <c r="C225" s="160"/>
      <c r="D225" s="160" t="s">
        <v>18</v>
      </c>
      <c r="E225" s="160"/>
      <c r="F225" s="160" t="s">
        <v>19</v>
      </c>
      <c r="G225" s="160"/>
      <c r="H225" s="160" t="s">
        <v>18</v>
      </c>
      <c r="I225" s="160"/>
      <c r="J225" s="160" t="s">
        <v>19</v>
      </c>
      <c r="K225" s="160"/>
    </row>
    <row r="226" spans="1:11" ht="19.149999999999999" customHeight="1" x14ac:dyDescent="0.25">
      <c r="A226" s="51" t="s">
        <v>116</v>
      </c>
      <c r="B226" s="161">
        <v>10</v>
      </c>
      <c r="C226" s="161"/>
      <c r="D226" s="135" t="str">
        <f>IF(Checks!$D$26="1",#REF!,"")</f>
        <v/>
      </c>
      <c r="E226" s="135"/>
      <c r="F226" s="186" t="e">
        <f t="shared" ref="F226:F233" si="7">IF($K$409="LMX",340*0.1/100,IF($K$409="UPC3",354*0.2/100,0.25/100*B226+0.1/100*354))</f>
        <v>#N/A</v>
      </c>
      <c r="G226" s="186"/>
      <c r="H226" s="136"/>
      <c r="I226" s="136"/>
      <c r="J226" s="133" t="e">
        <f t="shared" ref="J226:J233" si="8">IF($K$409="LMX",135*0.1/100,IF($K$409="ASX",150*0.5/100,150*0.5/100))</f>
        <v>#N/A</v>
      </c>
      <c r="K226" s="134"/>
    </row>
    <row r="227" spans="1:11" ht="19.149999999999999" customHeight="1" x14ac:dyDescent="0.25">
      <c r="A227" s="51" t="s">
        <v>116</v>
      </c>
      <c r="B227" s="161">
        <v>25</v>
      </c>
      <c r="C227" s="161"/>
      <c r="D227" s="135" t="str">
        <f>IF(Checks!$D$26="1",#REF!,"")</f>
        <v/>
      </c>
      <c r="E227" s="135"/>
      <c r="F227" s="186" t="e">
        <f t="shared" si="7"/>
        <v>#N/A</v>
      </c>
      <c r="G227" s="186"/>
      <c r="H227" s="136"/>
      <c r="I227" s="136"/>
      <c r="J227" s="133" t="e">
        <f t="shared" si="8"/>
        <v>#N/A</v>
      </c>
      <c r="K227" s="134"/>
    </row>
    <row r="228" spans="1:11" ht="19.149999999999999" customHeight="1" x14ac:dyDescent="0.25">
      <c r="A228" s="51" t="s">
        <v>116</v>
      </c>
      <c r="B228" s="161">
        <v>50</v>
      </c>
      <c r="C228" s="161"/>
      <c r="D228" s="135" t="str">
        <f>IF(Checks!$D$26="1",#REF!,"")</f>
        <v/>
      </c>
      <c r="E228" s="135"/>
      <c r="F228" s="186" t="e">
        <f t="shared" si="7"/>
        <v>#N/A</v>
      </c>
      <c r="G228" s="186"/>
      <c r="H228" s="136"/>
      <c r="I228" s="136"/>
      <c r="J228" s="133" t="e">
        <f t="shared" si="8"/>
        <v>#N/A</v>
      </c>
      <c r="K228" s="134"/>
    </row>
    <row r="229" spans="1:11" ht="19.149999999999999" customHeight="1" x14ac:dyDescent="0.25">
      <c r="A229" s="51" t="s">
        <v>116</v>
      </c>
      <c r="B229" s="161">
        <v>75</v>
      </c>
      <c r="C229" s="161"/>
      <c r="D229" s="135" t="str">
        <f>IF(Checks!$D$26="1",#REF!,"")</f>
        <v/>
      </c>
      <c r="E229" s="135"/>
      <c r="F229" s="186" t="e">
        <f t="shared" si="7"/>
        <v>#N/A</v>
      </c>
      <c r="G229" s="186"/>
      <c r="H229" s="136"/>
      <c r="I229" s="136"/>
      <c r="J229" s="133" t="e">
        <f t="shared" si="8"/>
        <v>#N/A</v>
      </c>
      <c r="K229" s="134"/>
    </row>
    <row r="230" spans="1:11" ht="19.149999999999999" customHeight="1" x14ac:dyDescent="0.25">
      <c r="A230" s="51" t="s">
        <v>116</v>
      </c>
      <c r="B230" s="161">
        <v>100</v>
      </c>
      <c r="C230" s="161"/>
      <c r="D230" s="135" t="str">
        <f>IF(Checks!$D$26="1",#REF!,"")</f>
        <v/>
      </c>
      <c r="E230" s="135"/>
      <c r="F230" s="186" t="e">
        <f t="shared" si="7"/>
        <v>#N/A</v>
      </c>
      <c r="G230" s="186"/>
      <c r="H230" s="136"/>
      <c r="I230" s="136"/>
      <c r="J230" s="133" t="e">
        <f t="shared" si="8"/>
        <v>#N/A</v>
      </c>
      <c r="K230" s="134"/>
    </row>
    <row r="231" spans="1:11" ht="19.149999999999999" customHeight="1" x14ac:dyDescent="0.25">
      <c r="A231" s="51" t="s">
        <v>116</v>
      </c>
      <c r="B231" s="161">
        <v>115</v>
      </c>
      <c r="C231" s="161"/>
      <c r="D231" s="135" t="str">
        <f>IF(Checks!$D$26="1",#REF!,"")</f>
        <v/>
      </c>
      <c r="E231" s="135"/>
      <c r="F231" s="186" t="e">
        <f t="shared" si="7"/>
        <v>#N/A</v>
      </c>
      <c r="G231" s="186"/>
      <c r="H231" s="136"/>
      <c r="I231" s="136"/>
      <c r="J231" s="133" t="e">
        <f t="shared" si="8"/>
        <v>#N/A</v>
      </c>
      <c r="K231" s="134"/>
    </row>
    <row r="232" spans="1:11" ht="19.149999999999999" customHeight="1" x14ac:dyDescent="0.25">
      <c r="A232" s="51" t="s">
        <v>116</v>
      </c>
      <c r="B232" s="161">
        <v>125</v>
      </c>
      <c r="C232" s="161"/>
      <c r="D232" s="135" t="str">
        <f>IF(Checks!$D$26="1",#REF!,"")</f>
        <v/>
      </c>
      <c r="E232" s="135"/>
      <c r="F232" s="186" t="e">
        <f t="shared" si="7"/>
        <v>#N/A</v>
      </c>
      <c r="G232" s="186"/>
      <c r="H232" s="136"/>
      <c r="I232" s="136"/>
      <c r="J232" s="133" t="e">
        <f t="shared" si="8"/>
        <v>#N/A</v>
      </c>
      <c r="K232" s="134"/>
    </row>
    <row r="233" spans="1:11" ht="19.149999999999999" customHeight="1" x14ac:dyDescent="0.25">
      <c r="A233" s="51" t="s">
        <v>116</v>
      </c>
      <c r="B233" s="161" t="e">
        <f>B99</f>
        <v>#N/A</v>
      </c>
      <c r="C233" s="161"/>
      <c r="D233" s="135" t="str">
        <f>IF(Checks!$D$26="1",#REF!,"")</f>
        <v/>
      </c>
      <c r="E233" s="135"/>
      <c r="F233" s="186" t="e">
        <f t="shared" si="7"/>
        <v>#N/A</v>
      </c>
      <c r="G233" s="186"/>
      <c r="H233" s="136"/>
      <c r="I233" s="136"/>
      <c r="J233" s="133" t="e">
        <f t="shared" si="8"/>
        <v>#N/A</v>
      </c>
      <c r="K233" s="134"/>
    </row>
    <row r="234" spans="1:11" x14ac:dyDescent="0.25">
      <c r="A234" s="28"/>
      <c r="B234" s="28"/>
      <c r="C234" s="28"/>
      <c r="D234" s="28"/>
      <c r="E234" s="28"/>
      <c r="F234" s="28"/>
      <c r="G234" s="28"/>
      <c r="H234" s="28"/>
      <c r="I234" s="28"/>
      <c r="J234" s="28"/>
      <c r="K234" s="28"/>
    </row>
    <row r="235" spans="1:11" x14ac:dyDescent="0.25">
      <c r="A235" s="5" t="s">
        <v>124</v>
      </c>
      <c r="B235" s="5"/>
      <c r="C235" s="5"/>
      <c r="D235" s="5" t="s">
        <v>125</v>
      </c>
      <c r="E235" s="5"/>
      <c r="F235" s="5"/>
      <c r="G235" s="5"/>
      <c r="H235" s="5"/>
      <c r="I235" s="5"/>
      <c r="J235" s="5"/>
      <c r="K235" s="5"/>
    </row>
    <row r="236" spans="1:11" x14ac:dyDescent="0.25">
      <c r="A236" s="28"/>
      <c r="B236" s="28"/>
      <c r="C236" s="28"/>
      <c r="D236" s="28"/>
      <c r="E236" s="28"/>
      <c r="F236" s="28"/>
      <c r="G236" s="28"/>
      <c r="H236" s="28"/>
      <c r="I236" s="28"/>
      <c r="J236" s="28"/>
      <c r="K236" s="28"/>
    </row>
    <row r="237" spans="1:11" x14ac:dyDescent="0.25">
      <c r="A237" s="28"/>
      <c r="B237" s="28"/>
      <c r="C237" s="28"/>
      <c r="D237" s="28"/>
      <c r="E237" s="28"/>
      <c r="F237" s="28"/>
      <c r="G237" s="28"/>
      <c r="H237" s="28"/>
      <c r="I237" s="28"/>
      <c r="J237" s="28"/>
      <c r="K237" s="28"/>
    </row>
    <row r="238" spans="1:11" x14ac:dyDescent="0.25">
      <c r="A238" s="6" t="s">
        <v>131</v>
      </c>
      <c r="B238" s="28"/>
      <c r="C238" s="28"/>
      <c r="D238" s="28"/>
      <c r="E238" s="28"/>
      <c r="F238" s="28"/>
      <c r="G238" s="28"/>
      <c r="H238" s="28"/>
      <c r="I238" s="28"/>
      <c r="J238" s="28"/>
      <c r="K238" s="28"/>
    </row>
    <row r="239" spans="1:11" x14ac:dyDescent="0.25">
      <c r="A239" s="7"/>
      <c r="B239" s="28"/>
      <c r="C239" s="28"/>
      <c r="D239" s="28"/>
      <c r="E239" s="28"/>
      <c r="F239" s="28"/>
      <c r="G239" s="28"/>
      <c r="H239" s="28"/>
      <c r="I239" s="28"/>
      <c r="J239" s="28"/>
      <c r="K239" s="28"/>
    </row>
    <row r="240" spans="1:11" ht="15.75" x14ac:dyDescent="0.25">
      <c r="A240" s="5" t="s">
        <v>132</v>
      </c>
      <c r="B240" s="28"/>
      <c r="C240" s="28"/>
      <c r="D240" s="28"/>
      <c r="E240" s="5"/>
      <c r="F240" s="40" t="s">
        <v>134</v>
      </c>
      <c r="G240" s="49" t="e">
        <f>"@ "&amp;VLOOKUP(D28,'3PhT data'!A:N,14,0)&amp;"A"</f>
        <v>#N/A</v>
      </c>
      <c r="H240" s="28"/>
      <c r="I240" s="28"/>
      <c r="J240" s="28"/>
      <c r="K240" s="28"/>
    </row>
    <row r="241" spans="1:11" x14ac:dyDescent="0.25">
      <c r="A241" s="5"/>
      <c r="B241" s="28"/>
      <c r="C241" s="28"/>
      <c r="D241" s="28"/>
      <c r="E241" s="28"/>
      <c r="F241" s="28"/>
      <c r="G241" s="28"/>
      <c r="H241" s="28"/>
      <c r="I241" s="28"/>
      <c r="J241" s="28"/>
      <c r="K241" s="28"/>
    </row>
    <row r="242" spans="1:11" ht="15.75" x14ac:dyDescent="0.25">
      <c r="A242" s="5" t="s">
        <v>133</v>
      </c>
      <c r="B242" s="28"/>
      <c r="C242" s="28"/>
      <c r="D242" s="28"/>
      <c r="E242" s="5"/>
      <c r="F242" s="40" t="s">
        <v>134</v>
      </c>
      <c r="G242" s="28"/>
      <c r="H242" s="28"/>
      <c r="I242" s="28"/>
      <c r="J242" s="28"/>
      <c r="K242" s="28"/>
    </row>
    <row r="243" spans="1:11" x14ac:dyDescent="0.25">
      <c r="A243" s="5"/>
      <c r="B243" s="28"/>
      <c r="C243" s="28"/>
      <c r="D243" s="28"/>
      <c r="E243" s="28"/>
      <c r="F243" s="28"/>
      <c r="G243" s="28"/>
      <c r="H243" s="28"/>
      <c r="I243" s="28"/>
      <c r="J243" s="28"/>
      <c r="K243" s="28"/>
    </row>
    <row r="244" spans="1:11" ht="15.75" x14ac:dyDescent="0.25">
      <c r="A244" s="5" t="s">
        <v>135</v>
      </c>
      <c r="B244" s="28"/>
      <c r="C244" s="28"/>
      <c r="D244" s="28"/>
      <c r="E244" s="5"/>
      <c r="F244" s="40" t="s">
        <v>134</v>
      </c>
      <c r="G244" s="28"/>
      <c r="H244" s="28"/>
      <c r="I244" s="28"/>
      <c r="J244" s="28"/>
      <c r="K244" s="28"/>
    </row>
    <row r="245" spans="1:11" x14ac:dyDescent="0.25">
      <c r="A245" s="28"/>
      <c r="B245" s="28"/>
      <c r="C245" s="28"/>
      <c r="D245" s="28"/>
      <c r="E245" s="28"/>
      <c r="F245" s="28"/>
      <c r="G245" s="28"/>
      <c r="H245" s="28"/>
      <c r="I245" s="28"/>
      <c r="J245" s="28"/>
      <c r="K245" s="28"/>
    </row>
    <row r="246" spans="1:11" x14ac:dyDescent="0.25">
      <c r="A246" s="28"/>
      <c r="B246" s="28"/>
      <c r="C246" s="28"/>
      <c r="D246" s="28"/>
      <c r="E246" s="28"/>
      <c r="F246" s="28"/>
      <c r="G246" s="28"/>
      <c r="H246" s="28"/>
      <c r="I246" s="28"/>
      <c r="J246" s="28"/>
      <c r="K246" s="28"/>
    </row>
    <row r="247" spans="1:11" x14ac:dyDescent="0.25">
      <c r="A247" s="28"/>
      <c r="B247" s="28"/>
      <c r="C247" s="28"/>
      <c r="D247" s="28"/>
      <c r="E247" s="28"/>
      <c r="F247" s="28"/>
      <c r="G247" s="28"/>
      <c r="H247" s="28"/>
      <c r="I247" s="28"/>
      <c r="J247" s="28"/>
      <c r="K247" s="28"/>
    </row>
    <row r="248" spans="1:11" x14ac:dyDescent="0.25">
      <c r="A248" s="28"/>
      <c r="B248" s="28"/>
      <c r="C248" s="28"/>
      <c r="D248" s="28"/>
      <c r="E248" s="28"/>
      <c r="F248" s="28"/>
      <c r="G248" s="28"/>
      <c r="H248" s="28"/>
      <c r="I248" s="28"/>
      <c r="J248" s="28"/>
      <c r="K248" s="28"/>
    </row>
    <row r="249" spans="1:11" x14ac:dyDescent="0.25">
      <c r="A249" s="28"/>
      <c r="B249" s="28"/>
      <c r="C249" s="28"/>
      <c r="D249" s="28"/>
      <c r="E249" s="28"/>
      <c r="F249" s="28"/>
      <c r="G249" s="28"/>
      <c r="H249" s="28"/>
      <c r="I249" s="28"/>
      <c r="J249" s="28"/>
      <c r="K249" s="28"/>
    </row>
    <row r="250" spans="1:11" x14ac:dyDescent="0.25">
      <c r="A250" s="28"/>
      <c r="B250" s="28"/>
      <c r="C250" s="28"/>
      <c r="D250" s="28"/>
      <c r="E250" s="28"/>
      <c r="F250" s="28"/>
      <c r="G250" s="28"/>
      <c r="H250" s="28"/>
      <c r="I250" s="28"/>
      <c r="J250" s="28"/>
      <c r="K250" s="28"/>
    </row>
    <row r="251" spans="1:11" x14ac:dyDescent="0.25">
      <c r="A251" s="28"/>
      <c r="B251" s="28"/>
      <c r="C251" s="28"/>
      <c r="D251" s="28"/>
      <c r="E251" s="28"/>
      <c r="F251" s="28"/>
      <c r="G251" s="28"/>
      <c r="H251" s="28"/>
      <c r="I251" s="28"/>
      <c r="J251" s="28"/>
      <c r="K251" s="28"/>
    </row>
    <row r="252" spans="1:11" x14ac:dyDescent="0.25">
      <c r="A252" s="28"/>
      <c r="B252" s="28"/>
      <c r="C252" s="28"/>
      <c r="D252" s="28"/>
      <c r="E252" s="28"/>
      <c r="F252" s="28"/>
      <c r="G252" s="28"/>
      <c r="H252" s="28"/>
      <c r="I252" s="28"/>
      <c r="J252" s="28"/>
      <c r="K252" s="28"/>
    </row>
    <row r="253" spans="1:11" x14ac:dyDescent="0.25">
      <c r="A253" s="28"/>
      <c r="B253" s="28"/>
      <c r="C253" s="28"/>
      <c r="D253" s="28"/>
      <c r="E253" s="28"/>
      <c r="F253" s="28"/>
      <c r="G253" s="28"/>
      <c r="H253" s="28"/>
      <c r="I253" s="28"/>
      <c r="J253" s="28"/>
      <c r="K253" s="28"/>
    </row>
    <row r="254" spans="1:11" x14ac:dyDescent="0.25">
      <c r="A254" s="28"/>
      <c r="B254" s="28"/>
      <c r="C254" s="28"/>
      <c r="D254" s="28"/>
      <c r="E254" s="28"/>
      <c r="F254" s="28"/>
      <c r="G254" s="28"/>
      <c r="H254" s="28"/>
      <c r="I254" s="28"/>
      <c r="J254" s="28"/>
      <c r="K254" s="28"/>
    </row>
    <row r="255" spans="1:11" x14ac:dyDescent="0.25">
      <c r="A255" s="28"/>
      <c r="B255" s="28"/>
      <c r="C255" s="28"/>
      <c r="D255" s="28"/>
      <c r="E255" s="28"/>
      <c r="F255" s="28"/>
      <c r="G255" s="28"/>
      <c r="H255" s="28"/>
      <c r="I255" s="28"/>
      <c r="J255" s="28"/>
      <c r="K255" s="28"/>
    </row>
    <row r="256" spans="1:11" x14ac:dyDescent="0.25">
      <c r="A256" s="28"/>
      <c r="B256" s="28"/>
      <c r="C256" s="28"/>
      <c r="D256" s="28"/>
      <c r="E256" s="28"/>
      <c r="F256" s="28"/>
      <c r="G256" s="28"/>
      <c r="H256" s="28"/>
      <c r="I256" s="28"/>
      <c r="J256" s="28"/>
      <c r="K256" s="28"/>
    </row>
    <row r="257" spans="1:11" x14ac:dyDescent="0.25">
      <c r="A257" s="28"/>
      <c r="B257" s="28"/>
      <c r="C257" s="28"/>
      <c r="D257" s="28"/>
      <c r="E257" s="28"/>
      <c r="F257" s="28"/>
      <c r="G257" s="28"/>
      <c r="H257" s="28"/>
      <c r="I257" s="28"/>
      <c r="J257" s="28"/>
      <c r="K257" s="28"/>
    </row>
    <row r="258" spans="1:11" x14ac:dyDescent="0.25">
      <c r="A258" s="28"/>
      <c r="B258" s="28"/>
      <c r="C258" s="28"/>
      <c r="D258" s="28"/>
      <c r="E258" s="28"/>
      <c r="F258" s="28"/>
      <c r="G258" s="28"/>
      <c r="H258" s="28"/>
      <c r="I258" s="28"/>
      <c r="J258" s="28"/>
      <c r="K258" s="28"/>
    </row>
    <row r="259" spans="1:11" x14ac:dyDescent="0.25">
      <c r="A259" s="28"/>
      <c r="B259" s="28"/>
      <c r="C259" s="28"/>
      <c r="D259" s="28"/>
      <c r="E259" s="28"/>
      <c r="F259" s="28"/>
      <c r="G259" s="28"/>
      <c r="H259" s="28"/>
      <c r="I259" s="28"/>
      <c r="J259" s="28"/>
      <c r="K259" s="28"/>
    </row>
    <row r="260" spans="1:11" x14ac:dyDescent="0.25">
      <c r="A260" s="28"/>
      <c r="B260" s="28"/>
      <c r="C260" s="28"/>
      <c r="D260" s="28"/>
      <c r="E260" s="28"/>
      <c r="F260" s="28"/>
      <c r="G260" s="28"/>
      <c r="H260" s="28"/>
      <c r="I260" s="28"/>
      <c r="J260" s="28"/>
      <c r="K260" s="28"/>
    </row>
    <row r="261" spans="1:11" x14ac:dyDescent="0.25">
      <c r="A261" s="107" t="s">
        <v>0</v>
      </c>
      <c r="B261" s="108"/>
      <c r="C261" s="108"/>
      <c r="D261" s="108"/>
      <c r="E261" s="108"/>
      <c r="F261" s="108"/>
      <c r="G261" s="109"/>
      <c r="H261" s="28"/>
      <c r="I261" s="116" t="s">
        <v>1</v>
      </c>
      <c r="J261" s="148" t="str">
        <f>$J$6</f>
        <v>04567</v>
      </c>
      <c r="K261" s="119"/>
    </row>
    <row r="262" spans="1:11" x14ac:dyDescent="0.25">
      <c r="A262" s="110"/>
      <c r="B262" s="111"/>
      <c r="C262" s="111"/>
      <c r="D262" s="111"/>
      <c r="E262" s="111"/>
      <c r="F262" s="111"/>
      <c r="G262" s="112"/>
      <c r="H262" s="28"/>
      <c r="I262" s="117"/>
      <c r="J262" s="120"/>
      <c r="K262" s="121"/>
    </row>
    <row r="263" spans="1:11" x14ac:dyDescent="0.25">
      <c r="A263" s="110"/>
      <c r="B263" s="111"/>
      <c r="C263" s="111"/>
      <c r="D263" s="111"/>
      <c r="E263" s="111"/>
      <c r="F263" s="111"/>
      <c r="G263" s="112"/>
      <c r="H263" s="28"/>
      <c r="I263" s="122" t="s">
        <v>265</v>
      </c>
      <c r="J263" s="123"/>
      <c r="K263" s="124"/>
    </row>
    <row r="264" spans="1:11" x14ac:dyDescent="0.25">
      <c r="A264" s="113"/>
      <c r="B264" s="114"/>
      <c r="C264" s="114"/>
      <c r="D264" s="114"/>
      <c r="E264" s="114"/>
      <c r="F264" s="114"/>
      <c r="G264" s="115"/>
      <c r="H264" s="28"/>
      <c r="I264" s="125"/>
      <c r="J264" s="126"/>
      <c r="K264" s="127"/>
    </row>
    <row r="265" spans="1:11" x14ac:dyDescent="0.25">
      <c r="A265" s="28"/>
      <c r="B265" s="28"/>
      <c r="C265" s="28"/>
      <c r="D265" s="28"/>
      <c r="E265" s="28"/>
      <c r="F265" s="28"/>
      <c r="G265" s="28"/>
      <c r="H265" s="28"/>
      <c r="I265" s="28"/>
      <c r="J265" s="28"/>
      <c r="K265" s="28"/>
    </row>
    <row r="266" spans="1:11" ht="15.75" x14ac:dyDescent="0.25">
      <c r="A266" s="101" t="s">
        <v>266</v>
      </c>
      <c r="B266" s="101"/>
      <c r="C266" s="101"/>
      <c r="D266" s="101"/>
      <c r="E266" s="101"/>
      <c r="F266" s="101"/>
      <c r="G266" s="101"/>
      <c r="H266" s="101"/>
      <c r="I266" s="101"/>
      <c r="J266" s="101"/>
      <c r="K266" s="101"/>
    </row>
    <row r="267" spans="1:11" x14ac:dyDescent="0.25">
      <c r="A267" s="102" t="s">
        <v>115</v>
      </c>
      <c r="B267" s="102"/>
      <c r="C267" s="28"/>
      <c r="D267" s="28"/>
      <c r="E267" s="28"/>
      <c r="F267" s="28"/>
      <c r="G267" s="28"/>
      <c r="H267" s="28"/>
      <c r="I267" s="28"/>
      <c r="J267" s="28"/>
      <c r="K267" s="28"/>
    </row>
    <row r="268" spans="1:11" x14ac:dyDescent="0.25">
      <c r="A268" s="28"/>
      <c r="B268" s="28"/>
      <c r="C268" s="28"/>
      <c r="D268" s="28"/>
      <c r="E268" s="28"/>
      <c r="F268" s="28"/>
      <c r="G268" s="28"/>
      <c r="H268" s="28"/>
      <c r="I268" s="28"/>
      <c r="J268" s="28"/>
      <c r="K268" s="28"/>
    </row>
    <row r="269" spans="1:11" x14ac:dyDescent="0.25">
      <c r="A269" s="157" t="s">
        <v>130</v>
      </c>
      <c r="B269" s="157"/>
      <c r="C269" s="157"/>
      <c r="D269" s="157"/>
      <c r="E269" s="157"/>
      <c r="F269" s="157"/>
      <c r="G269" s="157"/>
      <c r="H269" s="157"/>
      <c r="I269" s="157"/>
      <c r="J269" s="157"/>
      <c r="K269" s="157"/>
    </row>
    <row r="270" spans="1:11" x14ac:dyDescent="0.25">
      <c r="A270" s="157"/>
      <c r="B270" s="157"/>
      <c r="C270" s="157"/>
      <c r="D270" s="157"/>
      <c r="E270" s="157"/>
      <c r="F270" s="157"/>
      <c r="G270" s="157"/>
      <c r="H270" s="157"/>
      <c r="I270" s="157"/>
      <c r="J270" s="157"/>
      <c r="K270" s="157"/>
    </row>
    <row r="271" spans="1:11" x14ac:dyDescent="0.25">
      <c r="A271" s="157"/>
      <c r="B271" s="157"/>
      <c r="C271" s="157"/>
      <c r="D271" s="157"/>
      <c r="E271" s="157"/>
      <c r="F271" s="157"/>
      <c r="G271" s="157"/>
      <c r="H271" s="157"/>
      <c r="I271" s="157"/>
      <c r="J271" s="157"/>
      <c r="K271" s="157"/>
    </row>
    <row r="272" spans="1:11" x14ac:dyDescent="0.25">
      <c r="A272" s="104" t="s">
        <v>267</v>
      </c>
      <c r="B272" s="104"/>
      <c r="C272" s="104"/>
      <c r="D272" s="104"/>
      <c r="E272" s="104"/>
      <c r="F272" s="104"/>
      <c r="G272" s="104"/>
      <c r="H272" s="104"/>
      <c r="I272" s="104"/>
      <c r="J272" s="104"/>
      <c r="K272" s="104"/>
    </row>
    <row r="273" spans="1:11" x14ac:dyDescent="0.25">
      <c r="A273" s="104" t="str">
        <f>IF($E$25="A","Frequency 400Hz.","Frequency 60Hz.")</f>
        <v>Frequency 400Hz.</v>
      </c>
      <c r="B273" s="104"/>
      <c r="C273" s="104"/>
      <c r="D273" s="104"/>
      <c r="E273" s="104"/>
      <c r="F273" s="104"/>
      <c r="G273" s="104"/>
      <c r="H273" s="104"/>
      <c r="I273" s="104"/>
      <c r="J273" s="104"/>
      <c r="K273" s="104"/>
    </row>
    <row r="274" spans="1:11" x14ac:dyDescent="0.25">
      <c r="A274" s="28"/>
      <c r="B274" s="28"/>
      <c r="C274" s="28"/>
      <c r="D274" s="28"/>
      <c r="E274" s="28"/>
      <c r="F274" s="28"/>
      <c r="G274" s="28"/>
      <c r="H274" s="28"/>
      <c r="I274" s="28"/>
      <c r="J274" s="28"/>
      <c r="K274" s="28"/>
    </row>
    <row r="275" spans="1:11" ht="31.15" customHeight="1" x14ac:dyDescent="0.25">
      <c r="A275" s="48" t="s">
        <v>12</v>
      </c>
      <c r="B275" s="160" t="s">
        <v>13</v>
      </c>
      <c r="C275" s="160"/>
      <c r="D275" s="160" t="s">
        <v>14</v>
      </c>
      <c r="E275" s="160"/>
      <c r="F275" s="160" t="s">
        <v>15</v>
      </c>
      <c r="G275" s="160"/>
      <c r="H275" s="160" t="s">
        <v>16</v>
      </c>
      <c r="I275" s="160"/>
      <c r="J275" s="160" t="s">
        <v>17</v>
      </c>
      <c r="K275" s="160"/>
    </row>
    <row r="276" spans="1:11" ht="19.149999999999999" customHeight="1" x14ac:dyDescent="0.25">
      <c r="A276" s="48"/>
      <c r="B276" s="160" t="s">
        <v>18</v>
      </c>
      <c r="C276" s="160"/>
      <c r="D276" s="160" t="s">
        <v>18</v>
      </c>
      <c r="E276" s="160"/>
      <c r="F276" s="160" t="s">
        <v>19</v>
      </c>
      <c r="G276" s="160"/>
      <c r="H276" s="160" t="s">
        <v>18</v>
      </c>
      <c r="I276" s="160"/>
      <c r="J276" s="160" t="s">
        <v>19</v>
      </c>
      <c r="K276" s="160"/>
    </row>
    <row r="277" spans="1:11" ht="19.149999999999999" customHeight="1" x14ac:dyDescent="0.25">
      <c r="A277" s="51" t="s">
        <v>116</v>
      </c>
      <c r="B277" s="161">
        <f t="shared" ref="B277:B284" si="9">B226*$D$32</f>
        <v>20</v>
      </c>
      <c r="C277" s="161"/>
      <c r="D277" s="135"/>
      <c r="E277" s="135"/>
      <c r="F277" s="186" t="e">
        <f t="shared" ref="F277:F284" si="10">IF($K$409="LMX",340*0.1/100,IF($K$409="UPC3",354*0.2/100,0.25/100*B277+0.1/100*354))</f>
        <v>#N/A</v>
      </c>
      <c r="G277" s="186"/>
      <c r="H277" s="136"/>
      <c r="I277" s="136"/>
      <c r="J277" s="158" t="e">
        <f t="shared" ref="J277:J284" si="11">IF($K$409="LMX",135*0.1/100,IF($K$409="ASX",150*0.5/100,150*0.5/100))*$D$32</f>
        <v>#N/A</v>
      </c>
      <c r="K277" s="159"/>
    </row>
    <row r="278" spans="1:11" ht="19.149999999999999" customHeight="1" x14ac:dyDescent="0.25">
      <c r="A278" s="51" t="s">
        <v>116</v>
      </c>
      <c r="B278" s="161">
        <f t="shared" si="9"/>
        <v>50</v>
      </c>
      <c r="C278" s="161"/>
      <c r="D278" s="135"/>
      <c r="E278" s="135"/>
      <c r="F278" s="186" t="e">
        <f t="shared" si="10"/>
        <v>#N/A</v>
      </c>
      <c r="G278" s="186"/>
      <c r="H278" s="136"/>
      <c r="I278" s="136"/>
      <c r="J278" s="158" t="e">
        <f t="shared" si="11"/>
        <v>#N/A</v>
      </c>
      <c r="K278" s="159"/>
    </row>
    <row r="279" spans="1:11" ht="19.149999999999999" customHeight="1" x14ac:dyDescent="0.25">
      <c r="A279" s="51" t="s">
        <v>116</v>
      </c>
      <c r="B279" s="161">
        <f t="shared" si="9"/>
        <v>100</v>
      </c>
      <c r="C279" s="161"/>
      <c r="D279" s="135"/>
      <c r="E279" s="135"/>
      <c r="F279" s="186" t="e">
        <f t="shared" si="10"/>
        <v>#N/A</v>
      </c>
      <c r="G279" s="186"/>
      <c r="H279" s="136"/>
      <c r="I279" s="136"/>
      <c r="J279" s="158" t="e">
        <f t="shared" si="11"/>
        <v>#N/A</v>
      </c>
      <c r="K279" s="159"/>
    </row>
    <row r="280" spans="1:11" ht="19.149999999999999" customHeight="1" x14ac:dyDescent="0.25">
      <c r="A280" s="51" t="s">
        <v>116</v>
      </c>
      <c r="B280" s="161">
        <f t="shared" si="9"/>
        <v>150</v>
      </c>
      <c r="C280" s="161"/>
      <c r="D280" s="135"/>
      <c r="E280" s="135"/>
      <c r="F280" s="186" t="e">
        <f t="shared" si="10"/>
        <v>#N/A</v>
      </c>
      <c r="G280" s="186"/>
      <c r="H280" s="136"/>
      <c r="I280" s="136"/>
      <c r="J280" s="158" t="e">
        <f t="shared" si="11"/>
        <v>#N/A</v>
      </c>
      <c r="K280" s="159"/>
    </row>
    <row r="281" spans="1:11" ht="19.149999999999999" customHeight="1" x14ac:dyDescent="0.25">
      <c r="A281" s="51" t="s">
        <v>116</v>
      </c>
      <c r="B281" s="161">
        <f t="shared" si="9"/>
        <v>200</v>
      </c>
      <c r="C281" s="161"/>
      <c r="D281" s="135"/>
      <c r="E281" s="135"/>
      <c r="F281" s="186" t="e">
        <f t="shared" si="10"/>
        <v>#N/A</v>
      </c>
      <c r="G281" s="186"/>
      <c r="H281" s="136"/>
      <c r="I281" s="136"/>
      <c r="J281" s="158" t="e">
        <f t="shared" si="11"/>
        <v>#N/A</v>
      </c>
      <c r="K281" s="159"/>
    </row>
    <row r="282" spans="1:11" ht="19.149999999999999" customHeight="1" x14ac:dyDescent="0.25">
      <c r="A282" s="51" t="s">
        <v>116</v>
      </c>
      <c r="B282" s="161">
        <f t="shared" si="9"/>
        <v>230</v>
      </c>
      <c r="C282" s="161"/>
      <c r="D282" s="135"/>
      <c r="E282" s="135"/>
      <c r="F282" s="186" t="e">
        <f t="shared" si="10"/>
        <v>#N/A</v>
      </c>
      <c r="G282" s="186"/>
      <c r="H282" s="136"/>
      <c r="I282" s="136"/>
      <c r="J282" s="158" t="e">
        <f t="shared" si="11"/>
        <v>#N/A</v>
      </c>
      <c r="K282" s="159"/>
    </row>
    <row r="283" spans="1:11" ht="19.149999999999999" customHeight="1" x14ac:dyDescent="0.25">
      <c r="A283" s="51" t="s">
        <v>116</v>
      </c>
      <c r="B283" s="161">
        <f t="shared" si="9"/>
        <v>250</v>
      </c>
      <c r="C283" s="161"/>
      <c r="D283" s="135"/>
      <c r="E283" s="135"/>
      <c r="F283" s="186" t="e">
        <f t="shared" si="10"/>
        <v>#N/A</v>
      </c>
      <c r="G283" s="186"/>
      <c r="H283" s="136"/>
      <c r="I283" s="136"/>
      <c r="J283" s="158" t="e">
        <f t="shared" si="11"/>
        <v>#N/A</v>
      </c>
      <c r="K283" s="159"/>
    </row>
    <row r="284" spans="1:11" ht="19.149999999999999" customHeight="1" x14ac:dyDescent="0.25">
      <c r="A284" s="51" t="s">
        <v>116</v>
      </c>
      <c r="B284" s="161" t="e">
        <f t="shared" si="9"/>
        <v>#N/A</v>
      </c>
      <c r="C284" s="161"/>
      <c r="D284" s="135"/>
      <c r="E284" s="135"/>
      <c r="F284" s="186" t="e">
        <f t="shared" si="10"/>
        <v>#N/A</v>
      </c>
      <c r="G284" s="186"/>
      <c r="H284" s="136"/>
      <c r="I284" s="136"/>
      <c r="J284" s="158" t="e">
        <f t="shared" si="11"/>
        <v>#N/A</v>
      </c>
      <c r="K284" s="159"/>
    </row>
    <row r="285" spans="1:11" x14ac:dyDescent="0.25">
      <c r="A285" s="28"/>
      <c r="B285" s="28"/>
      <c r="C285" s="28"/>
      <c r="D285" s="28"/>
      <c r="E285" s="28"/>
      <c r="F285" s="28"/>
      <c r="G285" s="28"/>
      <c r="H285" s="28"/>
      <c r="I285" s="28"/>
      <c r="J285" s="28"/>
      <c r="K285" s="28"/>
    </row>
    <row r="286" spans="1:11" x14ac:dyDescent="0.25">
      <c r="A286" s="5" t="s">
        <v>124</v>
      </c>
      <c r="B286" s="5"/>
      <c r="C286" s="5"/>
      <c r="D286" s="5" t="s">
        <v>125</v>
      </c>
      <c r="E286" s="5"/>
      <c r="F286" s="5"/>
      <c r="G286" s="5"/>
      <c r="H286" s="5"/>
      <c r="I286" s="5"/>
      <c r="J286" s="5"/>
      <c r="K286" s="5"/>
    </row>
    <row r="287" spans="1:11" x14ac:dyDescent="0.25">
      <c r="A287" s="28"/>
      <c r="B287" s="28"/>
      <c r="C287" s="28"/>
      <c r="D287" s="28"/>
      <c r="E287" s="28"/>
      <c r="F287" s="28"/>
      <c r="G287" s="28"/>
      <c r="H287" s="28"/>
      <c r="I287" s="28"/>
      <c r="J287" s="28"/>
      <c r="K287" s="28"/>
    </row>
    <row r="288" spans="1:11" x14ac:dyDescent="0.25">
      <c r="A288" s="28"/>
      <c r="B288" s="28"/>
      <c r="C288" s="28"/>
      <c r="D288" s="28"/>
      <c r="E288" s="28"/>
      <c r="F288" s="28"/>
      <c r="G288" s="28"/>
      <c r="H288" s="28"/>
      <c r="I288" s="28"/>
      <c r="J288" s="28"/>
      <c r="K288" s="28"/>
    </row>
    <row r="289" spans="1:11" x14ac:dyDescent="0.25">
      <c r="A289" s="6"/>
      <c r="B289" s="28"/>
      <c r="C289" s="28"/>
      <c r="D289" s="28"/>
      <c r="E289" s="28"/>
      <c r="F289" s="28"/>
      <c r="G289" s="28"/>
      <c r="H289" s="28"/>
      <c r="I289" s="28"/>
      <c r="J289" s="28"/>
      <c r="K289" s="28"/>
    </row>
    <row r="290" spans="1:11" x14ac:dyDescent="0.25">
      <c r="A290" s="7"/>
      <c r="B290" s="28"/>
      <c r="C290" s="28"/>
      <c r="D290" s="28"/>
      <c r="E290" s="28"/>
      <c r="F290" s="28"/>
      <c r="G290" s="28"/>
      <c r="H290" s="28"/>
      <c r="I290" s="28"/>
      <c r="J290" s="28"/>
      <c r="K290" s="28"/>
    </row>
    <row r="291" spans="1:11" ht="15.75" x14ac:dyDescent="0.25">
      <c r="A291" s="5"/>
      <c r="B291" s="28"/>
      <c r="C291" s="28"/>
      <c r="D291" s="28"/>
      <c r="E291" s="5"/>
      <c r="F291" s="40"/>
      <c r="G291" s="49"/>
      <c r="H291" s="28"/>
      <c r="I291" s="28"/>
      <c r="J291" s="28"/>
      <c r="K291" s="28"/>
    </row>
    <row r="292" spans="1:11" x14ac:dyDescent="0.25">
      <c r="A292" s="5"/>
      <c r="B292" s="28"/>
      <c r="C292" s="28"/>
      <c r="D292" s="28"/>
      <c r="E292" s="28"/>
      <c r="F292" s="28"/>
      <c r="G292" s="28"/>
      <c r="H292" s="28"/>
      <c r="I292" s="28"/>
      <c r="J292" s="28"/>
      <c r="K292" s="28"/>
    </row>
    <row r="293" spans="1:11" ht="15.75" x14ac:dyDescent="0.25">
      <c r="A293" s="5"/>
      <c r="B293" s="28"/>
      <c r="C293" s="28"/>
      <c r="D293" s="28"/>
      <c r="E293" s="5"/>
      <c r="F293" s="40"/>
      <c r="G293" s="28"/>
      <c r="H293" s="28"/>
      <c r="I293" s="28"/>
      <c r="J293" s="28"/>
      <c r="K293" s="28"/>
    </row>
    <row r="294" spans="1:11" x14ac:dyDescent="0.25">
      <c r="A294" s="5"/>
      <c r="B294" s="28"/>
      <c r="C294" s="28"/>
      <c r="D294" s="28"/>
      <c r="E294" s="28"/>
      <c r="F294" s="28"/>
      <c r="G294" s="28"/>
      <c r="H294" s="28"/>
      <c r="I294" s="28"/>
      <c r="J294" s="28"/>
      <c r="K294" s="28"/>
    </row>
    <row r="295" spans="1:11" ht="15.75" x14ac:dyDescent="0.25">
      <c r="A295" s="5"/>
      <c r="B295" s="28"/>
      <c r="C295" s="28"/>
      <c r="D295" s="28"/>
      <c r="E295" s="5"/>
      <c r="F295" s="40"/>
      <c r="G295" s="28"/>
      <c r="H295" s="28"/>
      <c r="I295" s="28"/>
      <c r="J295" s="28"/>
      <c r="K295" s="28"/>
    </row>
    <row r="296" spans="1:11" x14ac:dyDescent="0.25">
      <c r="A296" s="28"/>
      <c r="B296" s="28"/>
      <c r="C296" s="28"/>
      <c r="D296" s="28"/>
      <c r="E296" s="28"/>
      <c r="F296" s="28"/>
      <c r="G296" s="28"/>
      <c r="H296" s="28"/>
      <c r="I296" s="28"/>
      <c r="J296" s="28"/>
      <c r="K296" s="28"/>
    </row>
    <row r="297" spans="1:11" x14ac:dyDescent="0.25">
      <c r="A297" s="28"/>
      <c r="B297" s="28"/>
      <c r="C297" s="28"/>
      <c r="D297" s="28"/>
      <c r="E297" s="28"/>
      <c r="F297" s="28"/>
      <c r="G297" s="28"/>
      <c r="H297" s="28"/>
      <c r="I297" s="28"/>
      <c r="J297" s="28"/>
      <c r="K297" s="28"/>
    </row>
    <row r="298" spans="1:11" x14ac:dyDescent="0.25">
      <c r="A298" s="28"/>
      <c r="B298" s="28"/>
      <c r="C298" s="28"/>
      <c r="D298" s="28"/>
      <c r="E298" s="28"/>
      <c r="F298" s="28"/>
      <c r="G298" s="28"/>
      <c r="H298" s="28"/>
      <c r="I298" s="28"/>
      <c r="J298" s="28"/>
      <c r="K298" s="28"/>
    </row>
    <row r="299" spans="1:11" x14ac:dyDescent="0.25">
      <c r="A299" s="28"/>
      <c r="B299" s="28"/>
      <c r="C299" s="28"/>
      <c r="D299" s="28"/>
      <c r="E299" s="28"/>
      <c r="F299" s="28"/>
      <c r="G299" s="28"/>
      <c r="H299" s="28"/>
      <c r="I299" s="28"/>
      <c r="J299" s="28"/>
      <c r="K299" s="28"/>
    </row>
    <row r="300" spans="1:11" x14ac:dyDescent="0.25">
      <c r="A300" s="28"/>
      <c r="B300" s="28"/>
      <c r="C300" s="28"/>
      <c r="D300" s="28"/>
      <c r="E300" s="28"/>
      <c r="F300" s="28"/>
      <c r="G300" s="28"/>
      <c r="H300" s="28"/>
      <c r="I300" s="28"/>
      <c r="J300" s="28"/>
      <c r="K300" s="28"/>
    </row>
    <row r="301" spans="1:11" x14ac:dyDescent="0.25">
      <c r="A301" s="28"/>
      <c r="B301" s="28"/>
      <c r="C301" s="28"/>
      <c r="D301" s="28"/>
      <c r="E301" s="28"/>
      <c r="F301" s="28"/>
      <c r="G301" s="28"/>
      <c r="H301" s="28"/>
      <c r="I301" s="28"/>
      <c r="J301" s="28"/>
      <c r="K301" s="28"/>
    </row>
    <row r="302" spans="1:11" x14ac:dyDescent="0.25">
      <c r="A302" s="28"/>
      <c r="B302" s="28"/>
      <c r="C302" s="28"/>
      <c r="D302" s="28"/>
      <c r="E302" s="28"/>
      <c r="F302" s="28"/>
      <c r="G302" s="28"/>
      <c r="H302" s="28"/>
      <c r="I302" s="28"/>
      <c r="J302" s="28"/>
      <c r="K302" s="28"/>
    </row>
    <row r="303" spans="1:11" x14ac:dyDescent="0.25">
      <c r="A303" s="28"/>
      <c r="B303" s="28"/>
      <c r="C303" s="28"/>
      <c r="D303" s="28"/>
      <c r="E303" s="28"/>
      <c r="F303" s="28"/>
      <c r="G303" s="28"/>
      <c r="H303" s="28"/>
      <c r="I303" s="28"/>
      <c r="J303" s="28"/>
      <c r="K303" s="28"/>
    </row>
    <row r="304" spans="1:11" x14ac:dyDescent="0.25">
      <c r="A304" s="28"/>
      <c r="B304" s="28"/>
      <c r="C304" s="28"/>
      <c r="D304" s="28"/>
      <c r="E304" s="28"/>
      <c r="F304" s="28"/>
      <c r="G304" s="28"/>
      <c r="H304" s="28"/>
      <c r="I304" s="28"/>
      <c r="J304" s="28"/>
      <c r="K304" s="28"/>
    </row>
    <row r="305" spans="1:11" x14ac:dyDescent="0.25">
      <c r="A305" s="28"/>
      <c r="B305" s="28"/>
      <c r="C305" s="28"/>
      <c r="D305" s="28"/>
      <c r="E305" s="28"/>
      <c r="F305" s="28"/>
      <c r="G305" s="28"/>
      <c r="H305" s="28"/>
      <c r="I305" s="28"/>
      <c r="J305" s="28"/>
      <c r="K305" s="28"/>
    </row>
    <row r="306" spans="1:11" x14ac:dyDescent="0.25">
      <c r="A306" s="28"/>
      <c r="B306" s="28"/>
      <c r="C306" s="28"/>
      <c r="D306" s="28"/>
      <c r="E306" s="28"/>
      <c r="F306" s="28"/>
      <c r="G306" s="28"/>
      <c r="H306" s="28"/>
      <c r="I306" s="28"/>
      <c r="J306" s="28"/>
      <c r="K306" s="28"/>
    </row>
    <row r="307" spans="1:11" x14ac:dyDescent="0.25">
      <c r="A307" s="28"/>
      <c r="B307" s="28"/>
      <c r="C307" s="28"/>
      <c r="D307" s="28"/>
      <c r="E307" s="28"/>
      <c r="F307" s="28"/>
      <c r="G307" s="28"/>
      <c r="H307" s="28"/>
      <c r="I307" s="28"/>
      <c r="J307" s="28"/>
      <c r="K307" s="28"/>
    </row>
    <row r="308" spans="1:11" x14ac:dyDescent="0.25">
      <c r="A308" s="28"/>
      <c r="B308" s="28"/>
      <c r="C308" s="28"/>
      <c r="D308" s="28"/>
      <c r="E308" s="28"/>
      <c r="F308" s="28"/>
      <c r="G308" s="28"/>
      <c r="H308" s="28"/>
      <c r="I308" s="28"/>
      <c r="J308" s="28"/>
      <c r="K308" s="28"/>
    </row>
    <row r="309" spans="1:11" x14ac:dyDescent="0.25">
      <c r="A309" s="28"/>
      <c r="B309" s="28"/>
      <c r="C309" s="28"/>
      <c r="D309" s="28"/>
      <c r="E309" s="28"/>
      <c r="F309" s="28"/>
      <c r="G309" s="28"/>
      <c r="H309" s="28"/>
      <c r="I309" s="28"/>
      <c r="J309" s="28"/>
      <c r="K309" s="28"/>
    </row>
    <row r="310" spans="1:11" x14ac:dyDescent="0.25">
      <c r="A310" s="107" t="s">
        <v>0</v>
      </c>
      <c r="B310" s="108"/>
      <c r="C310" s="108"/>
      <c r="D310" s="108"/>
      <c r="E310" s="108"/>
      <c r="F310" s="108"/>
      <c r="G310" s="109"/>
      <c r="H310" s="28"/>
      <c r="I310" s="116" t="s">
        <v>1</v>
      </c>
      <c r="J310" s="148" t="str">
        <f>$J$6</f>
        <v>04567</v>
      </c>
      <c r="K310" s="119"/>
    </row>
    <row r="311" spans="1:11" x14ac:dyDescent="0.25">
      <c r="A311" s="110"/>
      <c r="B311" s="111"/>
      <c r="C311" s="111"/>
      <c r="D311" s="111"/>
      <c r="E311" s="111"/>
      <c r="F311" s="111"/>
      <c r="G311" s="112"/>
      <c r="H311" s="28"/>
      <c r="I311" s="117"/>
      <c r="J311" s="120"/>
      <c r="K311" s="121"/>
    </row>
    <row r="312" spans="1:11" x14ac:dyDescent="0.25">
      <c r="A312" s="110"/>
      <c r="B312" s="111"/>
      <c r="C312" s="111"/>
      <c r="D312" s="111"/>
      <c r="E312" s="111"/>
      <c r="F312" s="111"/>
      <c r="G312" s="112"/>
      <c r="H312" s="28"/>
      <c r="I312" s="122" t="s">
        <v>268</v>
      </c>
      <c r="J312" s="123"/>
      <c r="K312" s="124"/>
    </row>
    <row r="313" spans="1:11" x14ac:dyDescent="0.25">
      <c r="A313" s="113"/>
      <c r="B313" s="114"/>
      <c r="C313" s="114"/>
      <c r="D313" s="114"/>
      <c r="E313" s="114"/>
      <c r="F313" s="114"/>
      <c r="G313" s="115"/>
      <c r="H313" s="28"/>
      <c r="I313" s="125"/>
      <c r="J313" s="126"/>
      <c r="K313" s="127"/>
    </row>
    <row r="314" spans="1:11" x14ac:dyDescent="0.25">
      <c r="A314" s="28"/>
      <c r="B314" s="28"/>
      <c r="C314" s="28"/>
      <c r="D314" s="28"/>
      <c r="E314" s="28"/>
      <c r="F314" s="28"/>
      <c r="G314" s="28"/>
      <c r="H314" s="28"/>
      <c r="I314" s="28"/>
      <c r="J314" s="28"/>
      <c r="K314" s="28"/>
    </row>
    <row r="315" spans="1:11" ht="15.75" x14ac:dyDescent="0.25">
      <c r="A315" s="101" t="s">
        <v>136</v>
      </c>
      <c r="B315" s="101"/>
      <c r="C315" s="101"/>
      <c r="D315" s="101"/>
      <c r="E315" s="101"/>
      <c r="F315" s="101"/>
      <c r="G315" s="101"/>
      <c r="H315" s="101"/>
      <c r="I315" s="101"/>
      <c r="J315" s="101"/>
      <c r="K315" s="101"/>
    </row>
    <row r="316" spans="1:11" x14ac:dyDescent="0.25">
      <c r="A316" s="102" t="s">
        <v>115</v>
      </c>
      <c r="B316" s="102"/>
      <c r="C316" s="28"/>
      <c r="D316" s="28"/>
      <c r="E316" s="28"/>
      <c r="F316" s="28"/>
      <c r="G316" s="28"/>
      <c r="H316" s="28"/>
      <c r="I316" s="28"/>
      <c r="J316" s="28"/>
      <c r="K316" s="28"/>
    </row>
    <row r="317" spans="1:11" x14ac:dyDescent="0.25">
      <c r="A317" s="28"/>
      <c r="B317" s="28"/>
      <c r="C317" s="28"/>
      <c r="D317" s="28"/>
      <c r="E317" s="28"/>
      <c r="F317" s="28"/>
      <c r="G317" s="28"/>
      <c r="H317" s="28"/>
      <c r="I317" s="28"/>
      <c r="J317" s="28"/>
      <c r="K317" s="28"/>
    </row>
    <row r="318" spans="1:11" x14ac:dyDescent="0.25">
      <c r="A318" s="157" t="s">
        <v>137</v>
      </c>
      <c r="B318" s="157"/>
      <c r="C318" s="157"/>
      <c r="D318" s="157"/>
      <c r="E318" s="157"/>
      <c r="F318" s="157"/>
      <c r="G318" s="157"/>
      <c r="H318" s="157"/>
      <c r="I318" s="157"/>
      <c r="J318" s="157"/>
      <c r="K318" s="157"/>
    </row>
    <row r="319" spans="1:11" x14ac:dyDescent="0.25">
      <c r="A319" s="157"/>
      <c r="B319" s="157"/>
      <c r="C319" s="157"/>
      <c r="D319" s="157"/>
      <c r="E319" s="157"/>
      <c r="F319" s="157"/>
      <c r="G319" s="157"/>
      <c r="H319" s="157"/>
      <c r="I319" s="157"/>
      <c r="J319" s="157"/>
      <c r="K319" s="157"/>
    </row>
    <row r="320" spans="1:11" x14ac:dyDescent="0.25">
      <c r="A320" s="157"/>
      <c r="B320" s="157"/>
      <c r="C320" s="157"/>
      <c r="D320" s="157"/>
      <c r="E320" s="157"/>
      <c r="F320" s="157"/>
      <c r="G320" s="157"/>
      <c r="H320" s="157"/>
      <c r="I320" s="157"/>
      <c r="J320" s="157"/>
      <c r="K320" s="157"/>
    </row>
    <row r="321" spans="1:11" x14ac:dyDescent="0.25">
      <c r="A321" s="104" t="s">
        <v>138</v>
      </c>
      <c r="B321" s="104"/>
      <c r="C321" s="104"/>
      <c r="D321" s="104"/>
      <c r="E321" s="104"/>
      <c r="F321" s="104"/>
      <c r="G321" s="104"/>
      <c r="H321" s="104"/>
      <c r="I321" s="104"/>
      <c r="J321" s="104"/>
      <c r="K321" s="104"/>
    </row>
    <row r="322" spans="1:11" x14ac:dyDescent="0.25">
      <c r="A322" s="28"/>
      <c r="B322" s="28"/>
      <c r="C322" s="28"/>
      <c r="D322" s="28"/>
      <c r="E322" s="28"/>
      <c r="F322" s="28"/>
      <c r="G322" s="28"/>
      <c r="H322" s="28"/>
      <c r="I322" s="28"/>
      <c r="J322" s="28"/>
      <c r="K322" s="28"/>
    </row>
    <row r="323" spans="1:11" ht="27" customHeight="1" x14ac:dyDescent="0.25">
      <c r="A323" s="48" t="s">
        <v>12</v>
      </c>
      <c r="B323" s="160" t="s">
        <v>13</v>
      </c>
      <c r="C323" s="160"/>
      <c r="D323" s="160" t="s">
        <v>140</v>
      </c>
      <c r="E323" s="160"/>
      <c r="F323" s="160" t="s">
        <v>143</v>
      </c>
      <c r="G323" s="160"/>
      <c r="H323" s="160" t="s">
        <v>142</v>
      </c>
      <c r="I323" s="160"/>
      <c r="J323" s="160" t="s">
        <v>17</v>
      </c>
      <c r="K323" s="160"/>
    </row>
    <row r="324" spans="1:11" x14ac:dyDescent="0.25">
      <c r="A324" s="48"/>
      <c r="B324" s="160" t="s">
        <v>139</v>
      </c>
      <c r="C324" s="160"/>
      <c r="D324" s="160" t="s">
        <v>139</v>
      </c>
      <c r="E324" s="160"/>
      <c r="F324" s="160" t="s">
        <v>141</v>
      </c>
      <c r="G324" s="160"/>
      <c r="H324" s="160" t="s">
        <v>18</v>
      </c>
      <c r="I324" s="160"/>
      <c r="J324" s="160" t="s">
        <v>19</v>
      </c>
      <c r="K324" s="160"/>
    </row>
    <row r="325" spans="1:11" ht="19.149999999999999" customHeight="1" x14ac:dyDescent="0.25">
      <c r="A325" s="51" t="s">
        <v>116</v>
      </c>
      <c r="B325" s="161">
        <v>50</v>
      </c>
      <c r="C325" s="161"/>
      <c r="D325" s="163" t="str">
        <f>IF(Checks!$D$26="1",#REF!,"")</f>
        <v/>
      </c>
      <c r="E325" s="164"/>
      <c r="F325" s="169" t="e">
        <f>IF($K$409="LMX",0.1/100*150,IF($K$409="UPC3",0.01/100*150,0.01/100*150))</f>
        <v>#N/A</v>
      </c>
      <c r="G325" s="169"/>
      <c r="H325" s="162" t="str">
        <f>IF(Checks!$D$26="1",#REF!,"")</f>
        <v/>
      </c>
      <c r="I325" s="162"/>
      <c r="J325" s="133" t="e">
        <f t="shared" ref="J325:J339" si="12">IF($K$409="LMX",135*0.1/100,IF($K$409="ASX",150*0.5/100,150*0.5/100))</f>
        <v>#N/A</v>
      </c>
      <c r="K325" s="134"/>
    </row>
    <row r="326" spans="1:11" ht="19.149999999999999" customHeight="1" x14ac:dyDescent="0.25">
      <c r="A326" s="51" t="s">
        <v>117</v>
      </c>
      <c r="B326" s="161"/>
      <c r="C326" s="161"/>
      <c r="D326" s="165"/>
      <c r="E326" s="166"/>
      <c r="F326" s="169"/>
      <c r="G326" s="169"/>
      <c r="H326" s="162" t="str">
        <f>IF(Checks!$D$26="1",#REF!,"")</f>
        <v/>
      </c>
      <c r="I326" s="162"/>
      <c r="J326" s="133" t="e">
        <f t="shared" si="12"/>
        <v>#N/A</v>
      </c>
      <c r="K326" s="134"/>
    </row>
    <row r="327" spans="1:11" ht="19.149999999999999" customHeight="1" x14ac:dyDescent="0.25">
      <c r="A327" s="51" t="s">
        <v>118</v>
      </c>
      <c r="B327" s="161"/>
      <c r="C327" s="161"/>
      <c r="D327" s="167"/>
      <c r="E327" s="168"/>
      <c r="F327" s="169"/>
      <c r="G327" s="169"/>
      <c r="H327" s="162" t="str">
        <f>IF(Checks!$D$26="1",#REF!,"")</f>
        <v/>
      </c>
      <c r="I327" s="162"/>
      <c r="J327" s="133" t="e">
        <f t="shared" si="12"/>
        <v>#N/A</v>
      </c>
      <c r="K327" s="134"/>
    </row>
    <row r="328" spans="1:11" ht="19.149999999999999" customHeight="1" x14ac:dyDescent="0.25">
      <c r="A328" s="51" t="s">
        <v>116</v>
      </c>
      <c r="B328" s="161">
        <v>60</v>
      </c>
      <c r="C328" s="161"/>
      <c r="D328" s="163" t="str">
        <f>IF(Checks!$D$26="1",#REF!,"")</f>
        <v/>
      </c>
      <c r="E328" s="164"/>
      <c r="F328" s="169" t="e">
        <f>IF($K$409="LMX",0.1/100*150,IF($K$409="UPC3",0.01/100*150,0.01/100*150))</f>
        <v>#N/A</v>
      </c>
      <c r="G328" s="169"/>
      <c r="H328" s="162" t="str">
        <f>IF(Checks!$D$26="1",#REF!,"")</f>
        <v/>
      </c>
      <c r="I328" s="162"/>
      <c r="J328" s="133" t="e">
        <f t="shared" si="12"/>
        <v>#N/A</v>
      </c>
      <c r="K328" s="134"/>
    </row>
    <row r="329" spans="1:11" ht="19.149999999999999" customHeight="1" x14ac:dyDescent="0.25">
      <c r="A329" s="51" t="s">
        <v>117</v>
      </c>
      <c r="B329" s="161"/>
      <c r="C329" s="161"/>
      <c r="D329" s="165"/>
      <c r="E329" s="166"/>
      <c r="F329" s="169"/>
      <c r="G329" s="169"/>
      <c r="H329" s="162" t="str">
        <f>IF(Checks!$D$26="1",#REF!,"")</f>
        <v/>
      </c>
      <c r="I329" s="162"/>
      <c r="J329" s="133" t="e">
        <f t="shared" si="12"/>
        <v>#N/A</v>
      </c>
      <c r="K329" s="134"/>
    </row>
    <row r="330" spans="1:11" ht="19.149999999999999" customHeight="1" x14ac:dyDescent="0.25">
      <c r="A330" s="51" t="s">
        <v>118</v>
      </c>
      <c r="B330" s="161"/>
      <c r="C330" s="161"/>
      <c r="D330" s="167"/>
      <c r="E330" s="168"/>
      <c r="F330" s="169"/>
      <c r="G330" s="169"/>
      <c r="H330" s="162" t="str">
        <f>IF(Checks!$D$26="1",#REF!,"")</f>
        <v/>
      </c>
      <c r="I330" s="162"/>
      <c r="J330" s="133" t="e">
        <f t="shared" si="12"/>
        <v>#N/A</v>
      </c>
      <c r="K330" s="134"/>
    </row>
    <row r="331" spans="1:11" ht="19.149999999999999" customHeight="1" x14ac:dyDescent="0.25">
      <c r="A331" s="51" t="s">
        <v>116</v>
      </c>
      <c r="B331" s="161">
        <v>400</v>
      </c>
      <c r="C331" s="161"/>
      <c r="D331" s="163" t="str">
        <f>IF(Checks!$D$26="1",#REF!,"")</f>
        <v/>
      </c>
      <c r="E331" s="164"/>
      <c r="F331" s="169" t="e">
        <f>IF($K$409="LMX",0.1/100*1000,IF($K$409="UPC3",0.01/100*600,0.01/100*1000))</f>
        <v>#N/A</v>
      </c>
      <c r="G331" s="169"/>
      <c r="H331" s="162" t="str">
        <f>IF(Checks!$D$26="1",#REF!,"")</f>
        <v/>
      </c>
      <c r="I331" s="162"/>
      <c r="J331" s="133" t="e">
        <f t="shared" si="12"/>
        <v>#N/A</v>
      </c>
      <c r="K331" s="134"/>
    </row>
    <row r="332" spans="1:11" ht="19.149999999999999" customHeight="1" x14ac:dyDescent="0.25">
      <c r="A332" s="51" t="s">
        <v>117</v>
      </c>
      <c r="B332" s="161"/>
      <c r="C332" s="161"/>
      <c r="D332" s="165"/>
      <c r="E332" s="166"/>
      <c r="F332" s="169"/>
      <c r="G332" s="169"/>
      <c r="H332" s="162" t="str">
        <f>IF(Checks!$D$26="1",#REF!,"")</f>
        <v/>
      </c>
      <c r="I332" s="162"/>
      <c r="J332" s="133" t="e">
        <f t="shared" si="12"/>
        <v>#N/A</v>
      </c>
      <c r="K332" s="134"/>
    </row>
    <row r="333" spans="1:11" ht="19.149999999999999" customHeight="1" x14ac:dyDescent="0.25">
      <c r="A333" s="51" t="s">
        <v>118</v>
      </c>
      <c r="B333" s="161"/>
      <c r="C333" s="161"/>
      <c r="D333" s="167"/>
      <c r="E333" s="168"/>
      <c r="F333" s="169"/>
      <c r="G333" s="169"/>
      <c r="H333" s="162" t="str">
        <f>IF(Checks!$D$26="1",#REF!,"")</f>
        <v/>
      </c>
      <c r="I333" s="162"/>
      <c r="J333" s="133" t="e">
        <f t="shared" si="12"/>
        <v>#N/A</v>
      </c>
      <c r="K333" s="134"/>
    </row>
    <row r="334" spans="1:11" ht="19.149999999999999" customHeight="1" x14ac:dyDescent="0.25">
      <c r="A334" s="51" t="s">
        <v>116</v>
      </c>
      <c r="B334" s="161">
        <v>1000</v>
      </c>
      <c r="C334" s="161"/>
      <c r="D334" s="163" t="str">
        <f>IF(Checks!$D$26="1",#REF!,"")</f>
        <v/>
      </c>
      <c r="E334" s="164"/>
      <c r="F334" s="169" t="e">
        <f>IF($K$409="LMX",0.1/100*5000,IF($K$409="UPC3",0.01/100*1200,0.01/100*5000))</f>
        <v>#N/A</v>
      </c>
      <c r="G334" s="169"/>
      <c r="H334" s="162" t="str">
        <f>IF(Checks!$D$26="1",#REF!,"")</f>
        <v/>
      </c>
      <c r="I334" s="162"/>
      <c r="J334" s="133" t="e">
        <f t="shared" si="12"/>
        <v>#N/A</v>
      </c>
      <c r="K334" s="134"/>
    </row>
    <row r="335" spans="1:11" ht="19.149999999999999" customHeight="1" x14ac:dyDescent="0.25">
      <c r="A335" s="51" t="s">
        <v>117</v>
      </c>
      <c r="B335" s="161"/>
      <c r="C335" s="161"/>
      <c r="D335" s="165"/>
      <c r="E335" s="166"/>
      <c r="F335" s="169"/>
      <c r="G335" s="169"/>
      <c r="H335" s="162" t="str">
        <f>IF(Checks!$D$26="1",#REF!,"")</f>
        <v/>
      </c>
      <c r="I335" s="162"/>
      <c r="J335" s="133" t="e">
        <f t="shared" si="12"/>
        <v>#N/A</v>
      </c>
      <c r="K335" s="134"/>
    </row>
    <row r="336" spans="1:11" ht="19.149999999999999" customHeight="1" x14ac:dyDescent="0.25">
      <c r="A336" s="51" t="s">
        <v>118</v>
      </c>
      <c r="B336" s="161"/>
      <c r="C336" s="161"/>
      <c r="D336" s="167"/>
      <c r="E336" s="168"/>
      <c r="F336" s="169"/>
      <c r="G336" s="169"/>
      <c r="H336" s="162" t="str">
        <f>IF(Checks!$D$26="1",#REF!,"")</f>
        <v/>
      </c>
      <c r="I336" s="162"/>
      <c r="J336" s="133" t="e">
        <f t="shared" si="12"/>
        <v>#N/A</v>
      </c>
      <c r="K336" s="134"/>
    </row>
    <row r="337" spans="1:11" ht="19.149999999999999" customHeight="1" x14ac:dyDescent="0.25">
      <c r="A337" s="51" t="s">
        <v>116</v>
      </c>
      <c r="B337" s="161" t="e">
        <f>VLOOKUP(D28,'3PhT data'!A:O,7,0)</f>
        <v>#N/A</v>
      </c>
      <c r="C337" s="161"/>
      <c r="D337" s="163" t="str">
        <f>IF(Checks!$D$26="1",#REF!,"")</f>
        <v/>
      </c>
      <c r="E337" s="164"/>
      <c r="F337" s="169" t="e">
        <f>IF($K$409="LMX",0.1/100*5000,IF($K$409="UPC3",0.01/100*1200,0.01/100*5000))</f>
        <v>#N/A</v>
      </c>
      <c r="G337" s="169"/>
      <c r="H337" s="162" t="str">
        <f>IF(Checks!$D$26="1",#REF!,"")</f>
        <v/>
      </c>
      <c r="I337" s="162"/>
      <c r="J337" s="133" t="e">
        <f t="shared" si="12"/>
        <v>#N/A</v>
      </c>
      <c r="K337" s="134"/>
    </row>
    <row r="338" spans="1:11" ht="19.149999999999999" customHeight="1" x14ac:dyDescent="0.25">
      <c r="A338" s="51" t="s">
        <v>117</v>
      </c>
      <c r="B338" s="161"/>
      <c r="C338" s="161"/>
      <c r="D338" s="165"/>
      <c r="E338" s="166"/>
      <c r="F338" s="169"/>
      <c r="G338" s="169"/>
      <c r="H338" s="162" t="str">
        <f>IF(Checks!$D$26="1",#REF!,"")</f>
        <v/>
      </c>
      <c r="I338" s="162"/>
      <c r="J338" s="133" t="e">
        <f t="shared" si="12"/>
        <v>#N/A</v>
      </c>
      <c r="K338" s="134"/>
    </row>
    <row r="339" spans="1:11" ht="19.149999999999999" customHeight="1" x14ac:dyDescent="0.25">
      <c r="A339" s="51" t="s">
        <v>118</v>
      </c>
      <c r="B339" s="161"/>
      <c r="C339" s="161"/>
      <c r="D339" s="167"/>
      <c r="E339" s="168"/>
      <c r="F339" s="169"/>
      <c r="G339" s="169"/>
      <c r="H339" s="162" t="str">
        <f>IF(Checks!$D$26="1",#REF!,"")</f>
        <v/>
      </c>
      <c r="I339" s="162"/>
      <c r="J339" s="133" t="e">
        <f t="shared" si="12"/>
        <v>#N/A</v>
      </c>
      <c r="K339" s="134"/>
    </row>
    <row r="340" spans="1:11" x14ac:dyDescent="0.25">
      <c r="A340" s="28"/>
      <c r="B340" s="28"/>
      <c r="C340" s="28"/>
      <c r="D340" s="28"/>
      <c r="E340" s="28"/>
      <c r="F340" s="28"/>
      <c r="G340" s="28"/>
      <c r="H340" s="28"/>
      <c r="I340" s="28"/>
      <c r="J340" s="28"/>
      <c r="K340" s="28"/>
    </row>
    <row r="341" spans="1:11" x14ac:dyDescent="0.25">
      <c r="A341" s="5" t="s">
        <v>124</v>
      </c>
      <c r="B341" s="5"/>
      <c r="C341" s="5"/>
      <c r="D341" s="5" t="s">
        <v>125</v>
      </c>
      <c r="E341" s="5"/>
      <c r="F341" s="28"/>
      <c r="G341" s="28"/>
      <c r="H341" s="28"/>
      <c r="I341" s="28"/>
      <c r="J341" s="28"/>
      <c r="K341" s="28"/>
    </row>
    <row r="342" spans="1:11" x14ac:dyDescent="0.25">
      <c r="A342" s="28"/>
      <c r="B342" s="28"/>
      <c r="C342" s="28"/>
      <c r="D342" s="28" t="s">
        <v>144</v>
      </c>
      <c r="E342" s="28"/>
      <c r="F342" s="28"/>
      <c r="G342" s="28"/>
      <c r="H342" s="28"/>
      <c r="I342" s="28"/>
      <c r="J342" s="28"/>
      <c r="K342" s="28"/>
    </row>
    <row r="343" spans="1:11" x14ac:dyDescent="0.25">
      <c r="A343" s="28"/>
      <c r="B343" s="28"/>
      <c r="C343" s="28"/>
      <c r="D343" s="28"/>
      <c r="E343" s="28"/>
      <c r="F343" s="28"/>
      <c r="G343" s="28"/>
      <c r="H343" s="28"/>
      <c r="I343" s="28"/>
      <c r="J343" s="28"/>
      <c r="K343" s="28"/>
    </row>
    <row r="344" spans="1:11" x14ac:dyDescent="0.25">
      <c r="A344" s="28"/>
      <c r="B344" s="28"/>
      <c r="C344" s="28"/>
      <c r="D344" s="28"/>
      <c r="E344" s="28"/>
      <c r="F344" s="28"/>
      <c r="G344" s="28"/>
      <c r="H344" s="28"/>
      <c r="I344" s="28"/>
      <c r="J344" s="28"/>
      <c r="K344" s="28"/>
    </row>
    <row r="345" spans="1:11" x14ac:dyDescent="0.25">
      <c r="A345" s="28"/>
      <c r="B345" s="28"/>
      <c r="C345" s="28"/>
      <c r="D345" s="28"/>
      <c r="E345" s="28"/>
      <c r="F345" s="28"/>
      <c r="G345" s="28"/>
      <c r="H345" s="28"/>
      <c r="I345" s="28"/>
      <c r="J345" s="28"/>
      <c r="K345" s="28"/>
    </row>
    <row r="346" spans="1:11" x14ac:dyDescent="0.25">
      <c r="A346" s="28"/>
      <c r="B346" s="28"/>
      <c r="C346" s="28"/>
      <c r="D346" s="28"/>
      <c r="E346" s="28"/>
      <c r="F346" s="28"/>
      <c r="G346" s="28"/>
      <c r="H346" s="28"/>
      <c r="I346" s="28"/>
      <c r="J346" s="28"/>
      <c r="K346" s="28"/>
    </row>
    <row r="347" spans="1:11" x14ac:dyDescent="0.25">
      <c r="A347" s="28"/>
      <c r="B347" s="28"/>
      <c r="C347" s="28"/>
      <c r="D347" s="28"/>
      <c r="E347" s="28"/>
      <c r="F347" s="28"/>
      <c r="G347" s="28"/>
      <c r="H347" s="28"/>
      <c r="I347" s="28"/>
      <c r="J347" s="28"/>
      <c r="K347" s="28"/>
    </row>
    <row r="348" spans="1:11" x14ac:dyDescent="0.25">
      <c r="A348" s="28"/>
      <c r="B348" s="28"/>
      <c r="C348" s="28"/>
      <c r="D348" s="28"/>
      <c r="E348" s="28"/>
      <c r="F348" s="28"/>
      <c r="G348" s="28"/>
      <c r="H348" s="28"/>
      <c r="I348" s="28"/>
      <c r="J348" s="28"/>
      <c r="K348" s="28"/>
    </row>
    <row r="349" spans="1:11" x14ac:dyDescent="0.25">
      <c r="A349" s="28"/>
      <c r="B349" s="28"/>
      <c r="C349" s="28"/>
      <c r="D349" s="28"/>
      <c r="E349" s="28"/>
      <c r="F349" s="28"/>
      <c r="G349" s="28"/>
      <c r="H349" s="28"/>
      <c r="I349" s="28"/>
      <c r="J349" s="28"/>
      <c r="K349" s="28"/>
    </row>
    <row r="350" spans="1:11" x14ac:dyDescent="0.25">
      <c r="A350" s="28"/>
      <c r="B350" s="28"/>
      <c r="C350" s="28"/>
      <c r="D350" s="28"/>
      <c r="E350" s="28"/>
      <c r="F350" s="28"/>
      <c r="G350" s="28"/>
      <c r="H350" s="28"/>
      <c r="I350" s="28"/>
      <c r="J350" s="28"/>
      <c r="K350" s="28"/>
    </row>
    <row r="351" spans="1:11" x14ac:dyDescent="0.25">
      <c r="A351" s="28"/>
      <c r="B351" s="28"/>
      <c r="C351" s="28"/>
      <c r="D351" s="28"/>
      <c r="E351" s="28"/>
      <c r="F351" s="28"/>
      <c r="G351" s="28"/>
      <c r="H351" s="28"/>
      <c r="I351" s="28"/>
      <c r="J351" s="28"/>
      <c r="K351" s="28"/>
    </row>
    <row r="352" spans="1:11" x14ac:dyDescent="0.25">
      <c r="A352" s="28"/>
      <c r="B352" s="28"/>
      <c r="C352" s="28"/>
      <c r="D352" s="28"/>
      <c r="E352" s="28"/>
      <c r="F352" s="28"/>
      <c r="G352" s="28"/>
      <c r="H352" s="28"/>
      <c r="I352" s="28"/>
      <c r="J352" s="28"/>
      <c r="K352" s="28"/>
    </row>
    <row r="353" spans="1:11" x14ac:dyDescent="0.25">
      <c r="A353" s="28"/>
      <c r="B353" s="28"/>
      <c r="C353" s="28"/>
      <c r="D353" s="28"/>
      <c r="E353" s="28"/>
      <c r="F353" s="28"/>
      <c r="G353" s="28"/>
      <c r="H353" s="28"/>
      <c r="I353" s="28"/>
      <c r="J353" s="28"/>
      <c r="K353" s="28"/>
    </row>
    <row r="354" spans="1:11" x14ac:dyDescent="0.25">
      <c r="A354" s="28"/>
      <c r="B354" s="28"/>
      <c r="C354" s="28"/>
      <c r="D354" s="28"/>
      <c r="E354" s="28"/>
      <c r="F354" s="28"/>
      <c r="G354" s="28"/>
      <c r="H354" s="28"/>
      <c r="I354" s="28"/>
      <c r="J354" s="28"/>
      <c r="K354" s="28"/>
    </row>
    <row r="355" spans="1:11" x14ac:dyDescent="0.25">
      <c r="A355" s="28"/>
      <c r="B355" s="28"/>
      <c r="C355" s="28"/>
      <c r="D355" s="28"/>
      <c r="E355" s="28"/>
      <c r="F355" s="28"/>
      <c r="G355" s="28"/>
      <c r="H355" s="28"/>
      <c r="I355" s="28"/>
      <c r="J355" s="28"/>
      <c r="K355" s="28"/>
    </row>
    <row r="356" spans="1:11" x14ac:dyDescent="0.25">
      <c r="A356" s="28"/>
      <c r="B356" s="28"/>
      <c r="C356" s="28"/>
      <c r="D356" s="28"/>
      <c r="E356" s="28"/>
      <c r="F356" s="28"/>
      <c r="G356" s="28"/>
      <c r="H356" s="28"/>
      <c r="I356" s="28"/>
      <c r="J356" s="28"/>
      <c r="K356" s="28"/>
    </row>
    <row r="357" spans="1:11" x14ac:dyDescent="0.25">
      <c r="A357" s="28"/>
      <c r="B357" s="28"/>
      <c r="C357" s="28"/>
      <c r="D357" s="28"/>
      <c r="E357" s="28"/>
      <c r="F357" s="28"/>
      <c r="G357" s="28"/>
      <c r="H357" s="28"/>
      <c r="I357" s="28"/>
      <c r="J357" s="28"/>
      <c r="K357" s="28"/>
    </row>
    <row r="358" spans="1:11" x14ac:dyDescent="0.25">
      <c r="A358" s="107" t="s">
        <v>0</v>
      </c>
      <c r="B358" s="108"/>
      <c r="C358" s="108"/>
      <c r="D358" s="108"/>
      <c r="E358" s="108"/>
      <c r="F358" s="108"/>
      <c r="G358" s="109"/>
      <c r="H358" s="28"/>
      <c r="I358" s="116" t="s">
        <v>1</v>
      </c>
      <c r="J358" s="148" t="str">
        <f>$J$6</f>
        <v>04567</v>
      </c>
      <c r="K358" s="119"/>
    </row>
    <row r="359" spans="1:11" x14ac:dyDescent="0.25">
      <c r="A359" s="110"/>
      <c r="B359" s="111"/>
      <c r="C359" s="111"/>
      <c r="D359" s="111"/>
      <c r="E359" s="111"/>
      <c r="F359" s="111"/>
      <c r="G359" s="112"/>
      <c r="H359" s="28"/>
      <c r="I359" s="117"/>
      <c r="J359" s="120"/>
      <c r="K359" s="121"/>
    </row>
    <row r="360" spans="1:11" x14ac:dyDescent="0.25">
      <c r="A360" s="110"/>
      <c r="B360" s="111"/>
      <c r="C360" s="111"/>
      <c r="D360" s="111"/>
      <c r="E360" s="111"/>
      <c r="F360" s="111"/>
      <c r="G360" s="112"/>
      <c r="H360" s="28"/>
      <c r="I360" s="122" t="s">
        <v>269</v>
      </c>
      <c r="J360" s="123"/>
      <c r="K360" s="124"/>
    </row>
    <row r="361" spans="1:11" x14ac:dyDescent="0.25">
      <c r="A361" s="113"/>
      <c r="B361" s="114"/>
      <c r="C361" s="114"/>
      <c r="D361" s="114"/>
      <c r="E361" s="114"/>
      <c r="F361" s="114"/>
      <c r="G361" s="115"/>
      <c r="H361" s="28"/>
      <c r="I361" s="125"/>
      <c r="J361" s="126"/>
      <c r="K361" s="127"/>
    </row>
    <row r="362" spans="1:11" x14ac:dyDescent="0.25">
      <c r="A362" s="28"/>
      <c r="B362" s="28"/>
      <c r="C362" s="28"/>
      <c r="D362" s="28"/>
      <c r="E362" s="28"/>
      <c r="F362" s="28"/>
      <c r="G362" s="28"/>
      <c r="H362" s="28"/>
      <c r="I362" s="28"/>
      <c r="J362" s="28"/>
      <c r="K362" s="28"/>
    </row>
    <row r="363" spans="1:11" ht="15.75" x14ac:dyDescent="0.25">
      <c r="A363" s="101" t="s">
        <v>147</v>
      </c>
      <c r="B363" s="101"/>
      <c r="C363" s="101"/>
      <c r="D363" s="101"/>
      <c r="E363" s="101"/>
      <c r="F363" s="101"/>
      <c r="G363" s="101"/>
      <c r="H363" s="101"/>
      <c r="I363" s="101"/>
      <c r="J363" s="101"/>
      <c r="K363" s="101"/>
    </row>
    <row r="364" spans="1:11" x14ac:dyDescent="0.25">
      <c r="A364" s="102" t="s">
        <v>115</v>
      </c>
      <c r="B364" s="102"/>
      <c r="C364" s="28"/>
      <c r="D364" s="28"/>
      <c r="E364" s="28"/>
      <c r="F364" s="28"/>
      <c r="G364" s="28"/>
      <c r="H364" s="28"/>
      <c r="I364" s="28"/>
      <c r="J364" s="28"/>
      <c r="K364" s="28"/>
    </row>
    <row r="365" spans="1:11" x14ac:dyDescent="0.25">
      <c r="A365" s="28"/>
      <c r="B365" s="28"/>
      <c r="C365" s="28"/>
      <c r="D365" s="28"/>
      <c r="E365" s="28"/>
      <c r="F365" s="28"/>
      <c r="G365" s="28"/>
      <c r="H365" s="28"/>
      <c r="I365" s="28"/>
      <c r="J365" s="28"/>
      <c r="K365" s="28"/>
    </row>
    <row r="366" spans="1:11" x14ac:dyDescent="0.25">
      <c r="A366" s="157" t="s">
        <v>146</v>
      </c>
      <c r="B366" s="157"/>
      <c r="C366" s="157"/>
      <c r="D366" s="157"/>
      <c r="E366" s="157"/>
      <c r="F366" s="157"/>
      <c r="G366" s="157"/>
      <c r="H366" s="157"/>
      <c r="I366" s="157"/>
      <c r="J366" s="157"/>
      <c r="K366" s="157"/>
    </row>
    <row r="367" spans="1:11" x14ac:dyDescent="0.25">
      <c r="A367" s="157"/>
      <c r="B367" s="157"/>
      <c r="C367" s="157"/>
      <c r="D367" s="157"/>
      <c r="E367" s="157"/>
      <c r="F367" s="157"/>
      <c r="G367" s="157"/>
      <c r="H367" s="157"/>
      <c r="I367" s="157"/>
      <c r="J367" s="157"/>
      <c r="K367" s="157"/>
    </row>
    <row r="368" spans="1:11" x14ac:dyDescent="0.25">
      <c r="A368" s="157"/>
      <c r="B368" s="157"/>
      <c r="C368" s="157"/>
      <c r="D368" s="157"/>
      <c r="E368" s="157"/>
      <c r="F368" s="157"/>
      <c r="G368" s="157"/>
      <c r="H368" s="157"/>
      <c r="I368" s="157"/>
      <c r="J368" s="157"/>
      <c r="K368" s="157"/>
    </row>
    <row r="369" spans="1:11" x14ac:dyDescent="0.25">
      <c r="A369" s="104" t="s">
        <v>196</v>
      </c>
      <c r="B369" s="104"/>
      <c r="C369" s="104"/>
      <c r="D369" s="104"/>
      <c r="E369" s="104"/>
      <c r="F369" s="104"/>
      <c r="G369" s="104"/>
      <c r="H369" s="104"/>
      <c r="I369" s="104"/>
      <c r="J369" s="104"/>
      <c r="K369" s="104"/>
    </row>
    <row r="370" spans="1:11" x14ac:dyDescent="0.25">
      <c r="A370" s="54" t="str">
        <f>IF(E25="A","Frequency 400Hz.","Frequency 60Hz.")</f>
        <v>Frequency 400Hz.</v>
      </c>
      <c r="B370" s="54"/>
      <c r="C370" s="54"/>
      <c r="D370" s="54"/>
      <c r="E370" s="54"/>
      <c r="F370" s="54"/>
      <c r="G370" s="54"/>
      <c r="H370" s="54"/>
      <c r="I370" s="54"/>
      <c r="J370" s="54"/>
      <c r="K370" s="54"/>
    </row>
    <row r="371" spans="1:11" x14ac:dyDescent="0.25">
      <c r="A371" s="28"/>
      <c r="B371" s="28"/>
      <c r="C371" s="28"/>
      <c r="D371" s="28"/>
      <c r="E371" s="28"/>
      <c r="F371" s="28"/>
      <c r="G371" s="28"/>
      <c r="H371" s="28"/>
      <c r="I371" s="28"/>
      <c r="J371" s="28"/>
      <c r="K371" s="28"/>
    </row>
    <row r="372" spans="1:11" ht="27" customHeight="1" x14ac:dyDescent="0.25">
      <c r="A372" s="160" t="s">
        <v>12</v>
      </c>
      <c r="B372" s="160"/>
      <c r="C372" s="187" t="s">
        <v>152</v>
      </c>
      <c r="D372" s="188"/>
      <c r="E372" s="189"/>
      <c r="F372" s="160" t="s">
        <v>151</v>
      </c>
      <c r="G372" s="160"/>
      <c r="H372" s="188" t="s">
        <v>270</v>
      </c>
      <c r="I372" s="189"/>
      <c r="J372" s="187" t="s">
        <v>150</v>
      </c>
      <c r="K372" s="189"/>
    </row>
    <row r="373" spans="1:11" ht="19.149999999999999" customHeight="1" x14ac:dyDescent="0.25">
      <c r="A373" s="160"/>
      <c r="B373" s="160"/>
      <c r="C373" s="187" t="s">
        <v>153</v>
      </c>
      <c r="D373" s="188"/>
      <c r="E373" s="189"/>
      <c r="F373" s="187" t="s">
        <v>153</v>
      </c>
      <c r="G373" s="189"/>
      <c r="H373" s="187" t="s">
        <v>153</v>
      </c>
      <c r="I373" s="189"/>
      <c r="J373" s="187" t="s">
        <v>154</v>
      </c>
      <c r="K373" s="189"/>
    </row>
    <row r="374" spans="1:11" ht="19.149999999999999" customHeight="1" x14ac:dyDescent="0.25">
      <c r="A374" s="170" t="s">
        <v>116</v>
      </c>
      <c r="B374" s="170"/>
      <c r="C374" s="171" t="e">
        <f>VLOOKUP($D$28,'3PhT data'!A:X,8,0)</f>
        <v>#N/A</v>
      </c>
      <c r="D374" s="172"/>
      <c r="E374" s="173"/>
      <c r="F374" s="171"/>
      <c r="G374" s="173"/>
      <c r="H374" s="171" t="e">
        <f t="shared" ref="H374:H391" si="13">IF(C374&lt;=$C$389/$D$32,IF(F374="","",F374),"N/A")</f>
        <v>#N/A</v>
      </c>
      <c r="I374" s="173"/>
      <c r="J374" s="171" t="e">
        <f>IF($K$409="LMX",VLOOKUP($B$410,'3PhT data'!A:AC,17,0)*0.1/100,IF($K$409="UPC3",VLOOKUP($B$410,'3PhT data'!A:AC,20,0)*0.2/100,VLOOKUP($B$410,'3PhT data'!A:AC,20,0)*0.1/100+0.25/100*C374))</f>
        <v>#N/A</v>
      </c>
      <c r="K374" s="173"/>
    </row>
    <row r="375" spans="1:11" ht="19.149999999999999" customHeight="1" x14ac:dyDescent="0.25">
      <c r="A375" s="170" t="s">
        <v>117</v>
      </c>
      <c r="B375" s="170"/>
      <c r="C375" s="171" t="e">
        <f>VLOOKUP($D$28,'3PhT data'!A:X,8,0)</f>
        <v>#N/A</v>
      </c>
      <c r="D375" s="172"/>
      <c r="E375" s="173"/>
      <c r="F375" s="171"/>
      <c r="G375" s="173"/>
      <c r="H375" s="171" t="e">
        <f t="shared" si="13"/>
        <v>#N/A</v>
      </c>
      <c r="I375" s="173"/>
      <c r="J375" s="171" t="e">
        <f>IF($K$409="LMX",VLOOKUP($B$410,'3PhT data'!A:AC,17,0)*0.1/100,IF($K$409="UPC3",VLOOKUP($B$410,'3PhT data'!A:AC,20,0)*0.2/100,VLOOKUP($B$410,'3PhT data'!A:AC,20,0)*0.1/100+0.25/100*C375))</f>
        <v>#N/A</v>
      </c>
      <c r="K375" s="173"/>
    </row>
    <row r="376" spans="1:11" ht="19.149999999999999" customHeight="1" x14ac:dyDescent="0.25">
      <c r="A376" s="170" t="s">
        <v>118</v>
      </c>
      <c r="B376" s="170"/>
      <c r="C376" s="171" t="e">
        <f>VLOOKUP($D$28,'3PhT data'!A:X,8,0)</f>
        <v>#N/A</v>
      </c>
      <c r="D376" s="172"/>
      <c r="E376" s="173"/>
      <c r="F376" s="171"/>
      <c r="G376" s="173"/>
      <c r="H376" s="171" t="e">
        <f t="shared" si="13"/>
        <v>#N/A</v>
      </c>
      <c r="I376" s="173"/>
      <c r="J376" s="171" t="e">
        <f>IF($K$409="LMX",VLOOKUP($B$410,'3PhT data'!A:AC,17,0)*0.1/100,IF($K$409="UPC3",VLOOKUP($B$410,'3PhT data'!A:AC,20,0)*0.2/100,VLOOKUP($B$410,'3PhT data'!A:AC,20,0)*0.1/100+0.25/100*C376))</f>
        <v>#N/A</v>
      </c>
      <c r="K376" s="173"/>
    </row>
    <row r="377" spans="1:11" ht="19.149999999999999" customHeight="1" x14ac:dyDescent="0.25">
      <c r="A377" s="170" t="s">
        <v>116</v>
      </c>
      <c r="B377" s="170"/>
      <c r="C377" s="171" t="e">
        <f>VLOOKUP($D$28,'3PhT data'!A:X,9,0)</f>
        <v>#N/A</v>
      </c>
      <c r="D377" s="172"/>
      <c r="E377" s="173"/>
      <c r="F377" s="171"/>
      <c r="G377" s="173"/>
      <c r="H377" s="171" t="e">
        <f t="shared" si="13"/>
        <v>#N/A</v>
      </c>
      <c r="I377" s="173"/>
      <c r="J377" s="171" t="e">
        <f>IF($K$409="LMX",VLOOKUP($B$410,'3PhT data'!A:AC,17,0)*0.1/100,IF($K$409="UPC3",VLOOKUP($B$410,'3PhT data'!A:AC,20,0)*0.2/100,VLOOKUP($B$410,'3PhT data'!A:AC,20,0)*0.1/100+0.25/100*C377))</f>
        <v>#N/A</v>
      </c>
      <c r="K377" s="173"/>
    </row>
    <row r="378" spans="1:11" ht="19.149999999999999" customHeight="1" x14ac:dyDescent="0.25">
      <c r="A378" s="170" t="s">
        <v>117</v>
      </c>
      <c r="B378" s="170"/>
      <c r="C378" s="171" t="e">
        <f>VLOOKUP($D$28,'3PhT data'!A:X,9,0)</f>
        <v>#N/A</v>
      </c>
      <c r="D378" s="172"/>
      <c r="E378" s="173"/>
      <c r="F378" s="171"/>
      <c r="G378" s="173"/>
      <c r="H378" s="171" t="e">
        <f t="shared" si="13"/>
        <v>#N/A</v>
      </c>
      <c r="I378" s="173"/>
      <c r="J378" s="171" t="e">
        <f>IF($K$409="LMX",VLOOKUP($B$410,'3PhT data'!A:AC,17,0)*0.1/100,IF($K$409="UPC3",VLOOKUP($B$410,'3PhT data'!A:AC,20,0)*0.2/100,VLOOKUP($B$410,'3PhT data'!A:AC,20,0)*0.1/100+0.25/100*C378))</f>
        <v>#N/A</v>
      </c>
      <c r="K378" s="173"/>
    </row>
    <row r="379" spans="1:11" ht="19.149999999999999" customHeight="1" x14ac:dyDescent="0.25">
      <c r="A379" s="170" t="s">
        <v>118</v>
      </c>
      <c r="B379" s="170"/>
      <c r="C379" s="171" t="e">
        <f>VLOOKUP($D$28,'3PhT data'!A:X,9,0)</f>
        <v>#N/A</v>
      </c>
      <c r="D379" s="172"/>
      <c r="E379" s="173"/>
      <c r="F379" s="171"/>
      <c r="G379" s="173"/>
      <c r="H379" s="171" t="e">
        <f t="shared" si="13"/>
        <v>#N/A</v>
      </c>
      <c r="I379" s="173"/>
      <c r="J379" s="171" t="e">
        <f>IF($K$409="LMX",VLOOKUP($B$410,'3PhT data'!A:AC,17,0)*0.1/100,IF($K$409="UPC3",VLOOKUP($B$410,'3PhT data'!A:AC,20,0)*0.2/100,VLOOKUP($B$410,'3PhT data'!A:AC,20,0)*0.1/100+0.25/100*C379))</f>
        <v>#N/A</v>
      </c>
      <c r="K379" s="173"/>
    </row>
    <row r="380" spans="1:11" ht="19.149999999999999" customHeight="1" x14ac:dyDescent="0.25">
      <c r="A380" s="170" t="s">
        <v>116</v>
      </c>
      <c r="B380" s="170"/>
      <c r="C380" s="171" t="e">
        <f>VLOOKUP($D$28,'3PhT data'!A:X,10,0)</f>
        <v>#N/A</v>
      </c>
      <c r="D380" s="172"/>
      <c r="E380" s="173"/>
      <c r="F380" s="171"/>
      <c r="G380" s="173"/>
      <c r="H380" s="171" t="e">
        <f t="shared" si="13"/>
        <v>#N/A</v>
      </c>
      <c r="I380" s="173"/>
      <c r="J380" s="171" t="e">
        <f>IF($K$409="LMX",VLOOKUP($B$410,'3PhT data'!A:AC,17,0)*0.1/100,IF($K$409="UPC3",VLOOKUP($B$410,'3PhT data'!A:AC,20,0)*0.2/100,VLOOKUP($B$410,'3PhT data'!A:AC,20,0)*0.1/100+0.25/100*C380))</f>
        <v>#N/A</v>
      </c>
      <c r="K380" s="173"/>
    </row>
    <row r="381" spans="1:11" ht="19.149999999999999" customHeight="1" x14ac:dyDescent="0.25">
      <c r="A381" s="170" t="s">
        <v>117</v>
      </c>
      <c r="B381" s="170"/>
      <c r="C381" s="171" t="e">
        <f>VLOOKUP($D$28,'3PhT data'!A:X,10,0)</f>
        <v>#N/A</v>
      </c>
      <c r="D381" s="172"/>
      <c r="E381" s="173"/>
      <c r="F381" s="171"/>
      <c r="G381" s="173"/>
      <c r="H381" s="171" t="e">
        <f t="shared" si="13"/>
        <v>#N/A</v>
      </c>
      <c r="I381" s="173"/>
      <c r="J381" s="171" t="e">
        <f>IF($K$409="LMX",VLOOKUP($B$410,'3PhT data'!A:AC,17,0)*0.1/100,IF($K$409="UPC3",VLOOKUP($B$410,'3PhT data'!A:AC,20,0)*0.2/100,VLOOKUP($B$410,'3PhT data'!A:AC,20,0)*0.1/100+0.25/100*C381))</f>
        <v>#N/A</v>
      </c>
      <c r="K381" s="173"/>
    </row>
    <row r="382" spans="1:11" ht="19.149999999999999" customHeight="1" x14ac:dyDescent="0.25">
      <c r="A382" s="170" t="s">
        <v>118</v>
      </c>
      <c r="B382" s="170"/>
      <c r="C382" s="171" t="e">
        <f>VLOOKUP($D$28,'3PhT data'!A:X,10,0)</f>
        <v>#N/A</v>
      </c>
      <c r="D382" s="172"/>
      <c r="E382" s="173"/>
      <c r="F382" s="171"/>
      <c r="G382" s="173"/>
      <c r="H382" s="171" t="e">
        <f t="shared" si="13"/>
        <v>#N/A</v>
      </c>
      <c r="I382" s="173"/>
      <c r="J382" s="171" t="e">
        <f>IF($K$409="LMX",VLOOKUP($B$410,'3PhT data'!A:AC,17,0)*0.1/100,IF($K$409="UPC3",VLOOKUP($B$410,'3PhT data'!A:AC,20,0)*0.2/100,VLOOKUP($B$410,'3PhT data'!A:AC,20,0)*0.1/100+0.25/100*C382))</f>
        <v>#N/A</v>
      </c>
      <c r="K382" s="173"/>
    </row>
    <row r="383" spans="1:11" ht="19.149999999999999" customHeight="1" x14ac:dyDescent="0.25">
      <c r="A383" s="170" t="s">
        <v>116</v>
      </c>
      <c r="B383" s="170"/>
      <c r="C383" s="171" t="e">
        <f>VLOOKUP($D$28,'3PhT data'!A:X,11,0)</f>
        <v>#N/A</v>
      </c>
      <c r="D383" s="172"/>
      <c r="E383" s="173"/>
      <c r="F383" s="171"/>
      <c r="G383" s="173"/>
      <c r="H383" s="171" t="e">
        <f t="shared" si="13"/>
        <v>#N/A</v>
      </c>
      <c r="I383" s="173"/>
      <c r="J383" s="171" t="e">
        <f>IF($K$409="LMX",VLOOKUP($B$410,'3PhT data'!A:AC,17,0)*0.1/100,IF($K$409="UPC3",VLOOKUP($B$410,'3PhT data'!A:AC,20,0)*0.2/100,VLOOKUP($B$410,'3PhT data'!A:AC,20,0)*0.1/100+0.25/100*C383))</f>
        <v>#N/A</v>
      </c>
      <c r="K383" s="173"/>
    </row>
    <row r="384" spans="1:11" ht="19.149999999999999" customHeight="1" x14ac:dyDescent="0.25">
      <c r="A384" s="170" t="s">
        <v>117</v>
      </c>
      <c r="B384" s="170"/>
      <c r="C384" s="171" t="e">
        <f>VLOOKUP($D$28,'3PhT data'!A:X,11,0)</f>
        <v>#N/A</v>
      </c>
      <c r="D384" s="172"/>
      <c r="E384" s="173"/>
      <c r="F384" s="171"/>
      <c r="G384" s="173"/>
      <c r="H384" s="171" t="e">
        <f t="shared" si="13"/>
        <v>#N/A</v>
      </c>
      <c r="I384" s="173"/>
      <c r="J384" s="171" t="e">
        <f>IF($K$409="LMX",VLOOKUP($B$410,'3PhT data'!A:AC,17,0)*0.1/100,IF($K$409="UPC3",VLOOKUP($B$410,'3PhT data'!A:AC,20,0)*0.2/100,VLOOKUP($B$410,'3PhT data'!A:AC,20,0)*0.1/100+0.25/100*C384))</f>
        <v>#N/A</v>
      </c>
      <c r="K384" s="173"/>
    </row>
    <row r="385" spans="1:11" ht="19.149999999999999" customHeight="1" x14ac:dyDescent="0.25">
      <c r="A385" s="170" t="s">
        <v>118</v>
      </c>
      <c r="B385" s="170"/>
      <c r="C385" s="171" t="e">
        <f>VLOOKUP($D$28,'3PhT data'!A:X,11,0)</f>
        <v>#N/A</v>
      </c>
      <c r="D385" s="172"/>
      <c r="E385" s="173"/>
      <c r="F385" s="171"/>
      <c r="G385" s="173"/>
      <c r="H385" s="171" t="e">
        <f t="shared" si="13"/>
        <v>#N/A</v>
      </c>
      <c r="I385" s="173"/>
      <c r="J385" s="171" t="e">
        <f>IF($K$409="LMX",VLOOKUP($B$410,'3PhT data'!A:AC,17,0)*0.1/100,IF($K$409="UPC3",VLOOKUP($B$410,'3PhT data'!A:AC,20,0)*0.2/100,VLOOKUP($B$410,'3PhT data'!A:AC,20,0)*0.1/100+0.25/100*C385))</f>
        <v>#N/A</v>
      </c>
      <c r="K385" s="173"/>
    </row>
    <row r="386" spans="1:11" ht="19.149999999999999" customHeight="1" x14ac:dyDescent="0.25">
      <c r="A386" s="170" t="s">
        <v>116</v>
      </c>
      <c r="B386" s="170"/>
      <c r="C386" s="171" t="e">
        <f>VLOOKUP($D$28,'3PhT data'!A:X,12,0)</f>
        <v>#N/A</v>
      </c>
      <c r="D386" s="172"/>
      <c r="E386" s="173"/>
      <c r="F386" s="171"/>
      <c r="G386" s="173"/>
      <c r="H386" s="171" t="e">
        <f t="shared" si="13"/>
        <v>#N/A</v>
      </c>
      <c r="I386" s="173"/>
      <c r="J386" s="171" t="e">
        <f>IF($K$409="LMX",VLOOKUP($B$410,'3PhT data'!A:AC,17,0)*0.1/100,IF($K$409="UPC3",VLOOKUP($B$410,'3PhT data'!A:AC,20,0)*0.2/100,VLOOKUP($B$410,'3PhT data'!A:AC,20,0)*0.1/100+0.25/100*C386))</f>
        <v>#N/A</v>
      </c>
      <c r="K386" s="173"/>
    </row>
    <row r="387" spans="1:11" ht="19.149999999999999" customHeight="1" x14ac:dyDescent="0.25">
      <c r="A387" s="170" t="s">
        <v>117</v>
      </c>
      <c r="B387" s="170"/>
      <c r="C387" s="171" t="e">
        <f>VLOOKUP($D$28,'3PhT data'!A:X,12,0)</f>
        <v>#N/A</v>
      </c>
      <c r="D387" s="172"/>
      <c r="E387" s="173"/>
      <c r="F387" s="171"/>
      <c r="G387" s="173"/>
      <c r="H387" s="171" t="e">
        <f t="shared" si="13"/>
        <v>#N/A</v>
      </c>
      <c r="I387" s="173"/>
      <c r="J387" s="171" t="e">
        <f>IF($K$409="LMX",VLOOKUP($B$410,'3PhT data'!A:AC,17,0)*0.1/100,IF($K$409="UPC3",VLOOKUP($B$410,'3PhT data'!A:AC,20,0)*0.2/100,VLOOKUP($B$410,'3PhT data'!A:AC,20,0)*0.1/100+0.25/100*C387))</f>
        <v>#N/A</v>
      </c>
      <c r="K387" s="173"/>
    </row>
    <row r="388" spans="1:11" ht="19.149999999999999" customHeight="1" x14ac:dyDescent="0.25">
      <c r="A388" s="170" t="s">
        <v>118</v>
      </c>
      <c r="B388" s="170"/>
      <c r="C388" s="171" t="e">
        <f>VLOOKUP($D$28,'3PhT data'!A:X,12,0)</f>
        <v>#N/A</v>
      </c>
      <c r="D388" s="172"/>
      <c r="E388" s="173"/>
      <c r="F388" s="171"/>
      <c r="G388" s="173"/>
      <c r="H388" s="171" t="e">
        <f t="shared" si="13"/>
        <v>#N/A</v>
      </c>
      <c r="I388" s="173"/>
      <c r="J388" s="171" t="e">
        <f>IF($K$409="LMX",VLOOKUP($B$410,'3PhT data'!A:AC,17,0)*0.1/100,IF($K$409="UPC3",VLOOKUP($B$410,'3PhT data'!A:AC,20,0)*0.2/100,VLOOKUP($B$410,'3PhT data'!A:AC,20,0)*0.1/100+0.25/100*C388))</f>
        <v>#N/A</v>
      </c>
      <c r="K388" s="173"/>
    </row>
    <row r="389" spans="1:11" ht="19.149999999999999" customHeight="1" x14ac:dyDescent="0.25">
      <c r="A389" s="170" t="s">
        <v>116</v>
      </c>
      <c r="B389" s="170"/>
      <c r="C389" s="171" t="e">
        <f>VLOOKUP($D$28,'3PhT data'!A:X,13,0)</f>
        <v>#N/A</v>
      </c>
      <c r="D389" s="172"/>
      <c r="E389" s="173"/>
      <c r="F389" s="171"/>
      <c r="G389" s="173"/>
      <c r="H389" s="171" t="e">
        <f t="shared" si="13"/>
        <v>#N/A</v>
      </c>
      <c r="I389" s="173"/>
      <c r="J389" s="171" t="e">
        <f>IF($K$409="LMX",VLOOKUP($B$410,'3PhT data'!A:AC,17,0)*0.1/100,IF($K$409="UPC3",VLOOKUP($B$410,'3PhT data'!A:AC,20,0)*0.2/100,VLOOKUP($B$410,'3PhT data'!A:AC,20,0)*0.1/100+0.25/100*C389))</f>
        <v>#N/A</v>
      </c>
      <c r="K389" s="173"/>
    </row>
    <row r="390" spans="1:11" ht="19.149999999999999" customHeight="1" x14ac:dyDescent="0.25">
      <c r="A390" s="170" t="s">
        <v>117</v>
      </c>
      <c r="B390" s="170"/>
      <c r="C390" s="171" t="e">
        <f>VLOOKUP($D$28,'3PhT data'!A:X,13,0)</f>
        <v>#N/A</v>
      </c>
      <c r="D390" s="172"/>
      <c r="E390" s="173"/>
      <c r="F390" s="171"/>
      <c r="G390" s="173"/>
      <c r="H390" s="171" t="e">
        <f t="shared" si="13"/>
        <v>#N/A</v>
      </c>
      <c r="I390" s="173"/>
      <c r="J390" s="171" t="e">
        <f>IF($K$409="LMX",VLOOKUP($B$410,'3PhT data'!A:AC,17,0)*0.1/100,IF($K$409="UPC3",VLOOKUP($B$410,'3PhT data'!A:AC,20,0)*0.2/100,VLOOKUP($B$410,'3PhT data'!A:AC,20,0)*0.1/100+0.25/100*C390))</f>
        <v>#N/A</v>
      </c>
      <c r="K390" s="173"/>
    </row>
    <row r="391" spans="1:11" ht="19.149999999999999" customHeight="1" x14ac:dyDescent="0.25">
      <c r="A391" s="170" t="s">
        <v>118</v>
      </c>
      <c r="B391" s="170"/>
      <c r="C391" s="171" t="e">
        <f>VLOOKUP($D$28,'3PhT data'!A:X,13,0)</f>
        <v>#N/A</v>
      </c>
      <c r="D391" s="172"/>
      <c r="E391" s="173"/>
      <c r="F391" s="171"/>
      <c r="G391" s="173"/>
      <c r="H391" s="171" t="e">
        <f t="shared" si="13"/>
        <v>#N/A</v>
      </c>
      <c r="I391" s="173"/>
      <c r="J391" s="171" t="e">
        <f>IF($K$409="LMX",VLOOKUP($B$410,'3PhT data'!A:AC,17,0)*0.1/100,IF($K$409="UPC3",VLOOKUP($B$410,'3PhT data'!A:AC,20,0)*0.2/100,VLOOKUP($B$410,'3PhT data'!A:AC,20,0)*0.1/100+0.25/100*C391))</f>
        <v>#N/A</v>
      </c>
      <c r="K391" s="173"/>
    </row>
    <row r="392" spans="1:11" x14ac:dyDescent="0.25">
      <c r="A392" s="28"/>
      <c r="B392" s="28"/>
      <c r="C392" s="28"/>
      <c r="D392" s="28"/>
      <c r="E392" s="28"/>
      <c r="F392" s="28"/>
      <c r="G392" s="28"/>
      <c r="H392" s="28"/>
      <c r="I392" s="28"/>
      <c r="J392" s="28"/>
      <c r="K392" s="28"/>
    </row>
    <row r="393" spans="1:11" ht="15.75" x14ac:dyDescent="0.25">
      <c r="A393" s="101" t="s">
        <v>155</v>
      </c>
      <c r="B393" s="101"/>
      <c r="C393" s="101"/>
      <c r="D393" s="101"/>
      <c r="E393" s="101"/>
      <c r="F393" s="101"/>
      <c r="G393" s="101"/>
      <c r="H393" s="101"/>
      <c r="I393" s="101"/>
      <c r="J393" s="101"/>
      <c r="K393" s="101"/>
    </row>
    <row r="394" spans="1:11" x14ac:dyDescent="0.25">
      <c r="A394" s="28"/>
      <c r="B394" s="28"/>
      <c r="C394" s="28"/>
      <c r="D394" s="28"/>
      <c r="E394" s="28"/>
      <c r="F394" s="28"/>
      <c r="G394" s="28"/>
      <c r="H394" s="28"/>
      <c r="I394" s="28"/>
      <c r="J394" s="28"/>
      <c r="K394" s="28"/>
    </row>
    <row r="395" spans="1:11" ht="14.45" customHeight="1" x14ac:dyDescent="0.25">
      <c r="A395" s="160" t="s">
        <v>12</v>
      </c>
      <c r="B395" s="160"/>
      <c r="C395" s="160" t="s">
        <v>152</v>
      </c>
      <c r="D395" s="160"/>
      <c r="E395" s="160"/>
      <c r="F395" s="160" t="s">
        <v>151</v>
      </c>
      <c r="G395" s="160"/>
      <c r="H395" s="160"/>
      <c r="I395" s="160" t="s">
        <v>150</v>
      </c>
      <c r="J395" s="160"/>
      <c r="K395" s="160"/>
    </row>
    <row r="396" spans="1:11" x14ac:dyDescent="0.25">
      <c r="A396" s="160"/>
      <c r="B396" s="160"/>
      <c r="C396" s="160" t="s">
        <v>153</v>
      </c>
      <c r="D396" s="160"/>
      <c r="E396" s="160"/>
      <c r="F396" s="160" t="s">
        <v>153</v>
      </c>
      <c r="G396" s="160"/>
      <c r="H396" s="160"/>
      <c r="I396" s="160" t="s">
        <v>154</v>
      </c>
      <c r="J396" s="160"/>
      <c r="K396" s="160"/>
    </row>
    <row r="397" spans="1:11" x14ac:dyDescent="0.25">
      <c r="A397" s="170" t="s">
        <v>271</v>
      </c>
      <c r="B397" s="170"/>
      <c r="C397" s="174" t="e">
        <f>VLOOKUP($D$28,'3PhT data'!A:X,18,0)</f>
        <v>#N/A</v>
      </c>
      <c r="D397" s="174"/>
      <c r="E397" s="174"/>
      <c r="F397" s="170"/>
      <c r="G397" s="170"/>
      <c r="H397" s="170"/>
      <c r="I397" s="169" t="e">
        <f>IF($K$409="LMX",VLOOKUP($B$410,'3PhT data'!A:AC,18,0)*0.1/100,IF($K$409="UPC3",VLOOKUP($B$410,'3PhT data'!A:AC,21,0)*0.2/100,VLOOKUP($B$410,'3PhT data'!A:AC,21,0)*0.1/100+0.25/100*C397))</f>
        <v>#N/A</v>
      </c>
      <c r="J397" s="169"/>
      <c r="K397" s="169"/>
    </row>
    <row r="398" spans="1:11" x14ac:dyDescent="0.25">
      <c r="A398" s="170" t="s">
        <v>272</v>
      </c>
      <c r="B398" s="170"/>
      <c r="C398" s="174" t="e">
        <f>C397/D32</f>
        <v>#N/A</v>
      </c>
      <c r="D398" s="174"/>
      <c r="E398" s="174"/>
      <c r="F398" s="170"/>
      <c r="G398" s="170"/>
      <c r="H398" s="170"/>
      <c r="I398" s="169" t="e">
        <f>IF($K$409="LMX",VLOOKUP($B$410,'3PhT data'!A:AC,18,0)*0.1/100,IF($K$409="UPC3",VLOOKUP($B$410,'3PhT data'!A:AC,21,0)*0.2/100,VLOOKUP($B$410,'3PhT data'!A:AC,21,0)*0.1/100+0.25/100*C398))</f>
        <v>#N/A</v>
      </c>
      <c r="J398" s="169"/>
      <c r="K398" s="169"/>
    </row>
    <row r="399" spans="1:11" ht="15.75" x14ac:dyDescent="0.25">
      <c r="A399" s="8" t="s">
        <v>124</v>
      </c>
      <c r="B399" s="28"/>
      <c r="C399" s="28" t="s">
        <v>156</v>
      </c>
      <c r="D399" s="28"/>
      <c r="E399" s="28"/>
      <c r="F399" s="28"/>
      <c r="G399" s="28"/>
      <c r="H399" s="28"/>
      <c r="I399" s="28"/>
      <c r="J399" s="28"/>
      <c r="K399" s="28"/>
    </row>
    <row r="400" spans="1:11" x14ac:dyDescent="0.25">
      <c r="A400" s="28"/>
      <c r="B400" s="28"/>
      <c r="C400" s="28" t="s">
        <v>157</v>
      </c>
      <c r="D400" s="28"/>
      <c r="E400" s="28"/>
      <c r="F400" s="28"/>
      <c r="G400" s="28"/>
      <c r="H400" s="28"/>
      <c r="I400" s="28"/>
      <c r="J400" s="28"/>
      <c r="K400" s="28"/>
    </row>
    <row r="401" spans="1:11" x14ac:dyDescent="0.25">
      <c r="A401" s="28"/>
      <c r="B401" s="28"/>
      <c r="C401" s="28"/>
      <c r="D401" s="28"/>
      <c r="E401" s="28"/>
      <c r="F401" s="28"/>
      <c r="G401" s="28"/>
      <c r="H401" s="28"/>
      <c r="I401" s="28"/>
      <c r="J401" s="28"/>
      <c r="K401" s="28"/>
    </row>
    <row r="402" spans="1:11" x14ac:dyDescent="0.25">
      <c r="A402" s="28"/>
      <c r="B402" s="28"/>
      <c r="C402" s="28"/>
      <c r="D402" s="28"/>
      <c r="E402" s="28"/>
      <c r="F402" s="28"/>
      <c r="G402" s="28"/>
      <c r="H402" s="28"/>
      <c r="I402" s="28"/>
      <c r="J402" s="28"/>
      <c r="K402" s="28"/>
    </row>
    <row r="403" spans="1:11" x14ac:dyDescent="0.25">
      <c r="A403" s="28"/>
      <c r="B403" s="28"/>
      <c r="C403" s="28"/>
      <c r="D403" s="28"/>
      <c r="E403" s="28"/>
      <c r="F403" s="28"/>
      <c r="G403" s="28"/>
      <c r="H403" s="28"/>
      <c r="I403" s="28"/>
      <c r="J403" s="28"/>
      <c r="K403" s="28"/>
    </row>
    <row r="404" spans="1:11" x14ac:dyDescent="0.25">
      <c r="A404" s="28"/>
      <c r="B404" s="28"/>
      <c r="C404" s="28"/>
      <c r="D404" s="28"/>
      <c r="E404" s="28"/>
      <c r="F404" s="28"/>
      <c r="G404" s="28"/>
      <c r="H404" s="28"/>
      <c r="I404" s="28"/>
      <c r="J404" s="28"/>
      <c r="K404" s="28"/>
    </row>
    <row r="405" spans="1:11" x14ac:dyDescent="0.25">
      <c r="A405" s="28"/>
      <c r="B405" s="28"/>
      <c r="C405" s="28"/>
      <c r="D405" s="28"/>
      <c r="E405" s="28"/>
      <c r="F405" s="28"/>
      <c r="G405" s="28"/>
      <c r="H405" s="28"/>
      <c r="I405" s="28"/>
      <c r="J405" s="28"/>
      <c r="K405" s="28"/>
    </row>
    <row r="406" spans="1:11" x14ac:dyDescent="0.25">
      <c r="A406" s="153" t="s">
        <v>158</v>
      </c>
      <c r="B406" s="153"/>
      <c r="C406" s="153"/>
      <c r="D406" s="153"/>
      <c r="E406" s="153"/>
      <c r="F406" s="153"/>
      <c r="G406" s="153"/>
      <c r="H406" s="153"/>
      <c r="I406" s="153"/>
      <c r="J406" s="153"/>
      <c r="K406" s="153"/>
    </row>
    <row r="407" spans="1:11" x14ac:dyDescent="0.25">
      <c r="A407" s="177" t="s">
        <v>163</v>
      </c>
      <c r="B407" s="177"/>
      <c r="C407" s="177"/>
      <c r="D407" s="177"/>
      <c r="E407" s="177"/>
      <c r="F407" s="177"/>
      <c r="G407" s="177"/>
      <c r="H407" s="177"/>
      <c r="I407" s="177"/>
      <c r="J407" s="177"/>
      <c r="K407" s="177"/>
    </row>
    <row r="408" spans="1:11" x14ac:dyDescent="0.25">
      <c r="A408" s="177"/>
      <c r="B408" s="177"/>
      <c r="C408" s="177"/>
      <c r="D408" s="177"/>
      <c r="E408" s="177"/>
      <c r="F408" s="177"/>
      <c r="G408" s="177"/>
      <c r="H408" s="177"/>
      <c r="I408" s="177"/>
      <c r="J408" s="177"/>
      <c r="K408" s="177"/>
    </row>
    <row r="409" spans="1:11" x14ac:dyDescent="0.25">
      <c r="A409" s="50" t="s">
        <v>164</v>
      </c>
      <c r="B409" s="178" t="str">
        <f>D17</f>
        <v>Caltest Instruments Ltd</v>
      </c>
      <c r="C409" s="178"/>
      <c r="D409" s="178"/>
      <c r="E409" s="178"/>
      <c r="F409" s="50" t="s">
        <v>165</v>
      </c>
      <c r="G409" s="178">
        <f>D30</f>
        <v>1243</v>
      </c>
      <c r="H409" s="178"/>
      <c r="I409" s="61" t="s">
        <v>214</v>
      </c>
      <c r="J409" s="61"/>
      <c r="K409" s="61" t="e">
        <f>VLOOKUP(B410,'3PhT data'!A:B,2,0)</f>
        <v>#N/A</v>
      </c>
    </row>
    <row r="410" spans="1:11" x14ac:dyDescent="0.25">
      <c r="A410" s="50" t="s">
        <v>83</v>
      </c>
      <c r="B410" s="178" t="str">
        <f>D28</f>
        <v/>
      </c>
      <c r="C410" s="178"/>
      <c r="D410" s="178"/>
      <c r="E410" s="178"/>
      <c r="F410" s="50" t="s">
        <v>166</v>
      </c>
      <c r="G410" s="179">
        <f>D35</f>
        <v>44175</v>
      </c>
      <c r="H410" s="179"/>
      <c r="I410" s="61" t="s">
        <v>233</v>
      </c>
      <c r="J410" s="61"/>
      <c r="K410" s="61" t="e">
        <f>VLOOKUP(B410,'3PhT data'!A:C,3,0)</f>
        <v>#N/A</v>
      </c>
    </row>
    <row r="411" spans="1:11" x14ac:dyDescent="0.25">
      <c r="A411" s="28"/>
      <c r="B411" s="28"/>
      <c r="C411" s="28"/>
      <c r="D411" s="28"/>
      <c r="E411" s="28"/>
      <c r="F411" s="28"/>
      <c r="G411" s="28"/>
      <c r="H411" s="28"/>
      <c r="I411" s="28"/>
      <c r="J411" s="28"/>
      <c r="K411" s="28"/>
    </row>
    <row r="412" spans="1:11" x14ac:dyDescent="0.25">
      <c r="A412" s="175" t="s">
        <v>167</v>
      </c>
      <c r="B412" s="175"/>
      <c r="C412" s="175"/>
      <c r="D412" s="175"/>
      <c r="E412" s="175"/>
      <c r="F412" s="175"/>
      <c r="G412" s="175"/>
      <c r="H412" s="175"/>
      <c r="I412" s="175"/>
      <c r="J412" s="175"/>
      <c r="K412" s="175"/>
    </row>
    <row r="413" spans="1:11" x14ac:dyDescent="0.25">
      <c r="A413" s="39" t="s">
        <v>168</v>
      </c>
      <c r="B413" s="39" t="s">
        <v>12</v>
      </c>
      <c r="C413" s="176" t="s">
        <v>169</v>
      </c>
      <c r="D413" s="176"/>
      <c r="E413" s="39" t="s">
        <v>12</v>
      </c>
      <c r="F413" s="176" t="s">
        <v>169</v>
      </c>
      <c r="G413" s="176"/>
      <c r="H413" s="39" t="s">
        <v>12</v>
      </c>
      <c r="I413" s="176" t="s">
        <v>169</v>
      </c>
      <c r="J413" s="176"/>
      <c r="K413" s="39"/>
    </row>
    <row r="414" spans="1:11" x14ac:dyDescent="0.25">
      <c r="A414" s="39" t="s">
        <v>170</v>
      </c>
      <c r="B414" s="39" t="s">
        <v>173</v>
      </c>
      <c r="C414" s="176"/>
      <c r="D414" s="176"/>
      <c r="E414" s="39" t="s">
        <v>174</v>
      </c>
      <c r="F414" s="176"/>
      <c r="G414" s="176"/>
      <c r="H414" s="39" t="s">
        <v>175</v>
      </c>
      <c r="I414" s="176"/>
      <c r="J414" s="176"/>
      <c r="K414" s="39"/>
    </row>
    <row r="415" spans="1:11" x14ac:dyDescent="0.25">
      <c r="A415" s="39" t="s">
        <v>171</v>
      </c>
      <c r="B415" s="39" t="s">
        <v>173</v>
      </c>
      <c r="C415" s="176"/>
      <c r="D415" s="176"/>
      <c r="E415" s="39" t="s">
        <v>174</v>
      </c>
      <c r="F415" s="176"/>
      <c r="G415" s="176"/>
      <c r="H415" s="39" t="s">
        <v>175</v>
      </c>
      <c r="I415" s="176"/>
      <c r="J415" s="176"/>
      <c r="K415" s="39"/>
    </row>
    <row r="416" spans="1:11" x14ac:dyDescent="0.25">
      <c r="A416" s="39" t="s">
        <v>170</v>
      </c>
      <c r="B416" s="39" t="s">
        <v>173</v>
      </c>
      <c r="C416" s="176"/>
      <c r="D416" s="176"/>
      <c r="E416" s="39" t="s">
        <v>174</v>
      </c>
      <c r="F416" s="176"/>
      <c r="G416" s="176"/>
      <c r="H416" s="39" t="s">
        <v>175</v>
      </c>
      <c r="I416" s="176"/>
      <c r="J416" s="176"/>
      <c r="K416" s="39"/>
    </row>
    <row r="417" spans="1:11" x14ac:dyDescent="0.25">
      <c r="A417" s="39" t="s">
        <v>172</v>
      </c>
      <c r="B417" s="39" t="s">
        <v>173</v>
      </c>
      <c r="C417" s="176"/>
      <c r="D417" s="176"/>
      <c r="E417" s="39" t="s">
        <v>174</v>
      </c>
      <c r="F417" s="176"/>
      <c r="G417" s="176"/>
      <c r="H417" s="39" t="s">
        <v>175</v>
      </c>
      <c r="I417" s="176"/>
      <c r="J417" s="176"/>
      <c r="K417" s="39"/>
    </row>
    <row r="418" spans="1:11" x14ac:dyDescent="0.25">
      <c r="A418" s="28"/>
      <c r="B418" s="28"/>
      <c r="C418" s="28"/>
      <c r="D418" s="28"/>
      <c r="E418" s="28"/>
      <c r="F418" s="28"/>
      <c r="G418" s="28"/>
      <c r="H418" s="28"/>
      <c r="I418" s="28"/>
      <c r="J418" s="28"/>
      <c r="K418" s="28"/>
    </row>
    <row r="419" spans="1:11" x14ac:dyDescent="0.25">
      <c r="A419" s="28"/>
      <c r="B419" s="160" t="s">
        <v>176</v>
      </c>
      <c r="C419" s="160"/>
      <c r="D419" s="160"/>
      <c r="E419" s="28"/>
      <c r="F419" s="28"/>
      <c r="G419" s="160" t="s">
        <v>177</v>
      </c>
      <c r="H419" s="160"/>
      <c r="I419" s="160"/>
      <c r="J419" s="28"/>
      <c r="K419" s="28"/>
    </row>
    <row r="420" spans="1:11" x14ac:dyDescent="0.25">
      <c r="A420" s="28"/>
      <c r="B420" s="160"/>
      <c r="C420" s="160"/>
      <c r="D420" s="160"/>
      <c r="E420" s="28"/>
      <c r="F420" s="28"/>
      <c r="G420" s="160"/>
      <c r="H420" s="160"/>
      <c r="I420" s="160"/>
      <c r="J420" s="28"/>
      <c r="K420" s="28"/>
    </row>
    <row r="421" spans="1:11" x14ac:dyDescent="0.25">
      <c r="A421" s="28"/>
      <c r="B421" s="39" t="s">
        <v>168</v>
      </c>
      <c r="C421" s="176"/>
      <c r="D421" s="176"/>
      <c r="E421" s="28"/>
      <c r="F421" s="28"/>
      <c r="G421" s="39" t="s">
        <v>168</v>
      </c>
      <c r="H421" s="176"/>
      <c r="I421" s="176"/>
      <c r="J421" s="28"/>
      <c r="K421" s="28"/>
    </row>
    <row r="422" spans="1:11" x14ac:dyDescent="0.25">
      <c r="A422" s="28"/>
      <c r="B422" s="39" t="s">
        <v>170</v>
      </c>
      <c r="C422" s="176"/>
      <c r="D422" s="176"/>
      <c r="E422" s="28"/>
      <c r="F422" s="28"/>
      <c r="G422" s="39" t="s">
        <v>170</v>
      </c>
      <c r="H422" s="176"/>
      <c r="I422" s="176"/>
      <c r="J422" s="28"/>
      <c r="K422" s="28"/>
    </row>
    <row r="423" spans="1:11" x14ac:dyDescent="0.25">
      <c r="A423" s="28"/>
      <c r="B423" s="39" t="s">
        <v>171</v>
      </c>
      <c r="C423" s="176"/>
      <c r="D423" s="176"/>
      <c r="E423" s="28"/>
      <c r="F423" s="28"/>
      <c r="G423" s="39" t="s">
        <v>171</v>
      </c>
      <c r="H423" s="176"/>
      <c r="I423" s="176"/>
      <c r="J423" s="28"/>
      <c r="K423" s="28"/>
    </row>
    <row r="424" spans="1:11" x14ac:dyDescent="0.25">
      <c r="A424" s="28"/>
      <c r="B424" s="39" t="s">
        <v>170</v>
      </c>
      <c r="C424" s="176"/>
      <c r="D424" s="176"/>
      <c r="E424" s="28"/>
      <c r="F424" s="28"/>
      <c r="G424" s="39" t="s">
        <v>170</v>
      </c>
      <c r="H424" s="176"/>
      <c r="I424" s="176"/>
      <c r="J424" s="28"/>
      <c r="K424" s="28"/>
    </row>
    <row r="425" spans="1:11" x14ac:dyDescent="0.25">
      <c r="A425" s="28"/>
      <c r="B425" s="39" t="s">
        <v>172</v>
      </c>
      <c r="C425" s="176"/>
      <c r="D425" s="176"/>
      <c r="E425" s="28"/>
      <c r="F425" s="28"/>
      <c r="G425" s="39" t="s">
        <v>172</v>
      </c>
      <c r="H425" s="176"/>
      <c r="I425" s="176"/>
      <c r="J425" s="28"/>
      <c r="K425" s="28"/>
    </row>
    <row r="426" spans="1:11" x14ac:dyDescent="0.25">
      <c r="A426" s="28"/>
      <c r="B426" s="28"/>
      <c r="C426" s="28"/>
      <c r="D426" s="28"/>
      <c r="E426" s="28"/>
      <c r="F426" s="28"/>
      <c r="G426" s="28"/>
      <c r="H426" s="28"/>
      <c r="I426" s="28"/>
      <c r="J426" s="28"/>
      <c r="K426" s="28"/>
    </row>
    <row r="427" spans="1:11" x14ac:dyDescent="0.25">
      <c r="A427" s="28"/>
      <c r="B427" s="106" t="s">
        <v>178</v>
      </c>
      <c r="C427" s="106"/>
      <c r="D427" s="106"/>
      <c r="E427" s="106"/>
      <c r="F427" s="106"/>
      <c r="G427" s="106"/>
      <c r="H427" s="106"/>
      <c r="I427" s="106"/>
      <c r="J427" s="106"/>
      <c r="K427" s="28"/>
    </row>
    <row r="428" spans="1:11" x14ac:dyDescent="0.25">
      <c r="A428" s="28"/>
      <c r="B428" s="28"/>
      <c r="C428" s="28"/>
      <c r="D428" s="28"/>
      <c r="E428" s="28"/>
      <c r="F428" s="28"/>
      <c r="G428" s="28"/>
      <c r="H428" s="28"/>
      <c r="I428" s="28"/>
      <c r="J428" s="28"/>
      <c r="K428" s="28"/>
    </row>
    <row r="429" spans="1:11" x14ac:dyDescent="0.25">
      <c r="A429" s="28"/>
      <c r="B429" s="28" t="s">
        <v>179</v>
      </c>
      <c r="C429" s="28"/>
      <c r="D429" s="28"/>
      <c r="E429" s="28"/>
      <c r="F429" s="28"/>
      <c r="G429" s="28"/>
      <c r="H429" s="28"/>
      <c r="I429" s="28"/>
      <c r="J429" s="28"/>
      <c r="K429" s="28"/>
    </row>
    <row r="430" spans="1:11" x14ac:dyDescent="0.25">
      <c r="A430" s="175" t="s">
        <v>180</v>
      </c>
      <c r="B430" s="175"/>
      <c r="C430" s="175"/>
      <c r="D430" s="175"/>
      <c r="E430" s="175"/>
      <c r="F430" s="175"/>
      <c r="G430" s="175"/>
      <c r="H430" s="175"/>
      <c r="I430" s="175"/>
      <c r="J430" s="175"/>
      <c r="K430" s="175"/>
    </row>
    <row r="431" spans="1:11" x14ac:dyDescent="0.25">
      <c r="A431" s="39" t="s">
        <v>181</v>
      </c>
      <c r="B431" s="39"/>
      <c r="C431" s="182"/>
      <c r="D431" s="183"/>
      <c r="E431" s="184"/>
      <c r="F431" s="39" t="s">
        <v>182</v>
      </c>
      <c r="G431" s="39"/>
      <c r="H431" s="182"/>
      <c r="I431" s="184"/>
      <c r="J431" s="39" t="s">
        <v>119</v>
      </c>
      <c r="K431" s="39"/>
    </row>
    <row r="432" spans="1:11" x14ac:dyDescent="0.25">
      <c r="A432" s="39" t="s">
        <v>183</v>
      </c>
      <c r="B432" s="39"/>
      <c r="C432" s="180"/>
      <c r="D432" s="185"/>
      <c r="E432" s="185"/>
      <c r="F432" s="185"/>
      <c r="G432" s="185"/>
      <c r="H432" s="185"/>
      <c r="I432" s="185"/>
      <c r="J432" s="185"/>
      <c r="K432" s="181"/>
    </row>
    <row r="433" spans="1:11" x14ac:dyDescent="0.25">
      <c r="A433" s="39" t="s">
        <v>184</v>
      </c>
      <c r="B433" s="39"/>
      <c r="C433" s="39"/>
      <c r="D433" s="182"/>
      <c r="E433" s="184"/>
      <c r="F433" s="39" t="s">
        <v>185</v>
      </c>
      <c r="G433" s="182"/>
      <c r="H433" s="183"/>
      <c r="I433" s="183"/>
      <c r="J433" s="183"/>
      <c r="K433" s="184"/>
    </row>
    <row r="434" spans="1:11" x14ac:dyDescent="0.25">
      <c r="A434" s="39" t="s">
        <v>186</v>
      </c>
      <c r="B434" s="39"/>
      <c r="C434" s="39"/>
      <c r="D434" s="182"/>
      <c r="E434" s="184"/>
      <c r="F434" s="39" t="s">
        <v>187</v>
      </c>
      <c r="G434" s="182"/>
      <c r="H434" s="183"/>
      <c r="I434" s="184"/>
      <c r="J434" s="39" t="s">
        <v>192</v>
      </c>
      <c r="K434" s="39"/>
    </row>
    <row r="435" spans="1:11" x14ac:dyDescent="0.25">
      <c r="A435" s="28"/>
      <c r="B435" s="28"/>
      <c r="C435" s="28"/>
      <c r="D435" s="28"/>
      <c r="E435" s="28"/>
      <c r="F435" s="28"/>
      <c r="G435" s="28"/>
      <c r="H435" s="28"/>
      <c r="I435" s="28"/>
      <c r="J435" s="28"/>
      <c r="K435" s="28"/>
    </row>
    <row r="436" spans="1:11" x14ac:dyDescent="0.25">
      <c r="A436" s="28"/>
      <c r="B436" s="28"/>
      <c r="C436" s="28"/>
      <c r="D436" s="28"/>
      <c r="E436" s="28"/>
      <c r="F436" s="28"/>
      <c r="G436" s="28"/>
      <c r="H436" s="28"/>
      <c r="I436" s="28"/>
      <c r="J436" s="28"/>
      <c r="K436" s="28"/>
    </row>
    <row r="437" spans="1:11" x14ac:dyDescent="0.25">
      <c r="A437" s="175" t="s">
        <v>188</v>
      </c>
      <c r="B437" s="175"/>
      <c r="C437" s="175"/>
      <c r="D437" s="175"/>
      <c r="E437" s="175"/>
      <c r="F437" s="175"/>
      <c r="G437" s="175"/>
      <c r="H437" s="175"/>
      <c r="I437" s="175"/>
      <c r="J437" s="175"/>
      <c r="K437" s="175"/>
    </row>
    <row r="438" spans="1:11" x14ac:dyDescent="0.25">
      <c r="A438" s="50" t="s">
        <v>181</v>
      </c>
      <c r="B438" s="50"/>
      <c r="C438" s="182"/>
      <c r="D438" s="183"/>
      <c r="E438" s="184"/>
      <c r="F438" s="178" t="s">
        <v>182</v>
      </c>
      <c r="G438" s="178"/>
      <c r="H438" s="182"/>
      <c r="I438" s="184"/>
      <c r="J438" s="39" t="s">
        <v>119</v>
      </c>
      <c r="K438" s="39"/>
    </row>
    <row r="439" spans="1:11" x14ac:dyDescent="0.25">
      <c r="A439" s="180" t="s">
        <v>189</v>
      </c>
      <c r="B439" s="181"/>
      <c r="C439" s="182"/>
      <c r="D439" s="183"/>
      <c r="E439" s="184"/>
      <c r="F439" s="39" t="s">
        <v>190</v>
      </c>
      <c r="G439" s="182"/>
      <c r="H439" s="183"/>
      <c r="I439" s="183"/>
      <c r="J439" s="183"/>
      <c r="K439" s="184"/>
    </row>
    <row r="440" spans="1:11" x14ac:dyDescent="0.25">
      <c r="A440" s="50" t="s">
        <v>184</v>
      </c>
      <c r="B440" s="50"/>
      <c r="C440" s="50"/>
      <c r="D440" s="182"/>
      <c r="E440" s="184"/>
      <c r="F440" s="39" t="s">
        <v>185</v>
      </c>
      <c r="G440" s="182"/>
      <c r="H440" s="183"/>
      <c r="I440" s="183"/>
      <c r="J440" s="183"/>
      <c r="K440" s="184"/>
    </row>
    <row r="441" spans="1:11" x14ac:dyDescent="0.25">
      <c r="A441" s="50" t="s">
        <v>186</v>
      </c>
      <c r="B441" s="50"/>
      <c r="C441" s="50"/>
      <c r="D441" s="182"/>
      <c r="E441" s="184"/>
      <c r="F441" s="39" t="s">
        <v>187</v>
      </c>
      <c r="G441" s="182"/>
      <c r="H441" s="183"/>
      <c r="I441" s="184"/>
      <c r="J441" s="39" t="s">
        <v>192</v>
      </c>
      <c r="K441" s="39"/>
    </row>
    <row r="442" spans="1:11" x14ac:dyDescent="0.25">
      <c r="A442" s="28"/>
      <c r="B442" s="28"/>
      <c r="C442" s="28"/>
      <c r="D442" s="28"/>
      <c r="E442" s="28"/>
      <c r="F442" s="28"/>
      <c r="G442" s="28"/>
      <c r="H442" s="28"/>
      <c r="I442" s="28"/>
      <c r="J442" s="28"/>
      <c r="K442" s="28"/>
    </row>
    <row r="443" spans="1:11" x14ac:dyDescent="0.25">
      <c r="A443" s="28"/>
      <c r="B443" s="28"/>
      <c r="C443" s="28"/>
      <c r="D443" s="28"/>
      <c r="E443" s="28"/>
      <c r="F443" s="28"/>
      <c r="G443" s="28"/>
      <c r="H443" s="28"/>
      <c r="I443" s="28"/>
      <c r="J443" s="28"/>
      <c r="K443" s="28"/>
    </row>
    <row r="444" spans="1:11" x14ac:dyDescent="0.25">
      <c r="A444" s="28"/>
      <c r="B444" s="28"/>
      <c r="C444" s="28"/>
      <c r="D444" s="28"/>
      <c r="E444" s="28"/>
      <c r="F444" s="28"/>
      <c r="G444" s="28"/>
      <c r="H444" s="28"/>
      <c r="I444" s="28"/>
      <c r="J444" s="28"/>
      <c r="K444" s="28"/>
    </row>
    <row r="445" spans="1:11" x14ac:dyDescent="0.25">
      <c r="A445" s="28"/>
      <c r="B445" s="28"/>
      <c r="C445" s="28"/>
      <c r="D445" s="28"/>
      <c r="E445" s="28"/>
      <c r="F445" s="28"/>
      <c r="G445" s="28"/>
      <c r="H445" s="28"/>
      <c r="I445" s="28"/>
      <c r="J445" s="28"/>
      <c r="K445" s="28"/>
    </row>
    <row r="446" spans="1:11" x14ac:dyDescent="0.25">
      <c r="A446" s="28"/>
      <c r="B446" s="28"/>
      <c r="C446" s="28"/>
      <c r="D446" s="28"/>
      <c r="E446" s="28"/>
      <c r="F446" s="28"/>
      <c r="G446" s="28"/>
      <c r="H446" s="28"/>
      <c r="I446" s="28"/>
      <c r="J446" s="28"/>
      <c r="K446" s="28"/>
    </row>
    <row r="447" spans="1:11" x14ac:dyDescent="0.25">
      <c r="A447" s="28"/>
      <c r="B447" s="28"/>
      <c r="C447" s="28"/>
      <c r="D447" s="28"/>
      <c r="E447" s="28"/>
      <c r="F447" s="28"/>
      <c r="G447" s="28"/>
      <c r="H447" s="28"/>
      <c r="I447" s="28"/>
      <c r="J447" s="28"/>
      <c r="K447" s="28"/>
    </row>
    <row r="448" spans="1:11" x14ac:dyDescent="0.25">
      <c r="A448" s="28"/>
      <c r="B448" s="28"/>
      <c r="C448" s="28"/>
      <c r="D448" s="28"/>
      <c r="E448" s="28"/>
      <c r="F448" s="28"/>
      <c r="G448" s="28"/>
      <c r="H448" s="28"/>
      <c r="I448" s="28"/>
      <c r="J448" s="28"/>
      <c r="K448" s="28"/>
    </row>
    <row r="449" spans="1:11" x14ac:dyDescent="0.25">
      <c r="A449" s="28"/>
      <c r="B449" s="28"/>
      <c r="C449" s="28"/>
      <c r="D449" s="28"/>
      <c r="E449" s="28"/>
      <c r="F449" s="28"/>
      <c r="G449" s="28"/>
      <c r="H449" s="28"/>
      <c r="I449" s="28"/>
      <c r="J449" s="28"/>
      <c r="K449" s="28"/>
    </row>
    <row r="450" spans="1:11" x14ac:dyDescent="0.25">
      <c r="A450" s="28"/>
      <c r="B450" s="28"/>
      <c r="C450" s="28"/>
      <c r="D450" s="28"/>
      <c r="E450" s="28"/>
      <c r="F450" s="28"/>
      <c r="G450" s="28"/>
      <c r="H450" s="28"/>
      <c r="I450" s="28"/>
      <c r="J450" s="28"/>
      <c r="K450" s="28"/>
    </row>
    <row r="451" spans="1:11" x14ac:dyDescent="0.25">
      <c r="A451" s="28"/>
      <c r="B451" s="28"/>
      <c r="C451" s="28"/>
      <c r="D451" s="28"/>
      <c r="E451" s="28"/>
      <c r="F451" s="28"/>
      <c r="G451" s="28"/>
      <c r="H451" s="28"/>
      <c r="I451" s="28"/>
      <c r="J451" s="28"/>
      <c r="K451" s="28"/>
    </row>
    <row r="452" spans="1:11" x14ac:dyDescent="0.25">
      <c r="A452" s="28"/>
      <c r="B452" s="28"/>
      <c r="C452" s="28"/>
      <c r="D452" s="28"/>
      <c r="E452" s="28"/>
      <c r="F452" s="28"/>
      <c r="G452" s="28"/>
      <c r="H452" s="28"/>
      <c r="I452" s="28"/>
      <c r="J452" s="28"/>
      <c r="K452" s="28"/>
    </row>
    <row r="453" spans="1:11" x14ac:dyDescent="0.25">
      <c r="A453" s="28"/>
      <c r="B453" s="28"/>
      <c r="C453" s="28"/>
      <c r="D453" s="28"/>
      <c r="E453" s="28"/>
      <c r="F453" s="28"/>
      <c r="G453" s="28"/>
      <c r="H453" s="28"/>
      <c r="I453" s="28"/>
      <c r="J453" s="28"/>
      <c r="K453" s="28"/>
    </row>
    <row r="454" spans="1:11" x14ac:dyDescent="0.25">
      <c r="A454" s="28"/>
      <c r="B454" s="28"/>
      <c r="C454" s="28"/>
      <c r="D454" s="28"/>
      <c r="E454" s="28"/>
      <c r="F454" s="28"/>
      <c r="G454" s="28"/>
      <c r="H454" s="28"/>
      <c r="I454" s="28"/>
      <c r="J454" s="28"/>
      <c r="K454" s="28"/>
    </row>
    <row r="455" spans="1:11" x14ac:dyDescent="0.25">
      <c r="A455" s="28"/>
      <c r="B455" s="28"/>
      <c r="C455" s="28"/>
      <c r="D455" s="28"/>
      <c r="E455" s="28"/>
      <c r="F455" s="28"/>
      <c r="G455" s="28"/>
      <c r="H455" s="28"/>
      <c r="I455" s="28"/>
      <c r="J455" s="28"/>
      <c r="K455" s="28"/>
    </row>
    <row r="456" spans="1:11" x14ac:dyDescent="0.25">
      <c r="A456" s="28"/>
      <c r="B456" s="28"/>
      <c r="C456" s="28"/>
      <c r="D456" s="28"/>
      <c r="E456" s="28"/>
      <c r="F456" s="28"/>
      <c r="G456" s="28"/>
      <c r="H456" s="28"/>
      <c r="I456" s="28"/>
      <c r="J456" s="28"/>
      <c r="K456" s="28"/>
    </row>
    <row r="457" spans="1:11" x14ac:dyDescent="0.25">
      <c r="A457" s="28"/>
      <c r="B457" s="28"/>
      <c r="C457" s="28"/>
      <c r="D457" s="28"/>
      <c r="E457" s="28"/>
      <c r="F457" s="28"/>
      <c r="G457" s="28"/>
      <c r="H457" s="28"/>
      <c r="I457" s="28"/>
      <c r="J457" s="28"/>
      <c r="K457" s="28"/>
    </row>
    <row r="458" spans="1:11" x14ac:dyDescent="0.25">
      <c r="A458" s="28"/>
      <c r="B458" s="28"/>
      <c r="C458" s="28"/>
      <c r="D458" s="28"/>
      <c r="E458" s="28"/>
      <c r="F458" s="28"/>
      <c r="G458" s="28"/>
      <c r="H458" s="28"/>
      <c r="I458" s="28"/>
      <c r="J458" s="28"/>
      <c r="K458" s="28"/>
    </row>
    <row r="459" spans="1:11" x14ac:dyDescent="0.25">
      <c r="A459" s="28"/>
      <c r="B459" s="28"/>
      <c r="C459" s="28"/>
      <c r="D459" s="28"/>
      <c r="E459" s="28"/>
      <c r="F459" s="28"/>
      <c r="G459" s="28"/>
      <c r="H459" s="28"/>
      <c r="I459" s="28"/>
      <c r="J459" s="28"/>
      <c r="K459" s="28"/>
    </row>
    <row r="460" spans="1:11" x14ac:dyDescent="0.25">
      <c r="A460" s="28"/>
      <c r="B460" s="28"/>
      <c r="C460" s="28"/>
      <c r="D460" s="28"/>
      <c r="E460" s="28"/>
      <c r="F460" s="28"/>
      <c r="G460" s="28"/>
      <c r="H460" s="28"/>
      <c r="I460" s="28"/>
      <c r="J460" s="28"/>
      <c r="K460" s="28"/>
    </row>
    <row r="461" spans="1:11" x14ac:dyDescent="0.25">
      <c r="A461" s="28"/>
      <c r="B461" s="28"/>
      <c r="C461" s="28"/>
      <c r="D461" s="28"/>
      <c r="E461" s="28"/>
      <c r="F461" s="28"/>
      <c r="G461" s="28"/>
      <c r="H461" s="28"/>
      <c r="I461" s="28"/>
      <c r="J461" s="28"/>
      <c r="K461" s="28"/>
    </row>
  </sheetData>
  <mergeCells count="726">
    <mergeCell ref="A315:K315"/>
    <mergeCell ref="A316:B316"/>
    <mergeCell ref="A318:K320"/>
    <mergeCell ref="A321:K321"/>
    <mergeCell ref="B323:C323"/>
    <mergeCell ref="D323:E323"/>
    <mergeCell ref="F323:G323"/>
    <mergeCell ref="H323:I323"/>
    <mergeCell ref="J323:K323"/>
    <mergeCell ref="B127:C127"/>
    <mergeCell ref="B128:C128"/>
    <mergeCell ref="B129:C129"/>
    <mergeCell ref="B130:C130"/>
    <mergeCell ref="B131:C131"/>
    <mergeCell ref="B132:C132"/>
    <mergeCell ref="B145:C145"/>
    <mergeCell ref="B146:C146"/>
    <mergeCell ref="B147:C147"/>
    <mergeCell ref="B133:C133"/>
    <mergeCell ref="B134:C134"/>
    <mergeCell ref="B135:C135"/>
    <mergeCell ref="B136:C136"/>
    <mergeCell ref="B137:C137"/>
    <mergeCell ref="B138:C138"/>
    <mergeCell ref="B139:C139"/>
    <mergeCell ref="B140:C140"/>
    <mergeCell ref="B141:C141"/>
    <mergeCell ref="B142:C142"/>
    <mergeCell ref="B143:C143"/>
    <mergeCell ref="B144:C144"/>
    <mergeCell ref="B96:C96"/>
    <mergeCell ref="B97:C97"/>
    <mergeCell ref="B98:C98"/>
    <mergeCell ref="B99:C99"/>
    <mergeCell ref="B100:C100"/>
    <mergeCell ref="B101:C101"/>
    <mergeCell ref="B125:C125"/>
    <mergeCell ref="D125:E125"/>
    <mergeCell ref="F125:G125"/>
    <mergeCell ref="D96:E96"/>
    <mergeCell ref="D97:E97"/>
    <mergeCell ref="B93:C93"/>
    <mergeCell ref="B94:C94"/>
    <mergeCell ref="B95:C95"/>
    <mergeCell ref="B84:C84"/>
    <mergeCell ref="B85:C85"/>
    <mergeCell ref="B86:C86"/>
    <mergeCell ref="B87:C87"/>
    <mergeCell ref="B88:C88"/>
    <mergeCell ref="B89:C89"/>
    <mergeCell ref="B81:C81"/>
    <mergeCell ref="B82:C82"/>
    <mergeCell ref="B83:C83"/>
    <mergeCell ref="D440:E440"/>
    <mergeCell ref="G440:K440"/>
    <mergeCell ref="D441:E441"/>
    <mergeCell ref="G441:I441"/>
    <mergeCell ref="B419:D420"/>
    <mergeCell ref="G419:I420"/>
    <mergeCell ref="C421:D421"/>
    <mergeCell ref="H421:I421"/>
    <mergeCell ref="C415:D415"/>
    <mergeCell ref="F415:G415"/>
    <mergeCell ref="I415:J415"/>
    <mergeCell ref="C416:D416"/>
    <mergeCell ref="F416:G416"/>
    <mergeCell ref="I416:J416"/>
    <mergeCell ref="C417:D417"/>
    <mergeCell ref="F417:G417"/>
    <mergeCell ref="I417:J417"/>
    <mergeCell ref="F84:G84"/>
    <mergeCell ref="B90:C90"/>
    <mergeCell ref="B91:C91"/>
    <mergeCell ref="B92:C92"/>
    <mergeCell ref="C425:D425"/>
    <mergeCell ref="H425:I425"/>
    <mergeCell ref="B427:J427"/>
    <mergeCell ref="A430:K430"/>
    <mergeCell ref="C431:E431"/>
    <mergeCell ref="H431:I431"/>
    <mergeCell ref="C422:D422"/>
    <mergeCell ref="H422:I422"/>
    <mergeCell ref="C423:D423"/>
    <mergeCell ref="H423:I423"/>
    <mergeCell ref="C424:D424"/>
    <mergeCell ref="H424:I424"/>
    <mergeCell ref="A439:B439"/>
    <mergeCell ref="C439:E439"/>
    <mergeCell ref="G439:K439"/>
    <mergeCell ref="C432:K432"/>
    <mergeCell ref="D433:E433"/>
    <mergeCell ref="G433:K433"/>
    <mergeCell ref="D434:E434"/>
    <mergeCell ref="G434:I434"/>
    <mergeCell ref="A437:K437"/>
    <mergeCell ref="C438:E438"/>
    <mergeCell ref="F438:G438"/>
    <mergeCell ref="H438:I438"/>
    <mergeCell ref="C414:D414"/>
    <mergeCell ref="F414:G414"/>
    <mergeCell ref="I414:J414"/>
    <mergeCell ref="A406:K406"/>
    <mergeCell ref="A407:K408"/>
    <mergeCell ref="B409:E409"/>
    <mergeCell ref="G409:H409"/>
    <mergeCell ref="B410:E410"/>
    <mergeCell ref="G410:H410"/>
    <mergeCell ref="A412:K412"/>
    <mergeCell ref="C413:D413"/>
    <mergeCell ref="F413:G413"/>
    <mergeCell ref="I413:J413"/>
    <mergeCell ref="A398:B398"/>
    <mergeCell ref="C398:E398"/>
    <mergeCell ref="F398:H398"/>
    <mergeCell ref="I398:K398"/>
    <mergeCell ref="A395:B395"/>
    <mergeCell ref="C395:E395"/>
    <mergeCell ref="F395:H395"/>
    <mergeCell ref="I395:K395"/>
    <mergeCell ref="A396:B396"/>
    <mergeCell ref="C396:E396"/>
    <mergeCell ref="F396:H396"/>
    <mergeCell ref="I396:K396"/>
    <mergeCell ref="A397:B397"/>
    <mergeCell ref="C397:E397"/>
    <mergeCell ref="F397:H397"/>
    <mergeCell ref="I397:K397"/>
    <mergeCell ref="A391:B391"/>
    <mergeCell ref="C391:E391"/>
    <mergeCell ref="F391:G391"/>
    <mergeCell ref="H391:I391"/>
    <mergeCell ref="J391:K391"/>
    <mergeCell ref="A393:K393"/>
    <mergeCell ref="A389:B389"/>
    <mergeCell ref="C389:E389"/>
    <mergeCell ref="F389:G389"/>
    <mergeCell ref="H389:I389"/>
    <mergeCell ref="J389:K389"/>
    <mergeCell ref="A390:B390"/>
    <mergeCell ref="C390:E390"/>
    <mergeCell ref="F390:G390"/>
    <mergeCell ref="H390:I390"/>
    <mergeCell ref="J390:K390"/>
    <mergeCell ref="A387:B387"/>
    <mergeCell ref="C387:E387"/>
    <mergeCell ref="F387:G387"/>
    <mergeCell ref="H387:I387"/>
    <mergeCell ref="J387:K387"/>
    <mergeCell ref="A388:B388"/>
    <mergeCell ref="C388:E388"/>
    <mergeCell ref="F388:G388"/>
    <mergeCell ref="H388:I388"/>
    <mergeCell ref="J388:K388"/>
    <mergeCell ref="A385:B385"/>
    <mergeCell ref="C385:E385"/>
    <mergeCell ref="F385:G385"/>
    <mergeCell ref="H385:I385"/>
    <mergeCell ref="J385:K385"/>
    <mergeCell ref="A386:B386"/>
    <mergeCell ref="C386:E386"/>
    <mergeCell ref="F386:G386"/>
    <mergeCell ref="H386:I386"/>
    <mergeCell ref="J386:K386"/>
    <mergeCell ref="A383:B383"/>
    <mergeCell ref="C383:E383"/>
    <mergeCell ref="F383:G383"/>
    <mergeCell ref="H383:I383"/>
    <mergeCell ref="J383:K383"/>
    <mergeCell ref="A384:B384"/>
    <mergeCell ref="C384:E384"/>
    <mergeCell ref="F384:G384"/>
    <mergeCell ref="H384:I384"/>
    <mergeCell ref="J384:K384"/>
    <mergeCell ref="A381:B381"/>
    <mergeCell ref="C381:E381"/>
    <mergeCell ref="F381:G381"/>
    <mergeCell ref="H381:I381"/>
    <mergeCell ref="J381:K381"/>
    <mergeCell ref="A382:B382"/>
    <mergeCell ref="C382:E382"/>
    <mergeCell ref="F382:G382"/>
    <mergeCell ref="H382:I382"/>
    <mergeCell ref="J382:K382"/>
    <mergeCell ref="A379:B379"/>
    <mergeCell ref="C379:E379"/>
    <mergeCell ref="F379:G379"/>
    <mergeCell ref="H379:I379"/>
    <mergeCell ref="J379:K379"/>
    <mergeCell ref="A380:B380"/>
    <mergeCell ref="C380:E380"/>
    <mergeCell ref="F380:G380"/>
    <mergeCell ref="H380:I380"/>
    <mergeCell ref="J380:K380"/>
    <mergeCell ref="A377:B377"/>
    <mergeCell ref="C377:E377"/>
    <mergeCell ref="F377:G377"/>
    <mergeCell ref="H377:I377"/>
    <mergeCell ref="J377:K377"/>
    <mergeCell ref="A378:B378"/>
    <mergeCell ref="C378:E378"/>
    <mergeCell ref="F378:G378"/>
    <mergeCell ref="H378:I378"/>
    <mergeCell ref="J378:K378"/>
    <mergeCell ref="A375:B375"/>
    <mergeCell ref="C375:E375"/>
    <mergeCell ref="F375:G375"/>
    <mergeCell ref="H375:I375"/>
    <mergeCell ref="J375:K375"/>
    <mergeCell ref="A376:B376"/>
    <mergeCell ref="C376:E376"/>
    <mergeCell ref="F376:G376"/>
    <mergeCell ref="H376:I376"/>
    <mergeCell ref="J376:K376"/>
    <mergeCell ref="A373:B373"/>
    <mergeCell ref="C373:E373"/>
    <mergeCell ref="F373:G373"/>
    <mergeCell ref="H373:I373"/>
    <mergeCell ref="J373:K373"/>
    <mergeCell ref="A374:B374"/>
    <mergeCell ref="C374:E374"/>
    <mergeCell ref="F374:G374"/>
    <mergeCell ref="H374:I374"/>
    <mergeCell ref="J374:K374"/>
    <mergeCell ref="A363:K363"/>
    <mergeCell ref="A364:B364"/>
    <mergeCell ref="A366:K368"/>
    <mergeCell ref="A369:K369"/>
    <mergeCell ref="A372:B372"/>
    <mergeCell ref="C372:E372"/>
    <mergeCell ref="F372:G372"/>
    <mergeCell ref="H372:I372"/>
    <mergeCell ref="J372:K372"/>
    <mergeCell ref="J338:K338"/>
    <mergeCell ref="H339:I339"/>
    <mergeCell ref="J339:K339"/>
    <mergeCell ref="A358:G361"/>
    <mergeCell ref="I358:I359"/>
    <mergeCell ref="J358:K359"/>
    <mergeCell ref="I360:K361"/>
    <mergeCell ref="H336:I336"/>
    <mergeCell ref="J336:K336"/>
    <mergeCell ref="B337:C339"/>
    <mergeCell ref="F337:G339"/>
    <mergeCell ref="H337:I337"/>
    <mergeCell ref="J337:K337"/>
    <mergeCell ref="H338:I338"/>
    <mergeCell ref="D334:E336"/>
    <mergeCell ref="D337:E339"/>
    <mergeCell ref="H333:I333"/>
    <mergeCell ref="J333:K333"/>
    <mergeCell ref="B334:C336"/>
    <mergeCell ref="F334:G336"/>
    <mergeCell ref="H334:I334"/>
    <mergeCell ref="J334:K334"/>
    <mergeCell ref="H335:I335"/>
    <mergeCell ref="J335:K335"/>
    <mergeCell ref="J330:K330"/>
    <mergeCell ref="B331:C333"/>
    <mergeCell ref="F331:G333"/>
    <mergeCell ref="H331:I331"/>
    <mergeCell ref="J331:K331"/>
    <mergeCell ref="H332:I332"/>
    <mergeCell ref="J332:K332"/>
    <mergeCell ref="B328:C330"/>
    <mergeCell ref="F328:G330"/>
    <mergeCell ref="H328:I328"/>
    <mergeCell ref="J328:K328"/>
    <mergeCell ref="H329:I329"/>
    <mergeCell ref="J329:K329"/>
    <mergeCell ref="H330:I330"/>
    <mergeCell ref="D328:E330"/>
    <mergeCell ref="D331:E333"/>
    <mergeCell ref="H326:I326"/>
    <mergeCell ref="J326:K326"/>
    <mergeCell ref="H327:I327"/>
    <mergeCell ref="J327:K327"/>
    <mergeCell ref="D325:E327"/>
    <mergeCell ref="B324:C324"/>
    <mergeCell ref="D324:E324"/>
    <mergeCell ref="F324:G324"/>
    <mergeCell ref="H324:I324"/>
    <mergeCell ref="J324:K324"/>
    <mergeCell ref="B325:C327"/>
    <mergeCell ref="F325:G327"/>
    <mergeCell ref="H325:I325"/>
    <mergeCell ref="J325:K325"/>
    <mergeCell ref="A310:G313"/>
    <mergeCell ref="I310:I311"/>
    <mergeCell ref="J310:K311"/>
    <mergeCell ref="I312:K313"/>
    <mergeCell ref="B282:C282"/>
    <mergeCell ref="D282:E282"/>
    <mergeCell ref="F282:G282"/>
    <mergeCell ref="H282:I282"/>
    <mergeCell ref="J282:K282"/>
    <mergeCell ref="B283:C283"/>
    <mergeCell ref="D283:E283"/>
    <mergeCell ref="F283:G283"/>
    <mergeCell ref="H283:I283"/>
    <mergeCell ref="J283:K283"/>
    <mergeCell ref="B284:C284"/>
    <mergeCell ref="D284:E284"/>
    <mergeCell ref="F284:G284"/>
    <mergeCell ref="H284:I284"/>
    <mergeCell ref="J284:K284"/>
    <mergeCell ref="B280:C280"/>
    <mergeCell ref="D280:E280"/>
    <mergeCell ref="F280:G280"/>
    <mergeCell ref="H280:I280"/>
    <mergeCell ref="J280:K280"/>
    <mergeCell ref="B281:C281"/>
    <mergeCell ref="D281:E281"/>
    <mergeCell ref="F281:G281"/>
    <mergeCell ref="H281:I281"/>
    <mergeCell ref="J281:K281"/>
    <mergeCell ref="B278:C278"/>
    <mergeCell ref="D278:E278"/>
    <mergeCell ref="F278:G278"/>
    <mergeCell ref="H278:I278"/>
    <mergeCell ref="J278:K278"/>
    <mergeCell ref="B279:C279"/>
    <mergeCell ref="D279:E279"/>
    <mergeCell ref="F279:G279"/>
    <mergeCell ref="H279:I279"/>
    <mergeCell ref="J279:K279"/>
    <mergeCell ref="B276:C276"/>
    <mergeCell ref="D276:E276"/>
    <mergeCell ref="F276:G276"/>
    <mergeCell ref="H276:I276"/>
    <mergeCell ref="J276:K276"/>
    <mergeCell ref="B277:C277"/>
    <mergeCell ref="D277:E277"/>
    <mergeCell ref="F277:G277"/>
    <mergeCell ref="H277:I277"/>
    <mergeCell ref="J277:K277"/>
    <mergeCell ref="A266:K266"/>
    <mergeCell ref="A267:B267"/>
    <mergeCell ref="A269:K271"/>
    <mergeCell ref="A272:K272"/>
    <mergeCell ref="A273:K273"/>
    <mergeCell ref="B275:C275"/>
    <mergeCell ref="D275:E275"/>
    <mergeCell ref="F275:G275"/>
    <mergeCell ref="H275:I275"/>
    <mergeCell ref="J275:K275"/>
    <mergeCell ref="B233:C233"/>
    <mergeCell ref="D233:E233"/>
    <mergeCell ref="F233:G233"/>
    <mergeCell ref="H233:I233"/>
    <mergeCell ref="J233:K233"/>
    <mergeCell ref="A261:G264"/>
    <mergeCell ref="I261:I262"/>
    <mergeCell ref="J261:K262"/>
    <mergeCell ref="I263:K264"/>
    <mergeCell ref="B231:C231"/>
    <mergeCell ref="D231:E231"/>
    <mergeCell ref="F231:G231"/>
    <mergeCell ref="H231:I231"/>
    <mergeCell ref="J231:K231"/>
    <mergeCell ref="B232:C232"/>
    <mergeCell ref="D232:E232"/>
    <mergeCell ref="F232:G232"/>
    <mergeCell ref="H232:I232"/>
    <mergeCell ref="J232:K232"/>
    <mergeCell ref="B229:C229"/>
    <mergeCell ref="D229:E229"/>
    <mergeCell ref="F229:G229"/>
    <mergeCell ref="H229:I229"/>
    <mergeCell ref="J229:K229"/>
    <mergeCell ref="B230:C230"/>
    <mergeCell ref="D230:E230"/>
    <mergeCell ref="F230:G230"/>
    <mergeCell ref="H230:I230"/>
    <mergeCell ref="J230:K230"/>
    <mergeCell ref="B227:C227"/>
    <mergeCell ref="D227:E227"/>
    <mergeCell ref="F227:G227"/>
    <mergeCell ref="H227:I227"/>
    <mergeCell ref="J227:K227"/>
    <mergeCell ref="B228:C228"/>
    <mergeCell ref="D228:E228"/>
    <mergeCell ref="F228:G228"/>
    <mergeCell ref="H228:I228"/>
    <mergeCell ref="J228:K228"/>
    <mergeCell ref="B225:C225"/>
    <mergeCell ref="D225:E225"/>
    <mergeCell ref="F225:G225"/>
    <mergeCell ref="H225:I225"/>
    <mergeCell ref="J225:K225"/>
    <mergeCell ref="B226:C226"/>
    <mergeCell ref="D226:E226"/>
    <mergeCell ref="F226:G226"/>
    <mergeCell ref="H226:I226"/>
    <mergeCell ref="J226:K226"/>
    <mergeCell ref="A215:K215"/>
    <mergeCell ref="A216:B216"/>
    <mergeCell ref="A218:K220"/>
    <mergeCell ref="A221:K221"/>
    <mergeCell ref="A222:K222"/>
    <mergeCell ref="B224:C224"/>
    <mergeCell ref="D224:E224"/>
    <mergeCell ref="F224:G224"/>
    <mergeCell ref="H224:I224"/>
    <mergeCell ref="J224:K224"/>
    <mergeCell ref="B183:C183"/>
    <mergeCell ref="D183:E183"/>
    <mergeCell ref="F183:G183"/>
    <mergeCell ref="H183:I183"/>
    <mergeCell ref="J183:K183"/>
    <mergeCell ref="A210:G213"/>
    <mergeCell ref="I210:I211"/>
    <mergeCell ref="J210:K211"/>
    <mergeCell ref="I212:K213"/>
    <mergeCell ref="B181:C181"/>
    <mergeCell ref="D181:E181"/>
    <mergeCell ref="F181:G181"/>
    <mergeCell ref="H181:I181"/>
    <mergeCell ref="J181:K181"/>
    <mergeCell ref="B182:C182"/>
    <mergeCell ref="D182:E182"/>
    <mergeCell ref="F182:G182"/>
    <mergeCell ref="H182:I182"/>
    <mergeCell ref="J182:K182"/>
    <mergeCell ref="B179:C179"/>
    <mergeCell ref="D179:E179"/>
    <mergeCell ref="F179:G179"/>
    <mergeCell ref="H179:I179"/>
    <mergeCell ref="J179:K179"/>
    <mergeCell ref="B180:C180"/>
    <mergeCell ref="D180:E180"/>
    <mergeCell ref="F180:G180"/>
    <mergeCell ref="H180:I180"/>
    <mergeCell ref="J180:K180"/>
    <mergeCell ref="B177:C177"/>
    <mergeCell ref="D177:E177"/>
    <mergeCell ref="F177:G177"/>
    <mergeCell ref="H177:I177"/>
    <mergeCell ref="J177:K177"/>
    <mergeCell ref="B178:C178"/>
    <mergeCell ref="D178:E178"/>
    <mergeCell ref="F178:G178"/>
    <mergeCell ref="H178:I178"/>
    <mergeCell ref="J178:K178"/>
    <mergeCell ref="B175:C175"/>
    <mergeCell ref="D175:E175"/>
    <mergeCell ref="F175:G175"/>
    <mergeCell ref="H175:I175"/>
    <mergeCell ref="J175:K175"/>
    <mergeCell ref="B176:C176"/>
    <mergeCell ref="D176:E176"/>
    <mergeCell ref="F176:G176"/>
    <mergeCell ref="H176:I176"/>
    <mergeCell ref="J176:K176"/>
    <mergeCell ref="A165:K165"/>
    <mergeCell ref="A166:B166"/>
    <mergeCell ref="A168:K170"/>
    <mergeCell ref="A171:K171"/>
    <mergeCell ref="A172:K172"/>
    <mergeCell ref="B174:C174"/>
    <mergeCell ref="D174:E174"/>
    <mergeCell ref="F174:G174"/>
    <mergeCell ref="H174:I174"/>
    <mergeCell ref="J174:K174"/>
    <mergeCell ref="H150:I150"/>
    <mergeCell ref="J150:K150"/>
    <mergeCell ref="A159:G162"/>
    <mergeCell ref="I159:I160"/>
    <mergeCell ref="J159:K160"/>
    <mergeCell ref="I161:K162"/>
    <mergeCell ref="J147:K147"/>
    <mergeCell ref="D148:E148"/>
    <mergeCell ref="H148:I148"/>
    <mergeCell ref="J148:K148"/>
    <mergeCell ref="D149:E149"/>
    <mergeCell ref="H149:I149"/>
    <mergeCell ref="J149:K149"/>
    <mergeCell ref="D150:E150"/>
    <mergeCell ref="B148:C148"/>
    <mergeCell ref="B149:C149"/>
    <mergeCell ref="B150:C150"/>
    <mergeCell ref="F147:G147"/>
    <mergeCell ref="F148:G148"/>
    <mergeCell ref="F149:G149"/>
    <mergeCell ref="F150:G150"/>
    <mergeCell ref="H145:I145"/>
    <mergeCell ref="J145:K145"/>
    <mergeCell ref="D146:E146"/>
    <mergeCell ref="H146:I146"/>
    <mergeCell ref="J146:K146"/>
    <mergeCell ref="D147:E147"/>
    <mergeCell ref="H147:I147"/>
    <mergeCell ref="D143:E143"/>
    <mergeCell ref="H143:I143"/>
    <mergeCell ref="J143:K143"/>
    <mergeCell ref="D144:E144"/>
    <mergeCell ref="H144:I144"/>
    <mergeCell ref="J144:K144"/>
    <mergeCell ref="D145:E145"/>
    <mergeCell ref="F144:G144"/>
    <mergeCell ref="F145:G145"/>
    <mergeCell ref="F146:G146"/>
    <mergeCell ref="F143:G143"/>
    <mergeCell ref="H140:I140"/>
    <mergeCell ref="J140:K140"/>
    <mergeCell ref="D141:E141"/>
    <mergeCell ref="H141:I141"/>
    <mergeCell ref="J141:K141"/>
    <mergeCell ref="D142:E142"/>
    <mergeCell ref="H142:I142"/>
    <mergeCell ref="J142:K142"/>
    <mergeCell ref="J137:K137"/>
    <mergeCell ref="D138:E138"/>
    <mergeCell ref="H138:I138"/>
    <mergeCell ref="J138:K138"/>
    <mergeCell ref="D139:E139"/>
    <mergeCell ref="H139:I139"/>
    <mergeCell ref="J139:K139"/>
    <mergeCell ref="D140:E140"/>
    <mergeCell ref="F137:G137"/>
    <mergeCell ref="F138:G138"/>
    <mergeCell ref="F139:G139"/>
    <mergeCell ref="F140:G140"/>
    <mergeCell ref="F141:G141"/>
    <mergeCell ref="F142:G142"/>
    <mergeCell ref="H135:I135"/>
    <mergeCell ref="J135:K135"/>
    <mergeCell ref="D136:E136"/>
    <mergeCell ref="H136:I136"/>
    <mergeCell ref="J136:K136"/>
    <mergeCell ref="D137:E137"/>
    <mergeCell ref="H137:I137"/>
    <mergeCell ref="H132:I132"/>
    <mergeCell ref="J132:K132"/>
    <mergeCell ref="D133:E133"/>
    <mergeCell ref="H133:I133"/>
    <mergeCell ref="J133:K133"/>
    <mergeCell ref="D134:E134"/>
    <mergeCell ref="H134:I134"/>
    <mergeCell ref="J134:K134"/>
    <mergeCell ref="F133:G133"/>
    <mergeCell ref="F134:G134"/>
    <mergeCell ref="F135:G135"/>
    <mergeCell ref="F136:G136"/>
    <mergeCell ref="D135:E135"/>
    <mergeCell ref="F132:G132"/>
    <mergeCell ref="J129:K129"/>
    <mergeCell ref="D130:E130"/>
    <mergeCell ref="H130:I130"/>
    <mergeCell ref="J130:K130"/>
    <mergeCell ref="D131:E131"/>
    <mergeCell ref="H131:I131"/>
    <mergeCell ref="J131:K131"/>
    <mergeCell ref="D132:E132"/>
    <mergeCell ref="D127:E127"/>
    <mergeCell ref="H127:I127"/>
    <mergeCell ref="J127:K127"/>
    <mergeCell ref="D128:E128"/>
    <mergeCell ref="H128:I128"/>
    <mergeCell ref="J128:K128"/>
    <mergeCell ref="D129:E129"/>
    <mergeCell ref="H129:I129"/>
    <mergeCell ref="F127:G127"/>
    <mergeCell ref="F128:G128"/>
    <mergeCell ref="F129:G129"/>
    <mergeCell ref="F130:G130"/>
    <mergeCell ref="F131:G131"/>
    <mergeCell ref="H125:I125"/>
    <mergeCell ref="J125:K125"/>
    <mergeCell ref="B126:C126"/>
    <mergeCell ref="D126:E126"/>
    <mergeCell ref="F126:G126"/>
    <mergeCell ref="H126:I126"/>
    <mergeCell ref="J126:K126"/>
    <mergeCell ref="A117:K117"/>
    <mergeCell ref="A118:B118"/>
    <mergeCell ref="A119:K121"/>
    <mergeCell ref="A122:K122"/>
    <mergeCell ref="A123:B123"/>
    <mergeCell ref="A124:K124"/>
    <mergeCell ref="H101:I101"/>
    <mergeCell ref="J101:K101"/>
    <mergeCell ref="A111:G114"/>
    <mergeCell ref="I111:I112"/>
    <mergeCell ref="J111:K112"/>
    <mergeCell ref="I113:K114"/>
    <mergeCell ref="J98:K98"/>
    <mergeCell ref="D99:E99"/>
    <mergeCell ref="H99:I99"/>
    <mergeCell ref="J99:K99"/>
    <mergeCell ref="D100:E100"/>
    <mergeCell ref="H100:I100"/>
    <mergeCell ref="J100:K100"/>
    <mergeCell ref="D101:E101"/>
    <mergeCell ref="F98:G98"/>
    <mergeCell ref="F99:G99"/>
    <mergeCell ref="F100:G100"/>
    <mergeCell ref="F101:G101"/>
    <mergeCell ref="H97:I97"/>
    <mergeCell ref="J97:K97"/>
    <mergeCell ref="D98:E98"/>
    <mergeCell ref="H98:I98"/>
    <mergeCell ref="D94:E94"/>
    <mergeCell ref="H94:I94"/>
    <mergeCell ref="J94:K94"/>
    <mergeCell ref="D95:E95"/>
    <mergeCell ref="H95:I95"/>
    <mergeCell ref="J95:K95"/>
    <mergeCell ref="F96:G96"/>
    <mergeCell ref="F97:G97"/>
    <mergeCell ref="F94:G94"/>
    <mergeCell ref="D92:E92"/>
    <mergeCell ref="H92:I92"/>
    <mergeCell ref="J92:K92"/>
    <mergeCell ref="D93:E93"/>
    <mergeCell ref="H93:I93"/>
    <mergeCell ref="J93:K93"/>
    <mergeCell ref="F95:G95"/>
    <mergeCell ref="H96:I96"/>
    <mergeCell ref="J96:K96"/>
    <mergeCell ref="F92:G92"/>
    <mergeCell ref="F93:G93"/>
    <mergeCell ref="J88:K88"/>
    <mergeCell ref="D89:E89"/>
    <mergeCell ref="H89:I89"/>
    <mergeCell ref="J89:K89"/>
    <mergeCell ref="D90:E90"/>
    <mergeCell ref="H90:I90"/>
    <mergeCell ref="J90:K90"/>
    <mergeCell ref="D91:E91"/>
    <mergeCell ref="D86:E86"/>
    <mergeCell ref="H86:I86"/>
    <mergeCell ref="J86:K86"/>
    <mergeCell ref="D87:E87"/>
    <mergeCell ref="H87:I87"/>
    <mergeCell ref="J87:K87"/>
    <mergeCell ref="D88:E88"/>
    <mergeCell ref="H88:I88"/>
    <mergeCell ref="H91:I91"/>
    <mergeCell ref="J91:K91"/>
    <mergeCell ref="F86:G86"/>
    <mergeCell ref="F87:G87"/>
    <mergeCell ref="F88:G88"/>
    <mergeCell ref="F89:G89"/>
    <mergeCell ref="F90:G90"/>
    <mergeCell ref="F91:G91"/>
    <mergeCell ref="H83:I83"/>
    <mergeCell ref="J83:K83"/>
    <mergeCell ref="D84:E84"/>
    <mergeCell ref="H84:I84"/>
    <mergeCell ref="J84:K84"/>
    <mergeCell ref="D85:E85"/>
    <mergeCell ref="H85:I85"/>
    <mergeCell ref="J85:K85"/>
    <mergeCell ref="J80:K80"/>
    <mergeCell ref="D81:E81"/>
    <mergeCell ref="H81:I81"/>
    <mergeCell ref="J81:K81"/>
    <mergeCell ref="D82:E82"/>
    <mergeCell ref="H82:I82"/>
    <mergeCell ref="J82:K82"/>
    <mergeCell ref="D83:E83"/>
    <mergeCell ref="F80:G80"/>
    <mergeCell ref="F81:G81"/>
    <mergeCell ref="F82:G82"/>
    <mergeCell ref="F83:G83"/>
    <mergeCell ref="F85:G85"/>
    <mergeCell ref="D78:E78"/>
    <mergeCell ref="H78:I78"/>
    <mergeCell ref="J78:K78"/>
    <mergeCell ref="D79:E79"/>
    <mergeCell ref="H79:I79"/>
    <mergeCell ref="J79:K79"/>
    <mergeCell ref="D80:E80"/>
    <mergeCell ref="H80:I80"/>
    <mergeCell ref="B76:C76"/>
    <mergeCell ref="D76:E76"/>
    <mergeCell ref="F76:G76"/>
    <mergeCell ref="H76:I76"/>
    <mergeCell ref="J76:K76"/>
    <mergeCell ref="B77:C77"/>
    <mergeCell ref="D77:E77"/>
    <mergeCell ref="F77:G77"/>
    <mergeCell ref="H77:I77"/>
    <mergeCell ref="J77:K77"/>
    <mergeCell ref="F78:G78"/>
    <mergeCell ref="F79:G79"/>
    <mergeCell ref="B78:C78"/>
    <mergeCell ref="B79:C79"/>
    <mergeCell ref="B80:C80"/>
    <mergeCell ref="A68:K68"/>
    <mergeCell ref="A69:B69"/>
    <mergeCell ref="A70:K72"/>
    <mergeCell ref="A73:K73"/>
    <mergeCell ref="A74:B74"/>
    <mergeCell ref="A75:K75"/>
    <mergeCell ref="A55:K55"/>
    <mergeCell ref="A56:K56"/>
    <mergeCell ref="A57:K57"/>
    <mergeCell ref="A62:G65"/>
    <mergeCell ref="I62:I63"/>
    <mergeCell ref="J62:K63"/>
    <mergeCell ref="I64:K65"/>
    <mergeCell ref="A38:B38"/>
    <mergeCell ref="A39:B39"/>
    <mergeCell ref="A43:B43"/>
    <mergeCell ref="A46:K46"/>
    <mergeCell ref="A48:K48"/>
    <mergeCell ref="A50:K52"/>
    <mergeCell ref="A33:B33"/>
    <mergeCell ref="A34:B34"/>
    <mergeCell ref="A35:B35"/>
    <mergeCell ref="D35:E35"/>
    <mergeCell ref="A36:B36"/>
    <mergeCell ref="A37:B37"/>
    <mergeCell ref="A25:B25"/>
    <mergeCell ref="A26:B26"/>
    <mergeCell ref="A27:B27"/>
    <mergeCell ref="A28:B28"/>
    <mergeCell ref="A29:B29"/>
    <mergeCell ref="A30:B30"/>
    <mergeCell ref="A1:K2"/>
    <mergeCell ref="A6:B7"/>
    <mergeCell ref="C6:E6"/>
    <mergeCell ref="G6:I6"/>
    <mergeCell ref="A16:K16"/>
    <mergeCell ref="A24:B24"/>
  </mergeCells>
  <conditionalFormatting sqref="H176:I183">
    <cfRule type="cellIs" dxfId="13" priority="3" operator="lessThan">
      <formula>100</formula>
    </cfRule>
  </conditionalFormatting>
  <conditionalFormatting sqref="H226:I233">
    <cfRule type="cellIs" dxfId="12" priority="2" operator="lessThan">
      <formula>100</formula>
    </cfRule>
  </conditionalFormatting>
  <conditionalFormatting sqref="H277:I284">
    <cfRule type="cellIs" dxfId="11" priority="1" operator="lessThan">
      <formula>100</formula>
    </cfRule>
  </conditionalFormatting>
  <dataValidations count="1">
    <dataValidation type="list" allowBlank="1" showInputMessage="1" showErrorMessage="1" sqref="J434" xr:uid="{785A3D0A-0EAA-4375-B732-576008D33803}">
      <formula1>$J$24:$J$25</formula1>
    </dataValidation>
  </dataValidations>
  <pageMargins left="0.59055118110236227" right="0.39370078740157483" top="0.23622047244094491" bottom="0.23622047244094491" header="0.31496062992125984" footer="0.31496062992125984"/>
  <pageSetup paperSize="9" orientation="portrait" r:id="rId1"/>
  <rowBreaks count="8" manualBreakCount="8">
    <brk id="61" max="16383" man="1"/>
    <brk id="110" max="16383" man="1"/>
    <brk id="158" max="16383" man="1"/>
    <brk id="209" max="16383" man="1"/>
    <brk id="260" max="16383" man="1"/>
    <brk id="309" max="16383" man="1"/>
    <brk id="357" max="16383" man="1"/>
    <brk id="406" max="16383" man="1"/>
  </rowBreaks>
  <drawing r:id="rId2"/>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204481-EFDB-49FD-80F1-5CB8DEAE9F39}">
  <dimension ref="A1:K536"/>
  <sheetViews>
    <sheetView view="pageLayout" zoomScale="120" zoomScaleNormal="100" zoomScalePageLayoutView="120" workbookViewId="0">
      <selection activeCell="D77" sqref="D77:E77"/>
    </sheetView>
  </sheetViews>
  <sheetFormatPr defaultRowHeight="15" x14ac:dyDescent="0.25"/>
  <cols>
    <col min="1" max="10" width="8.28515625" style="20" customWidth="1"/>
    <col min="11" max="16384" width="9.140625" style="20"/>
  </cols>
  <sheetData>
    <row r="1" spans="1:11" x14ac:dyDescent="0.25">
      <c r="A1" s="86" t="s">
        <v>0</v>
      </c>
      <c r="B1" s="87"/>
      <c r="C1" s="87"/>
      <c r="D1" s="87"/>
      <c r="E1" s="87"/>
      <c r="F1" s="87"/>
      <c r="G1" s="87"/>
      <c r="H1" s="87"/>
      <c r="I1" s="87"/>
      <c r="J1" s="87"/>
      <c r="K1" s="88"/>
    </row>
    <row r="2" spans="1:11" x14ac:dyDescent="0.25">
      <c r="A2" s="89"/>
      <c r="B2" s="90"/>
      <c r="C2" s="90"/>
      <c r="D2" s="90"/>
      <c r="E2" s="90"/>
      <c r="F2" s="90"/>
      <c r="G2" s="90"/>
      <c r="H2" s="90"/>
      <c r="I2" s="90"/>
      <c r="J2" s="90"/>
      <c r="K2" s="91"/>
    </row>
    <row r="3" spans="1:11" ht="7.15" customHeight="1" x14ac:dyDescent="0.25">
      <c r="A3" s="21"/>
      <c r="B3" s="57"/>
      <c r="C3" s="57"/>
      <c r="D3" s="57"/>
      <c r="E3" s="57"/>
      <c r="F3" s="57"/>
      <c r="G3" s="57"/>
      <c r="H3" s="57"/>
      <c r="I3" s="57"/>
      <c r="J3" s="57"/>
      <c r="K3" s="22"/>
    </row>
    <row r="4" spans="1:11" ht="15.6" customHeight="1" x14ac:dyDescent="0.25">
      <c r="A4" s="23" t="s">
        <v>159</v>
      </c>
      <c r="B4" s="58"/>
      <c r="C4" s="58" t="s">
        <v>111</v>
      </c>
      <c r="D4" s="58"/>
      <c r="E4" s="58"/>
      <c r="F4" s="59"/>
      <c r="G4" s="59"/>
      <c r="H4" s="59"/>
      <c r="I4" s="59"/>
      <c r="J4" s="59"/>
      <c r="K4" s="24"/>
    </row>
    <row r="5" spans="1:11" ht="7.9" customHeight="1" x14ac:dyDescent="0.25">
      <c r="A5" s="23"/>
      <c r="B5" s="58"/>
      <c r="C5" s="58"/>
      <c r="D5" s="58"/>
      <c r="E5" s="58"/>
      <c r="F5" s="59"/>
      <c r="G5" s="59"/>
      <c r="H5" s="59"/>
      <c r="I5" s="59"/>
      <c r="J5" s="59"/>
      <c r="K5" s="24"/>
    </row>
    <row r="6" spans="1:11" ht="15.75" x14ac:dyDescent="0.25">
      <c r="A6" s="92" t="s">
        <v>37</v>
      </c>
      <c r="B6" s="93"/>
      <c r="C6" s="96">
        <v>44175</v>
      </c>
      <c r="D6" s="96"/>
      <c r="E6" s="96"/>
      <c r="F6" s="59"/>
      <c r="G6" s="97" t="s">
        <v>2</v>
      </c>
      <c r="H6" s="97"/>
      <c r="I6" s="97"/>
      <c r="J6" s="60" t="s">
        <v>195</v>
      </c>
      <c r="K6" s="24"/>
    </row>
    <row r="7" spans="1:11" ht="7.9" customHeight="1" x14ac:dyDescent="0.25">
      <c r="A7" s="94"/>
      <c r="B7" s="95"/>
      <c r="C7" s="25"/>
      <c r="D7" s="25"/>
      <c r="E7" s="25"/>
      <c r="F7" s="26"/>
      <c r="G7" s="26"/>
      <c r="H7" s="26"/>
      <c r="I7" s="26"/>
      <c r="J7" s="26"/>
      <c r="K7" s="27"/>
    </row>
    <row r="8" spans="1:11" ht="7.9" customHeight="1" x14ac:dyDescent="0.25">
      <c r="A8" s="28"/>
      <c r="B8" s="28"/>
      <c r="C8" s="28"/>
      <c r="D8" s="28"/>
      <c r="E8" s="28"/>
      <c r="F8" s="28"/>
      <c r="G8" s="28"/>
      <c r="H8" s="28"/>
      <c r="I8" s="28"/>
      <c r="J8" s="28"/>
      <c r="K8" s="28"/>
    </row>
    <row r="9" spans="1:11" x14ac:dyDescent="0.25">
      <c r="A9" s="28"/>
      <c r="B9" s="28"/>
      <c r="C9" s="28"/>
      <c r="D9" s="28"/>
      <c r="E9" s="28"/>
      <c r="F9" s="29" t="s">
        <v>3</v>
      </c>
      <c r="G9" s="30"/>
      <c r="H9" s="30"/>
      <c r="I9" s="28"/>
      <c r="J9" s="31" t="s">
        <v>273</v>
      </c>
      <c r="K9" s="31"/>
    </row>
    <row r="10" spans="1:11" x14ac:dyDescent="0.25">
      <c r="A10" s="28"/>
      <c r="B10" s="28"/>
      <c r="C10" s="28"/>
      <c r="D10" s="28"/>
      <c r="E10" s="28"/>
      <c r="F10" s="29" t="s">
        <v>4</v>
      </c>
      <c r="G10" s="30"/>
      <c r="H10" s="30"/>
      <c r="I10" s="28"/>
      <c r="J10" s="31"/>
      <c r="K10" s="31"/>
    </row>
    <row r="11" spans="1:11" x14ac:dyDescent="0.25">
      <c r="A11" s="28"/>
      <c r="B11" s="28"/>
      <c r="C11" s="28"/>
      <c r="D11" s="28"/>
      <c r="E11" s="28"/>
      <c r="F11" s="29" t="s">
        <v>5</v>
      </c>
      <c r="G11" s="30"/>
      <c r="H11" s="30"/>
      <c r="I11" s="28"/>
      <c r="J11" s="31" t="s">
        <v>9</v>
      </c>
      <c r="K11" s="31"/>
    </row>
    <row r="12" spans="1:11" x14ac:dyDescent="0.25">
      <c r="A12" s="28"/>
      <c r="B12" s="28"/>
      <c r="C12" s="28"/>
      <c r="D12" s="28"/>
      <c r="E12" s="28"/>
      <c r="F12" s="29" t="s">
        <v>6</v>
      </c>
      <c r="G12" s="30"/>
      <c r="H12" s="30"/>
      <c r="I12" s="28"/>
      <c r="J12" s="31"/>
      <c r="K12" s="31"/>
    </row>
    <row r="13" spans="1:11" x14ac:dyDescent="0.25">
      <c r="A13" s="28"/>
      <c r="B13" s="28"/>
      <c r="C13" s="28"/>
      <c r="D13" s="28"/>
      <c r="E13" s="28"/>
      <c r="F13" s="29" t="s">
        <v>7</v>
      </c>
      <c r="G13" s="30"/>
      <c r="H13" s="30"/>
      <c r="I13" s="28"/>
      <c r="J13" s="31"/>
      <c r="K13" s="31"/>
    </row>
    <row r="14" spans="1:11" x14ac:dyDescent="0.25">
      <c r="A14" s="28"/>
      <c r="B14" s="28"/>
      <c r="C14" s="28"/>
      <c r="D14" s="28"/>
      <c r="E14" s="28"/>
      <c r="F14" s="29" t="s">
        <v>8</v>
      </c>
      <c r="G14" s="30"/>
      <c r="H14" s="30"/>
      <c r="I14" s="28"/>
      <c r="J14" s="31" t="s">
        <v>38</v>
      </c>
      <c r="K14" s="31"/>
    </row>
    <row r="15" spans="1:11" ht="7.15" customHeight="1" thickBot="1" x14ac:dyDescent="0.3">
      <c r="A15" s="32"/>
      <c r="B15" s="32"/>
      <c r="C15" s="32"/>
      <c r="D15" s="32"/>
      <c r="E15" s="32"/>
      <c r="F15" s="32"/>
      <c r="G15" s="32"/>
      <c r="H15" s="32"/>
      <c r="I15" s="32"/>
      <c r="J15" s="32"/>
      <c r="K15" s="32"/>
    </row>
    <row r="16" spans="1:11" x14ac:dyDescent="0.25">
      <c r="A16" s="98"/>
      <c r="B16" s="98"/>
      <c r="C16" s="98"/>
      <c r="D16" s="98"/>
      <c r="E16" s="98"/>
      <c r="F16" s="98"/>
      <c r="G16" s="98"/>
      <c r="H16" s="98"/>
      <c r="I16" s="98"/>
      <c r="J16" s="98"/>
      <c r="K16" s="98"/>
    </row>
    <row r="17" spans="1:11" x14ac:dyDescent="0.25">
      <c r="A17" s="33" t="s">
        <v>11</v>
      </c>
      <c r="B17" s="33"/>
      <c r="C17" s="33"/>
      <c r="D17" s="33" t="s">
        <v>111</v>
      </c>
      <c r="E17" s="33"/>
      <c r="F17" s="33"/>
      <c r="G17" s="33"/>
      <c r="H17" s="33"/>
      <c r="I17" s="33"/>
      <c r="J17" s="33"/>
      <c r="K17" s="33"/>
    </row>
    <row r="18" spans="1:11" x14ac:dyDescent="0.25">
      <c r="A18" s="33"/>
      <c r="B18" s="33"/>
      <c r="C18" s="33"/>
      <c r="D18" s="34" t="s">
        <v>3</v>
      </c>
      <c r="E18" s="33"/>
      <c r="F18" s="33"/>
      <c r="G18" s="33"/>
      <c r="H18" s="33"/>
      <c r="I18" s="33"/>
      <c r="J18" s="33"/>
      <c r="K18" s="33"/>
    </row>
    <row r="19" spans="1:11" x14ac:dyDescent="0.25">
      <c r="A19" s="33"/>
      <c r="B19" s="33"/>
      <c r="C19" s="33"/>
      <c r="D19" s="34" t="s">
        <v>4</v>
      </c>
      <c r="E19" s="33"/>
      <c r="F19" s="33"/>
      <c r="G19" s="33"/>
      <c r="H19" s="33"/>
      <c r="I19" s="33"/>
      <c r="J19" s="33"/>
      <c r="K19" s="33"/>
    </row>
    <row r="20" spans="1:11" x14ac:dyDescent="0.25">
      <c r="A20" s="33"/>
      <c r="B20" s="33"/>
      <c r="C20" s="33"/>
      <c r="D20" s="34" t="s">
        <v>5</v>
      </c>
      <c r="E20" s="33"/>
      <c r="F20" s="33"/>
      <c r="G20" s="33"/>
      <c r="H20" s="33"/>
      <c r="I20" s="33"/>
      <c r="J20" s="33"/>
      <c r="K20" s="33"/>
    </row>
    <row r="21" spans="1:11" x14ac:dyDescent="0.25">
      <c r="A21" s="33"/>
      <c r="B21" s="33"/>
      <c r="C21" s="33"/>
      <c r="D21" s="34" t="s">
        <v>6</v>
      </c>
      <c r="E21" s="33"/>
      <c r="F21" s="33"/>
      <c r="G21" s="33"/>
      <c r="H21" s="33"/>
      <c r="I21" s="33"/>
      <c r="J21" s="33"/>
      <c r="K21" s="33"/>
    </row>
    <row r="22" spans="1:11" x14ac:dyDescent="0.25">
      <c r="A22" s="33"/>
      <c r="B22" s="33"/>
      <c r="C22" s="33"/>
      <c r="D22" s="34" t="s">
        <v>7</v>
      </c>
      <c r="E22" s="33"/>
      <c r="F22" s="33"/>
      <c r="G22" s="33"/>
      <c r="H22" s="33"/>
      <c r="I22" s="33"/>
      <c r="J22" s="33"/>
      <c r="K22" s="33"/>
    </row>
    <row r="23" spans="1:11" x14ac:dyDescent="0.25">
      <c r="A23" s="33"/>
      <c r="B23" s="33"/>
      <c r="C23" s="33"/>
      <c r="D23" s="29"/>
      <c r="E23" s="33"/>
      <c r="F23" s="33"/>
      <c r="G23" s="33"/>
      <c r="H23" s="33"/>
      <c r="I23" s="33"/>
      <c r="J23" s="33"/>
      <c r="K23" s="33"/>
    </row>
    <row r="24" spans="1:11" x14ac:dyDescent="0.25">
      <c r="A24" s="85" t="s">
        <v>20</v>
      </c>
      <c r="B24" s="85"/>
      <c r="C24" s="33"/>
      <c r="D24" s="55">
        <v>78546978</v>
      </c>
      <c r="E24" s="33"/>
      <c r="F24" s="33"/>
      <c r="G24" s="33"/>
      <c r="H24" s="33"/>
      <c r="I24" s="33"/>
      <c r="J24" s="33"/>
      <c r="K24" s="33"/>
    </row>
    <row r="25" spans="1:11" x14ac:dyDescent="0.25">
      <c r="A25" s="85" t="s">
        <v>31</v>
      </c>
      <c r="B25" s="85"/>
      <c r="C25" s="33"/>
      <c r="D25" s="33" t="s">
        <v>109</v>
      </c>
      <c r="E25" s="33" t="s">
        <v>193</v>
      </c>
      <c r="F25" s="33"/>
      <c r="G25" s="33"/>
      <c r="H25" s="33"/>
      <c r="I25" s="33"/>
      <c r="J25" s="33"/>
      <c r="K25" s="33"/>
    </row>
    <row r="26" spans="1:11" x14ac:dyDescent="0.25">
      <c r="A26" s="85"/>
      <c r="B26" s="85"/>
      <c r="C26" s="33"/>
      <c r="D26" s="33"/>
      <c r="E26" s="33"/>
      <c r="F26" s="33"/>
      <c r="G26" s="33"/>
      <c r="H26" s="33"/>
      <c r="I26" s="33"/>
      <c r="J26" s="33"/>
      <c r="K26" s="33"/>
    </row>
    <row r="27" spans="1:11" x14ac:dyDescent="0.25">
      <c r="A27" s="85" t="s">
        <v>21</v>
      </c>
      <c r="B27" s="85"/>
      <c r="C27" s="28"/>
      <c r="D27" s="33" t="s">
        <v>32</v>
      </c>
      <c r="E27" s="33"/>
      <c r="F27" s="33"/>
      <c r="G27" s="33"/>
      <c r="H27" s="33"/>
      <c r="I27" s="33"/>
      <c r="J27" s="33"/>
      <c r="K27" s="33"/>
    </row>
    <row r="28" spans="1:11" x14ac:dyDescent="0.25">
      <c r="A28" s="85" t="s">
        <v>22</v>
      </c>
      <c r="B28" s="85"/>
      <c r="C28" s="28"/>
      <c r="D28" s="55" t="str">
        <f>IF(Checks!C27="0","",Checks!C27)</f>
        <v/>
      </c>
      <c r="E28" s="55"/>
      <c r="F28" s="35"/>
      <c r="G28" s="33"/>
      <c r="H28" s="33"/>
      <c r="I28" s="33"/>
      <c r="J28" s="33"/>
      <c r="K28" s="33"/>
    </row>
    <row r="29" spans="1:11" x14ac:dyDescent="0.25">
      <c r="A29" s="85" t="s">
        <v>23</v>
      </c>
      <c r="B29" s="85"/>
      <c r="C29" s="28"/>
      <c r="D29" s="33" t="s">
        <v>33</v>
      </c>
      <c r="E29" s="55">
        <v>1243</v>
      </c>
      <c r="F29" s="33"/>
      <c r="G29" s="33"/>
      <c r="H29" s="33"/>
      <c r="I29" s="33"/>
      <c r="J29" s="33"/>
      <c r="K29" s="33"/>
    </row>
    <row r="30" spans="1:11" x14ac:dyDescent="0.25">
      <c r="A30" s="85" t="s">
        <v>24</v>
      </c>
      <c r="B30" s="85"/>
      <c r="C30" s="28"/>
      <c r="E30" s="33"/>
      <c r="F30" s="33"/>
      <c r="G30" s="33"/>
      <c r="H30" s="33"/>
      <c r="I30" s="33"/>
      <c r="J30" s="33"/>
      <c r="K30" s="33"/>
    </row>
    <row r="31" spans="1:11" x14ac:dyDescent="0.25">
      <c r="A31" s="55"/>
      <c r="B31" s="55"/>
      <c r="C31" s="28"/>
      <c r="D31" s="55"/>
      <c r="E31" s="33"/>
      <c r="F31" s="33"/>
      <c r="G31" s="33"/>
      <c r="H31" s="33"/>
      <c r="I31" s="33"/>
      <c r="J31" s="33"/>
      <c r="K31" s="33"/>
    </row>
    <row r="32" spans="1:11" x14ac:dyDescent="0.25">
      <c r="A32" s="85" t="s">
        <v>30</v>
      </c>
      <c r="B32" s="85"/>
      <c r="C32" s="28"/>
      <c r="D32" s="33" t="s">
        <v>110</v>
      </c>
      <c r="E32" s="33"/>
      <c r="F32" s="33"/>
      <c r="G32" s="33"/>
      <c r="H32" s="33"/>
      <c r="I32" s="33"/>
      <c r="J32" s="33"/>
      <c r="K32" s="33"/>
    </row>
    <row r="33" spans="1:11" x14ac:dyDescent="0.25">
      <c r="A33" s="85"/>
      <c r="B33" s="85"/>
      <c r="C33" s="28"/>
      <c r="D33" s="33"/>
      <c r="E33" s="33"/>
      <c r="F33" s="33"/>
      <c r="G33" s="33"/>
      <c r="H33" s="33"/>
      <c r="I33" s="33"/>
      <c r="J33" s="33"/>
      <c r="K33" s="33"/>
    </row>
    <row r="34" spans="1:11" x14ac:dyDescent="0.25">
      <c r="A34" s="85" t="s">
        <v>25</v>
      </c>
      <c r="B34" s="85"/>
      <c r="C34" s="28"/>
      <c r="D34" s="100">
        <v>44175</v>
      </c>
      <c r="E34" s="100"/>
      <c r="F34" s="33"/>
      <c r="G34" s="33"/>
      <c r="H34" s="33"/>
      <c r="I34" s="33"/>
      <c r="J34" s="33"/>
      <c r="K34" s="33"/>
    </row>
    <row r="35" spans="1:11" x14ac:dyDescent="0.25">
      <c r="A35" s="85" t="s">
        <v>26</v>
      </c>
      <c r="B35" s="85"/>
      <c r="C35" s="28"/>
      <c r="D35" s="33" t="s">
        <v>275</v>
      </c>
      <c r="E35" s="33"/>
      <c r="F35" s="33"/>
      <c r="G35" s="33"/>
      <c r="H35" s="33"/>
      <c r="I35" s="33"/>
      <c r="J35" s="33"/>
      <c r="K35" s="33"/>
    </row>
    <row r="36" spans="1:11" x14ac:dyDescent="0.25">
      <c r="A36" s="85" t="s">
        <v>27</v>
      </c>
      <c r="B36" s="85"/>
      <c r="C36" s="28"/>
      <c r="D36" s="33" t="s">
        <v>34</v>
      </c>
      <c r="E36" s="33"/>
      <c r="F36" s="33"/>
      <c r="G36" s="33"/>
      <c r="H36" s="33"/>
      <c r="I36" s="33"/>
      <c r="J36" s="33"/>
      <c r="K36" s="33"/>
    </row>
    <row r="37" spans="1:11" x14ac:dyDescent="0.25">
      <c r="A37" s="85" t="s">
        <v>28</v>
      </c>
      <c r="B37" s="85"/>
      <c r="C37" s="28"/>
      <c r="D37" s="33" t="s">
        <v>35</v>
      </c>
      <c r="E37" s="33"/>
      <c r="F37" s="33"/>
      <c r="G37" s="33"/>
      <c r="H37" s="33"/>
      <c r="I37" s="33"/>
      <c r="J37" s="33"/>
      <c r="K37" s="33"/>
    </row>
    <row r="38" spans="1:11" x14ac:dyDescent="0.25">
      <c r="A38" s="85" t="s">
        <v>29</v>
      </c>
      <c r="B38" s="85"/>
      <c r="C38" s="28"/>
      <c r="D38" s="33" t="s">
        <v>41</v>
      </c>
      <c r="E38" s="33"/>
      <c r="F38" s="33"/>
      <c r="G38" s="33"/>
      <c r="H38" s="33"/>
      <c r="I38" s="33"/>
      <c r="J38" s="33"/>
      <c r="K38" s="33"/>
    </row>
    <row r="39" spans="1:11" ht="7.9" customHeight="1" x14ac:dyDescent="0.25">
      <c r="A39" s="33"/>
      <c r="B39" s="33"/>
      <c r="C39" s="33"/>
      <c r="D39" s="33"/>
      <c r="E39" s="33"/>
      <c r="F39" s="33"/>
      <c r="G39" s="33"/>
      <c r="H39" s="33"/>
      <c r="I39" s="33"/>
      <c r="J39" s="33"/>
      <c r="K39" s="33"/>
    </row>
    <row r="40" spans="1:11" x14ac:dyDescent="0.25">
      <c r="A40" s="33" t="s">
        <v>44</v>
      </c>
      <c r="B40" s="33"/>
      <c r="C40" s="33"/>
      <c r="D40" s="33"/>
      <c r="E40" s="33"/>
      <c r="F40" s="33"/>
      <c r="G40" s="33"/>
      <c r="H40" s="33"/>
      <c r="I40" s="33"/>
      <c r="J40" s="33"/>
      <c r="K40" s="33"/>
    </row>
    <row r="41" spans="1:11" ht="7.9" customHeight="1" x14ac:dyDescent="0.25">
      <c r="A41" s="33"/>
      <c r="B41" s="33"/>
      <c r="C41" s="33"/>
      <c r="D41" s="33"/>
      <c r="E41" s="33"/>
      <c r="F41" s="33"/>
      <c r="G41" s="33"/>
      <c r="H41" s="33"/>
      <c r="I41" s="33"/>
      <c r="J41" s="33"/>
      <c r="K41" s="33"/>
    </row>
    <row r="42" spans="1:11" x14ac:dyDescent="0.25">
      <c r="A42" s="85" t="s">
        <v>43</v>
      </c>
      <c r="B42" s="85"/>
      <c r="C42" s="33" t="s">
        <v>276</v>
      </c>
      <c r="D42" s="33"/>
      <c r="E42" s="33"/>
      <c r="F42" s="33"/>
      <c r="G42" s="33"/>
      <c r="H42" s="33"/>
      <c r="I42" s="33"/>
      <c r="J42" s="33"/>
      <c r="K42" s="33"/>
    </row>
    <row r="43" spans="1:11" ht="7.9" customHeight="1" x14ac:dyDescent="0.25">
      <c r="A43" s="33"/>
      <c r="B43" s="33"/>
      <c r="C43" s="33"/>
      <c r="D43" s="33"/>
      <c r="E43" s="33"/>
      <c r="F43" s="33"/>
      <c r="G43" s="33"/>
      <c r="H43" s="33"/>
      <c r="I43" s="33"/>
      <c r="J43" s="33"/>
      <c r="K43" s="33"/>
    </row>
    <row r="44" spans="1:11" x14ac:dyDescent="0.25">
      <c r="A44" s="85" t="s">
        <v>92</v>
      </c>
      <c r="B44" s="85"/>
      <c r="C44" s="85"/>
      <c r="D44" s="85"/>
      <c r="E44" s="85"/>
      <c r="F44" s="85"/>
      <c r="G44" s="85"/>
      <c r="H44" s="85"/>
      <c r="I44" s="85"/>
      <c r="J44" s="85"/>
      <c r="K44" s="85"/>
    </row>
    <row r="45" spans="1:11" ht="7.9" customHeight="1" x14ac:dyDescent="0.25">
      <c r="A45" s="33"/>
      <c r="B45" s="33"/>
      <c r="C45" s="33"/>
      <c r="D45" s="33"/>
      <c r="E45" s="33"/>
      <c r="F45" s="33"/>
      <c r="G45" s="33"/>
      <c r="H45" s="33"/>
      <c r="I45" s="33"/>
      <c r="J45" s="33"/>
      <c r="K45" s="33"/>
    </row>
    <row r="46" spans="1:11" x14ac:dyDescent="0.25">
      <c r="A46" s="85" t="s">
        <v>93</v>
      </c>
      <c r="B46" s="85"/>
      <c r="C46" s="85"/>
      <c r="D46" s="85"/>
      <c r="E46" s="85"/>
      <c r="F46" s="85"/>
      <c r="G46" s="85"/>
      <c r="H46" s="85"/>
      <c r="I46" s="85"/>
      <c r="J46" s="85"/>
      <c r="K46" s="85"/>
    </row>
    <row r="47" spans="1:11" ht="7.9" customHeight="1" x14ac:dyDescent="0.25">
      <c r="A47" s="33"/>
      <c r="B47" s="33"/>
      <c r="C47" s="33"/>
      <c r="D47" s="33"/>
      <c r="E47" s="33"/>
      <c r="F47" s="33"/>
      <c r="G47" s="33"/>
      <c r="H47" s="33"/>
      <c r="I47" s="33"/>
      <c r="J47" s="33"/>
      <c r="K47" s="33"/>
    </row>
    <row r="48" spans="1:11" x14ac:dyDescent="0.25">
      <c r="A48" s="99" t="s">
        <v>94</v>
      </c>
      <c r="B48" s="99"/>
      <c r="C48" s="99"/>
      <c r="D48" s="99"/>
      <c r="E48" s="99"/>
      <c r="F48" s="99"/>
      <c r="G48" s="99"/>
      <c r="H48" s="99"/>
      <c r="I48" s="99"/>
      <c r="J48" s="99"/>
      <c r="K48" s="99"/>
    </row>
    <row r="49" spans="1:11" x14ac:dyDescent="0.25">
      <c r="A49" s="99"/>
      <c r="B49" s="99"/>
      <c r="C49" s="99"/>
      <c r="D49" s="99"/>
      <c r="E49" s="99"/>
      <c r="F49" s="99"/>
      <c r="G49" s="99"/>
      <c r="H49" s="99"/>
      <c r="I49" s="99"/>
      <c r="J49" s="99"/>
      <c r="K49" s="99"/>
    </row>
    <row r="50" spans="1:11" x14ac:dyDescent="0.25">
      <c r="A50" s="99"/>
      <c r="B50" s="99"/>
      <c r="C50" s="99"/>
      <c r="D50" s="99"/>
      <c r="E50" s="99"/>
      <c r="F50" s="99"/>
      <c r="G50" s="99"/>
      <c r="H50" s="99"/>
      <c r="I50" s="99"/>
      <c r="J50" s="99"/>
      <c r="K50" s="99"/>
    </row>
    <row r="51" spans="1:11" ht="7.9" customHeight="1" x14ac:dyDescent="0.25">
      <c r="A51" s="33"/>
      <c r="B51" s="33"/>
      <c r="C51" s="33"/>
      <c r="D51" s="33"/>
      <c r="E51" s="33"/>
      <c r="F51" s="33"/>
      <c r="G51" s="33"/>
      <c r="H51" s="33"/>
      <c r="I51" s="33"/>
      <c r="J51" s="33"/>
      <c r="K51" s="33"/>
    </row>
    <row r="52" spans="1:11" x14ac:dyDescent="0.25">
      <c r="A52" s="33" t="s">
        <v>95</v>
      </c>
      <c r="B52" s="33"/>
      <c r="C52" s="33"/>
      <c r="D52" s="33"/>
      <c r="E52" s="33"/>
      <c r="F52" s="33"/>
      <c r="G52" s="33"/>
      <c r="H52" s="33"/>
      <c r="I52" s="33"/>
      <c r="J52" s="33"/>
      <c r="K52" s="33"/>
    </row>
    <row r="53" spans="1:11" x14ac:dyDescent="0.25">
      <c r="A53" s="85"/>
      <c r="B53" s="85"/>
      <c r="C53" s="85"/>
      <c r="D53" s="85"/>
      <c r="E53" s="85"/>
      <c r="F53" s="85"/>
      <c r="G53" s="85"/>
      <c r="H53" s="85"/>
      <c r="I53" s="85"/>
      <c r="J53" s="85"/>
      <c r="K53" s="85"/>
    </row>
    <row r="54" spans="1:11" x14ac:dyDescent="0.25">
      <c r="A54" s="85"/>
      <c r="B54" s="85"/>
      <c r="C54" s="85"/>
      <c r="D54" s="85"/>
      <c r="E54" s="85"/>
      <c r="F54" s="85"/>
      <c r="G54" s="85"/>
      <c r="H54" s="85"/>
      <c r="I54" s="85"/>
      <c r="J54" s="85"/>
      <c r="K54" s="85"/>
    </row>
    <row r="55" spans="1:11" x14ac:dyDescent="0.25">
      <c r="A55" s="85"/>
      <c r="B55" s="85"/>
      <c r="C55" s="85"/>
      <c r="D55" s="85"/>
      <c r="E55" s="85"/>
      <c r="F55" s="85"/>
      <c r="G55" s="85"/>
      <c r="H55" s="85"/>
      <c r="I55" s="85"/>
      <c r="J55" s="85"/>
      <c r="K55" s="85"/>
    </row>
    <row r="56" spans="1:11" x14ac:dyDescent="0.25">
      <c r="A56" s="55"/>
      <c r="B56" s="55"/>
      <c r="C56" s="55"/>
      <c r="D56" s="55"/>
      <c r="E56" s="55"/>
      <c r="F56" s="55"/>
      <c r="G56" s="55"/>
      <c r="H56" s="55"/>
      <c r="I56" s="55"/>
      <c r="J56" s="55"/>
      <c r="K56" s="55"/>
    </row>
    <row r="57" spans="1:11" x14ac:dyDescent="0.25">
      <c r="A57" s="85"/>
      <c r="B57" s="85"/>
      <c r="C57" s="85"/>
      <c r="D57" s="85"/>
      <c r="E57" s="85"/>
      <c r="F57" s="85"/>
      <c r="G57" s="85"/>
      <c r="H57" s="85"/>
      <c r="I57" s="85"/>
      <c r="J57" s="85"/>
      <c r="K57" s="85"/>
    </row>
    <row r="58" spans="1:11" x14ac:dyDescent="0.25">
      <c r="A58" s="55"/>
      <c r="B58" s="55"/>
      <c r="C58" s="55"/>
      <c r="D58" s="55"/>
      <c r="E58" s="55"/>
      <c r="F58" s="55"/>
      <c r="G58" s="55"/>
      <c r="H58" s="55"/>
      <c r="I58" s="55"/>
      <c r="J58" s="55"/>
      <c r="K58" s="55"/>
    </row>
    <row r="59" spans="1:11" x14ac:dyDescent="0.25">
      <c r="A59" s="33" t="s">
        <v>108</v>
      </c>
      <c r="B59" s="33"/>
      <c r="C59" s="33" t="s">
        <v>39</v>
      </c>
      <c r="D59" s="33"/>
      <c r="E59" s="33"/>
      <c r="F59" s="33"/>
      <c r="G59" s="33"/>
      <c r="H59" s="33"/>
      <c r="I59" s="33"/>
      <c r="J59" s="36"/>
      <c r="K59" s="36"/>
    </row>
    <row r="60" spans="1:11" x14ac:dyDescent="0.25">
      <c r="A60" s="36"/>
      <c r="B60" s="36"/>
      <c r="C60" s="36"/>
      <c r="D60" s="36"/>
      <c r="E60" s="36"/>
      <c r="F60" s="36"/>
      <c r="G60" s="36"/>
      <c r="H60" s="36"/>
      <c r="I60" s="36"/>
      <c r="J60" s="36"/>
      <c r="K60" s="36"/>
    </row>
    <row r="61" spans="1:11" ht="14.45" customHeight="1" x14ac:dyDescent="0.25">
      <c r="A61" s="107" t="s">
        <v>0</v>
      </c>
      <c r="B61" s="108"/>
      <c r="C61" s="108"/>
      <c r="D61" s="108"/>
      <c r="E61" s="108"/>
      <c r="F61" s="108"/>
      <c r="G61" s="109"/>
      <c r="H61" s="28"/>
      <c r="I61" s="116" t="s">
        <v>1</v>
      </c>
      <c r="J61" s="118" t="str">
        <f>$J$6</f>
        <v>04567</v>
      </c>
      <c r="K61" s="119"/>
    </row>
    <row r="62" spans="1:11" ht="14.45" customHeight="1" x14ac:dyDescent="0.25">
      <c r="A62" s="110"/>
      <c r="B62" s="111"/>
      <c r="C62" s="111"/>
      <c r="D62" s="111"/>
      <c r="E62" s="111"/>
      <c r="F62" s="111"/>
      <c r="G62" s="112"/>
      <c r="H62" s="28"/>
      <c r="I62" s="117"/>
      <c r="J62" s="120"/>
      <c r="K62" s="121"/>
    </row>
    <row r="63" spans="1:11" ht="14.45" customHeight="1" x14ac:dyDescent="0.25">
      <c r="A63" s="110"/>
      <c r="B63" s="111"/>
      <c r="C63" s="111"/>
      <c r="D63" s="111"/>
      <c r="E63" s="111"/>
      <c r="F63" s="111"/>
      <c r="G63" s="112"/>
      <c r="H63" s="28"/>
      <c r="I63" s="122" t="s">
        <v>277</v>
      </c>
      <c r="J63" s="123"/>
      <c r="K63" s="124"/>
    </row>
    <row r="64" spans="1:11" ht="14.45" customHeight="1" x14ac:dyDescent="0.25">
      <c r="A64" s="113"/>
      <c r="B64" s="114"/>
      <c r="C64" s="114"/>
      <c r="D64" s="114"/>
      <c r="E64" s="114"/>
      <c r="F64" s="114"/>
      <c r="G64" s="115"/>
      <c r="H64" s="28"/>
      <c r="I64" s="125"/>
      <c r="J64" s="126"/>
      <c r="K64" s="127"/>
    </row>
    <row r="65" spans="1:11" x14ac:dyDescent="0.25">
      <c r="A65" s="28"/>
      <c r="B65" s="28"/>
      <c r="C65" s="28"/>
      <c r="D65" s="28"/>
      <c r="E65" s="28"/>
      <c r="F65" s="28"/>
      <c r="G65" s="28"/>
      <c r="H65" s="28"/>
      <c r="I65" s="28"/>
      <c r="J65" s="28"/>
      <c r="K65" s="28"/>
    </row>
    <row r="66" spans="1:11" x14ac:dyDescent="0.25">
      <c r="A66" s="28"/>
      <c r="B66" s="28"/>
      <c r="C66" s="28"/>
      <c r="D66" s="28"/>
      <c r="E66" s="28"/>
      <c r="F66" s="28"/>
      <c r="G66" s="28"/>
      <c r="H66" s="28"/>
      <c r="I66" s="28"/>
      <c r="J66" s="28"/>
      <c r="K66" s="28"/>
    </row>
    <row r="67" spans="1:11" ht="15.75" x14ac:dyDescent="0.25">
      <c r="A67" s="101" t="s">
        <v>278</v>
      </c>
      <c r="B67" s="101"/>
      <c r="C67" s="101"/>
      <c r="D67" s="101"/>
      <c r="E67" s="101"/>
      <c r="F67" s="101"/>
      <c r="G67" s="101"/>
      <c r="H67" s="101"/>
      <c r="I67" s="101"/>
      <c r="J67" s="101"/>
      <c r="K67" s="101"/>
    </row>
    <row r="68" spans="1:11" x14ac:dyDescent="0.25">
      <c r="A68" s="102" t="s">
        <v>115</v>
      </c>
      <c r="B68" s="102"/>
      <c r="C68" s="28"/>
      <c r="D68" s="28"/>
      <c r="E68" s="28"/>
      <c r="F68" s="28"/>
      <c r="G68" s="28"/>
      <c r="H68" s="28"/>
      <c r="I68" s="28"/>
      <c r="J68" s="28"/>
      <c r="K68" s="28"/>
    </row>
    <row r="69" spans="1:11" ht="15" customHeight="1" x14ac:dyDescent="0.25">
      <c r="A69" s="103" t="s">
        <v>279</v>
      </c>
      <c r="B69" s="103"/>
      <c r="C69" s="103"/>
      <c r="D69" s="103"/>
      <c r="E69" s="103"/>
      <c r="F69" s="103"/>
      <c r="G69" s="103"/>
      <c r="H69" s="103"/>
      <c r="I69" s="103"/>
      <c r="J69" s="103"/>
      <c r="K69" s="103"/>
    </row>
    <row r="70" spans="1:11" x14ac:dyDescent="0.25">
      <c r="A70" s="103"/>
      <c r="B70" s="103"/>
      <c r="C70" s="103"/>
      <c r="D70" s="103"/>
      <c r="E70" s="103"/>
      <c r="F70" s="103"/>
      <c r="G70" s="103"/>
      <c r="H70" s="103"/>
      <c r="I70" s="103"/>
      <c r="J70" s="103"/>
      <c r="K70" s="103"/>
    </row>
    <row r="71" spans="1:11" x14ac:dyDescent="0.25">
      <c r="A71" s="103"/>
      <c r="B71" s="103"/>
      <c r="C71" s="103"/>
      <c r="D71" s="103"/>
      <c r="E71" s="103"/>
      <c r="F71" s="103"/>
      <c r="G71" s="103"/>
      <c r="H71" s="103"/>
      <c r="I71" s="103"/>
      <c r="J71" s="103"/>
      <c r="K71" s="103"/>
    </row>
    <row r="72" spans="1:11" x14ac:dyDescent="0.25">
      <c r="A72" s="103"/>
      <c r="B72" s="103"/>
      <c r="C72" s="103"/>
      <c r="D72" s="103"/>
      <c r="E72" s="103"/>
      <c r="F72" s="103"/>
      <c r="G72" s="103"/>
      <c r="H72" s="103"/>
      <c r="I72" s="103"/>
      <c r="J72" s="103"/>
      <c r="K72" s="103"/>
    </row>
    <row r="73" spans="1:11" x14ac:dyDescent="0.25">
      <c r="A73" s="103"/>
      <c r="B73" s="103"/>
      <c r="C73" s="103"/>
      <c r="D73" s="103"/>
      <c r="E73" s="103"/>
      <c r="F73" s="103"/>
      <c r="G73" s="103"/>
      <c r="H73" s="103"/>
      <c r="I73" s="103"/>
      <c r="J73" s="103"/>
      <c r="K73" s="103"/>
    </row>
    <row r="74" spans="1:11" x14ac:dyDescent="0.25">
      <c r="A74" s="105"/>
      <c r="B74" s="105"/>
      <c r="C74" s="105"/>
      <c r="D74" s="105"/>
      <c r="E74" s="105"/>
      <c r="F74" s="105"/>
      <c r="G74" s="105"/>
      <c r="H74" s="105"/>
      <c r="I74" s="105"/>
      <c r="J74" s="106"/>
      <c r="K74" s="106"/>
    </row>
    <row r="75" spans="1:11" ht="28.9" customHeight="1" x14ac:dyDescent="0.25">
      <c r="A75" s="53" t="s">
        <v>12</v>
      </c>
      <c r="B75" s="128" t="s">
        <v>13</v>
      </c>
      <c r="C75" s="129"/>
      <c r="D75" s="128" t="s">
        <v>14</v>
      </c>
      <c r="E75" s="129"/>
      <c r="F75" s="128" t="s">
        <v>15</v>
      </c>
      <c r="G75" s="129"/>
      <c r="H75" s="128" t="s">
        <v>16</v>
      </c>
      <c r="I75" s="129"/>
      <c r="J75" s="130" t="s">
        <v>17</v>
      </c>
      <c r="K75" s="130"/>
    </row>
    <row r="76" spans="1:11" ht="18.600000000000001" customHeight="1" x14ac:dyDescent="0.25">
      <c r="A76" s="53"/>
      <c r="B76" s="128" t="s">
        <v>18</v>
      </c>
      <c r="C76" s="129"/>
      <c r="D76" s="131" t="s">
        <v>18</v>
      </c>
      <c r="E76" s="132"/>
      <c r="F76" s="131" t="s">
        <v>19</v>
      </c>
      <c r="G76" s="132"/>
      <c r="H76" s="131" t="s">
        <v>18</v>
      </c>
      <c r="I76" s="132"/>
      <c r="J76" s="130" t="s">
        <v>19</v>
      </c>
      <c r="K76" s="130"/>
    </row>
    <row r="77" spans="1:11" ht="18.600000000000001" customHeight="1" x14ac:dyDescent="0.25">
      <c r="A77" s="38" t="s">
        <v>116</v>
      </c>
      <c r="B77" s="155">
        <v>10</v>
      </c>
      <c r="C77" s="156"/>
      <c r="D77" s="135"/>
      <c r="E77" s="135"/>
      <c r="F77" s="158">
        <f t="shared" ref="F77:F100" si="0">0.25/100*350</f>
        <v>0.875</v>
      </c>
      <c r="G77" s="159"/>
      <c r="H77" s="136"/>
      <c r="I77" s="136"/>
      <c r="J77" s="158">
        <f t="shared" ref="J77:J100" si="1">0.25/100*300</f>
        <v>0.75</v>
      </c>
      <c r="K77" s="159"/>
    </row>
    <row r="78" spans="1:11" ht="18.600000000000001" customHeight="1" x14ac:dyDescent="0.25">
      <c r="A78" s="38" t="s">
        <v>117</v>
      </c>
      <c r="B78" s="155">
        <v>10</v>
      </c>
      <c r="C78" s="156"/>
      <c r="D78" s="135" t="str">
        <f>IF(Checks!$D$27="1",#REF!,"")</f>
        <v/>
      </c>
      <c r="E78" s="135"/>
      <c r="F78" s="158">
        <f t="shared" si="0"/>
        <v>0.875</v>
      </c>
      <c r="G78" s="159"/>
      <c r="H78" s="136"/>
      <c r="I78" s="136"/>
      <c r="J78" s="158">
        <f t="shared" si="1"/>
        <v>0.75</v>
      </c>
      <c r="K78" s="159"/>
    </row>
    <row r="79" spans="1:11" ht="18.600000000000001" customHeight="1" x14ac:dyDescent="0.25">
      <c r="A79" s="38" t="s">
        <v>118</v>
      </c>
      <c r="B79" s="155">
        <v>10</v>
      </c>
      <c r="C79" s="156"/>
      <c r="D79" s="135" t="str">
        <f>IF(Checks!$D$27="1",#REF!,"")</f>
        <v/>
      </c>
      <c r="E79" s="135"/>
      <c r="F79" s="158">
        <f t="shared" si="0"/>
        <v>0.875</v>
      </c>
      <c r="G79" s="159"/>
      <c r="H79" s="136" t="str">
        <f>IF(Checks!$D$27="1",#REF!,"")</f>
        <v/>
      </c>
      <c r="I79" s="136"/>
      <c r="J79" s="158">
        <f t="shared" si="1"/>
        <v>0.75</v>
      </c>
      <c r="K79" s="159"/>
    </row>
    <row r="80" spans="1:11" ht="18.600000000000001" customHeight="1" x14ac:dyDescent="0.25">
      <c r="A80" s="38" t="s">
        <v>116</v>
      </c>
      <c r="B80" s="155">
        <v>25</v>
      </c>
      <c r="C80" s="156"/>
      <c r="D80" s="135" t="str">
        <f>IF(Checks!$D$27="1",#REF!,"")</f>
        <v/>
      </c>
      <c r="E80" s="135"/>
      <c r="F80" s="158">
        <f t="shared" si="0"/>
        <v>0.875</v>
      </c>
      <c r="G80" s="159"/>
      <c r="H80" s="136" t="str">
        <f>IF(Checks!$D$27="1",#REF!,"")</f>
        <v/>
      </c>
      <c r="I80" s="136"/>
      <c r="J80" s="158">
        <f t="shared" si="1"/>
        <v>0.75</v>
      </c>
      <c r="K80" s="159"/>
    </row>
    <row r="81" spans="1:11" ht="18.600000000000001" customHeight="1" x14ac:dyDescent="0.25">
      <c r="A81" s="38" t="s">
        <v>117</v>
      </c>
      <c r="B81" s="155">
        <v>25</v>
      </c>
      <c r="C81" s="156"/>
      <c r="D81" s="135" t="str">
        <f>IF(Checks!$D$27="1",#REF!,"")</f>
        <v/>
      </c>
      <c r="E81" s="135"/>
      <c r="F81" s="158">
        <f t="shared" si="0"/>
        <v>0.875</v>
      </c>
      <c r="G81" s="159"/>
      <c r="H81" s="136" t="str">
        <f>IF(Checks!$D$27="1",#REF!,"")</f>
        <v/>
      </c>
      <c r="I81" s="136"/>
      <c r="J81" s="158">
        <f t="shared" si="1"/>
        <v>0.75</v>
      </c>
      <c r="K81" s="159"/>
    </row>
    <row r="82" spans="1:11" ht="18.600000000000001" customHeight="1" x14ac:dyDescent="0.25">
      <c r="A82" s="38" t="s">
        <v>118</v>
      </c>
      <c r="B82" s="155">
        <v>25</v>
      </c>
      <c r="C82" s="156"/>
      <c r="D82" s="135" t="str">
        <f>IF(Checks!$D$27="1",#REF!,"")</f>
        <v/>
      </c>
      <c r="E82" s="135"/>
      <c r="F82" s="158">
        <f t="shared" si="0"/>
        <v>0.875</v>
      </c>
      <c r="G82" s="159"/>
      <c r="H82" s="136" t="str">
        <f>IF(Checks!$D$27="1",#REF!,"")</f>
        <v/>
      </c>
      <c r="I82" s="136"/>
      <c r="J82" s="158">
        <f t="shared" si="1"/>
        <v>0.75</v>
      </c>
      <c r="K82" s="159"/>
    </row>
    <row r="83" spans="1:11" ht="18.600000000000001" customHeight="1" x14ac:dyDescent="0.25">
      <c r="A83" s="38" t="s">
        <v>116</v>
      </c>
      <c r="B83" s="155">
        <v>50</v>
      </c>
      <c r="C83" s="156"/>
      <c r="D83" s="135" t="str">
        <f>IF(Checks!$D$27="1",#REF!,"")</f>
        <v/>
      </c>
      <c r="E83" s="135"/>
      <c r="F83" s="158">
        <f t="shared" si="0"/>
        <v>0.875</v>
      </c>
      <c r="G83" s="159"/>
      <c r="H83" s="136" t="str">
        <f>IF(Checks!$D$27="1",#REF!,"")</f>
        <v/>
      </c>
      <c r="I83" s="136"/>
      <c r="J83" s="158">
        <f t="shared" si="1"/>
        <v>0.75</v>
      </c>
      <c r="K83" s="159"/>
    </row>
    <row r="84" spans="1:11" ht="18.600000000000001" customHeight="1" x14ac:dyDescent="0.25">
      <c r="A84" s="38" t="s">
        <v>117</v>
      </c>
      <c r="B84" s="155">
        <v>50</v>
      </c>
      <c r="C84" s="156"/>
      <c r="D84" s="135" t="str">
        <f>IF(Checks!$D$27="1",#REF!,"")</f>
        <v/>
      </c>
      <c r="E84" s="135"/>
      <c r="F84" s="158">
        <f t="shared" si="0"/>
        <v>0.875</v>
      </c>
      <c r="G84" s="159"/>
      <c r="H84" s="136" t="str">
        <f>IF(Checks!$D$27="1",#REF!,"")</f>
        <v/>
      </c>
      <c r="I84" s="136"/>
      <c r="J84" s="158">
        <f t="shared" si="1"/>
        <v>0.75</v>
      </c>
      <c r="K84" s="159"/>
    </row>
    <row r="85" spans="1:11" ht="18.600000000000001" customHeight="1" x14ac:dyDescent="0.25">
      <c r="A85" s="38" t="s">
        <v>118</v>
      </c>
      <c r="B85" s="155">
        <v>50</v>
      </c>
      <c r="C85" s="156"/>
      <c r="D85" s="135" t="str">
        <f>IF(Checks!$D$27="1",#REF!,"")</f>
        <v/>
      </c>
      <c r="E85" s="135"/>
      <c r="F85" s="158">
        <f t="shared" si="0"/>
        <v>0.875</v>
      </c>
      <c r="G85" s="159"/>
      <c r="H85" s="136" t="str">
        <f>IF(Checks!$D$27="1",#REF!,"")</f>
        <v/>
      </c>
      <c r="I85" s="136"/>
      <c r="J85" s="158">
        <f t="shared" si="1"/>
        <v>0.75</v>
      </c>
      <c r="K85" s="159"/>
    </row>
    <row r="86" spans="1:11" ht="18.600000000000001" customHeight="1" x14ac:dyDescent="0.25">
      <c r="A86" s="38" t="s">
        <v>116</v>
      </c>
      <c r="B86" s="155">
        <v>75</v>
      </c>
      <c r="C86" s="156"/>
      <c r="D86" s="135" t="str">
        <f>IF(Checks!$D$27="1",#REF!,"")</f>
        <v/>
      </c>
      <c r="E86" s="135"/>
      <c r="F86" s="158">
        <f t="shared" si="0"/>
        <v>0.875</v>
      </c>
      <c r="G86" s="159"/>
      <c r="H86" s="136" t="str">
        <f>IF(Checks!$D$27="1",#REF!,"")</f>
        <v/>
      </c>
      <c r="I86" s="136"/>
      <c r="J86" s="158">
        <f t="shared" si="1"/>
        <v>0.75</v>
      </c>
      <c r="K86" s="159"/>
    </row>
    <row r="87" spans="1:11" ht="18.600000000000001" customHeight="1" x14ac:dyDescent="0.25">
      <c r="A87" s="38" t="s">
        <v>117</v>
      </c>
      <c r="B87" s="155">
        <v>75</v>
      </c>
      <c r="C87" s="156"/>
      <c r="D87" s="135" t="str">
        <f>IF(Checks!$D$27="1",#REF!,"")</f>
        <v/>
      </c>
      <c r="E87" s="135"/>
      <c r="F87" s="158">
        <f t="shared" si="0"/>
        <v>0.875</v>
      </c>
      <c r="G87" s="159"/>
      <c r="H87" s="136" t="str">
        <f>IF(Checks!$D$27="1",#REF!,"")</f>
        <v/>
      </c>
      <c r="I87" s="136"/>
      <c r="J87" s="158">
        <f t="shared" si="1"/>
        <v>0.75</v>
      </c>
      <c r="K87" s="159"/>
    </row>
    <row r="88" spans="1:11" ht="18.600000000000001" customHeight="1" x14ac:dyDescent="0.25">
      <c r="A88" s="38" t="s">
        <v>118</v>
      </c>
      <c r="B88" s="155">
        <v>75</v>
      </c>
      <c r="C88" s="156"/>
      <c r="D88" s="135" t="str">
        <f>IF(Checks!$D$27="1",#REF!,"")</f>
        <v/>
      </c>
      <c r="E88" s="135"/>
      <c r="F88" s="158">
        <f t="shared" si="0"/>
        <v>0.875</v>
      </c>
      <c r="G88" s="159"/>
      <c r="H88" s="136" t="str">
        <f>IF(Checks!$D$27="1",#REF!,"")</f>
        <v/>
      </c>
      <c r="I88" s="136"/>
      <c r="J88" s="158">
        <f t="shared" si="1"/>
        <v>0.75</v>
      </c>
      <c r="K88" s="159"/>
    </row>
    <row r="89" spans="1:11" ht="18.600000000000001" customHeight="1" x14ac:dyDescent="0.25">
      <c r="A89" s="38" t="s">
        <v>116</v>
      </c>
      <c r="B89" s="155">
        <v>100</v>
      </c>
      <c r="C89" s="156"/>
      <c r="D89" s="135" t="str">
        <f>IF(Checks!$D$27="1",#REF!,"")</f>
        <v/>
      </c>
      <c r="E89" s="135"/>
      <c r="F89" s="158">
        <f t="shared" si="0"/>
        <v>0.875</v>
      </c>
      <c r="G89" s="159"/>
      <c r="H89" s="136" t="str">
        <f>IF(Checks!$D$27="1",#REF!,"")</f>
        <v/>
      </c>
      <c r="I89" s="136"/>
      <c r="J89" s="158">
        <f t="shared" si="1"/>
        <v>0.75</v>
      </c>
      <c r="K89" s="159"/>
    </row>
    <row r="90" spans="1:11" ht="18.600000000000001" customHeight="1" x14ac:dyDescent="0.25">
      <c r="A90" s="38" t="s">
        <v>117</v>
      </c>
      <c r="B90" s="155">
        <v>100</v>
      </c>
      <c r="C90" s="156"/>
      <c r="D90" s="135" t="str">
        <f>IF(Checks!$D$27="1",#REF!,"")</f>
        <v/>
      </c>
      <c r="E90" s="135"/>
      <c r="F90" s="158">
        <f t="shared" si="0"/>
        <v>0.875</v>
      </c>
      <c r="G90" s="159"/>
      <c r="H90" s="136" t="str">
        <f>IF(Checks!$D$27="1",#REF!,"")</f>
        <v/>
      </c>
      <c r="I90" s="136"/>
      <c r="J90" s="158">
        <f t="shared" si="1"/>
        <v>0.75</v>
      </c>
      <c r="K90" s="159"/>
    </row>
    <row r="91" spans="1:11" ht="18.600000000000001" customHeight="1" x14ac:dyDescent="0.25">
      <c r="A91" s="38" t="s">
        <v>118</v>
      </c>
      <c r="B91" s="155">
        <v>100</v>
      </c>
      <c r="C91" s="156"/>
      <c r="D91" s="135" t="str">
        <f>IF(Checks!$D$27="1",#REF!,"")</f>
        <v/>
      </c>
      <c r="E91" s="135"/>
      <c r="F91" s="158">
        <f t="shared" si="0"/>
        <v>0.875</v>
      </c>
      <c r="G91" s="159"/>
      <c r="H91" s="136" t="str">
        <f>IF(Checks!$D$27="1",#REF!,"")</f>
        <v/>
      </c>
      <c r="I91" s="136"/>
      <c r="J91" s="158">
        <f t="shared" si="1"/>
        <v>0.75</v>
      </c>
      <c r="K91" s="159"/>
    </row>
    <row r="92" spans="1:11" ht="18.600000000000001" customHeight="1" x14ac:dyDescent="0.25">
      <c r="A92" s="38" t="s">
        <v>116</v>
      </c>
      <c r="B92" s="155">
        <v>115</v>
      </c>
      <c r="C92" s="156"/>
      <c r="D92" s="135" t="str">
        <f>IF(Checks!$D$27="1",#REF!,"")</f>
        <v/>
      </c>
      <c r="E92" s="135"/>
      <c r="F92" s="158">
        <f t="shared" si="0"/>
        <v>0.875</v>
      </c>
      <c r="G92" s="159"/>
      <c r="H92" s="136" t="str">
        <f>IF(Checks!$D$27="1",#REF!,"")</f>
        <v/>
      </c>
      <c r="I92" s="136"/>
      <c r="J92" s="158">
        <f t="shared" si="1"/>
        <v>0.75</v>
      </c>
      <c r="K92" s="159"/>
    </row>
    <row r="93" spans="1:11" ht="18.600000000000001" customHeight="1" x14ac:dyDescent="0.25">
      <c r="A93" s="38" t="s">
        <v>117</v>
      </c>
      <c r="B93" s="155">
        <v>115</v>
      </c>
      <c r="C93" s="156"/>
      <c r="D93" s="135" t="str">
        <f>IF(Checks!$D$27="1",#REF!,"")</f>
        <v/>
      </c>
      <c r="E93" s="135"/>
      <c r="F93" s="158">
        <f t="shared" si="0"/>
        <v>0.875</v>
      </c>
      <c r="G93" s="159"/>
      <c r="H93" s="136" t="str">
        <f>IF(Checks!$D$27="1",#REF!,"")</f>
        <v/>
      </c>
      <c r="I93" s="136"/>
      <c r="J93" s="158">
        <f t="shared" si="1"/>
        <v>0.75</v>
      </c>
      <c r="K93" s="159"/>
    </row>
    <row r="94" spans="1:11" ht="18.600000000000001" customHeight="1" x14ac:dyDescent="0.25">
      <c r="A94" s="38" t="s">
        <v>118</v>
      </c>
      <c r="B94" s="155">
        <v>115</v>
      </c>
      <c r="C94" s="156"/>
      <c r="D94" s="135" t="str">
        <f>IF(Checks!$D$27="1",#REF!,"")</f>
        <v/>
      </c>
      <c r="E94" s="135"/>
      <c r="F94" s="158">
        <f t="shared" si="0"/>
        <v>0.875</v>
      </c>
      <c r="G94" s="159"/>
      <c r="H94" s="136" t="str">
        <f>IF(Checks!$D$27="1",#REF!,"")</f>
        <v/>
      </c>
      <c r="I94" s="136"/>
      <c r="J94" s="158">
        <f t="shared" si="1"/>
        <v>0.75</v>
      </c>
      <c r="K94" s="159"/>
    </row>
    <row r="95" spans="1:11" ht="18.600000000000001" customHeight="1" x14ac:dyDescent="0.25">
      <c r="A95" s="38" t="s">
        <v>116</v>
      </c>
      <c r="B95" s="155">
        <v>125</v>
      </c>
      <c r="C95" s="156"/>
      <c r="D95" s="135" t="str">
        <f>IF(Checks!$D$27="1",#REF!,"")</f>
        <v/>
      </c>
      <c r="E95" s="135"/>
      <c r="F95" s="158">
        <f t="shared" si="0"/>
        <v>0.875</v>
      </c>
      <c r="G95" s="159"/>
      <c r="H95" s="136" t="str">
        <f>IF(Checks!$D$27="1",#REF!,"")</f>
        <v/>
      </c>
      <c r="I95" s="136"/>
      <c r="J95" s="158">
        <f t="shared" si="1"/>
        <v>0.75</v>
      </c>
      <c r="K95" s="159"/>
    </row>
    <row r="96" spans="1:11" ht="18.600000000000001" customHeight="1" x14ac:dyDescent="0.25">
      <c r="A96" s="38" t="s">
        <v>117</v>
      </c>
      <c r="B96" s="155">
        <v>125</v>
      </c>
      <c r="C96" s="156"/>
      <c r="D96" s="135" t="str">
        <f>IF(Checks!$D$27="1",#REF!,"")</f>
        <v/>
      </c>
      <c r="E96" s="135"/>
      <c r="F96" s="158">
        <f t="shared" si="0"/>
        <v>0.875</v>
      </c>
      <c r="G96" s="159"/>
      <c r="H96" s="136" t="str">
        <f>IF(Checks!$D$27="1",#REF!,"")</f>
        <v/>
      </c>
      <c r="I96" s="136"/>
      <c r="J96" s="158">
        <f t="shared" si="1"/>
        <v>0.75</v>
      </c>
      <c r="K96" s="159"/>
    </row>
    <row r="97" spans="1:11" ht="18.600000000000001" customHeight="1" x14ac:dyDescent="0.25">
      <c r="A97" s="38" t="s">
        <v>118</v>
      </c>
      <c r="B97" s="155">
        <v>125</v>
      </c>
      <c r="C97" s="156"/>
      <c r="D97" s="135" t="str">
        <f>IF(Checks!$D$27="1",#REF!,"")</f>
        <v/>
      </c>
      <c r="E97" s="135"/>
      <c r="F97" s="158">
        <f t="shared" si="0"/>
        <v>0.875</v>
      </c>
      <c r="G97" s="159"/>
      <c r="H97" s="136" t="str">
        <f>IF(Checks!$D$27="1",#REF!,"")</f>
        <v/>
      </c>
      <c r="I97" s="136"/>
      <c r="J97" s="158">
        <f t="shared" si="1"/>
        <v>0.75</v>
      </c>
      <c r="K97" s="159"/>
    </row>
    <row r="98" spans="1:11" ht="18.600000000000001" customHeight="1" x14ac:dyDescent="0.25">
      <c r="A98" s="38" t="s">
        <v>116</v>
      </c>
      <c r="B98" s="155">
        <v>150</v>
      </c>
      <c r="C98" s="156"/>
      <c r="D98" s="135" t="str">
        <f>IF(Checks!$D$27="1",#REF!,"")</f>
        <v/>
      </c>
      <c r="E98" s="135"/>
      <c r="F98" s="158">
        <f t="shared" si="0"/>
        <v>0.875</v>
      </c>
      <c r="G98" s="159"/>
      <c r="H98" s="136" t="str">
        <f>IF(Checks!$D$27="1",#REF!,"")</f>
        <v/>
      </c>
      <c r="I98" s="136"/>
      <c r="J98" s="158">
        <f t="shared" si="1"/>
        <v>0.75</v>
      </c>
      <c r="K98" s="159"/>
    </row>
    <row r="99" spans="1:11" ht="18.600000000000001" customHeight="1" x14ac:dyDescent="0.25">
      <c r="A99" s="38" t="s">
        <v>117</v>
      </c>
      <c r="B99" s="155">
        <v>150</v>
      </c>
      <c r="C99" s="156"/>
      <c r="D99" s="135" t="str">
        <f>IF(Checks!$D$27="1",#REF!,"")</f>
        <v/>
      </c>
      <c r="E99" s="135"/>
      <c r="F99" s="158">
        <f t="shared" si="0"/>
        <v>0.875</v>
      </c>
      <c r="G99" s="159"/>
      <c r="H99" s="136" t="str">
        <f>IF(Checks!$D$27="1",#REF!,"")</f>
        <v/>
      </c>
      <c r="I99" s="136"/>
      <c r="J99" s="158">
        <f t="shared" si="1"/>
        <v>0.75</v>
      </c>
      <c r="K99" s="159"/>
    </row>
    <row r="100" spans="1:11" ht="18.600000000000001" customHeight="1" x14ac:dyDescent="0.25">
      <c r="A100" s="38" t="s">
        <v>118</v>
      </c>
      <c r="B100" s="155">
        <v>150</v>
      </c>
      <c r="C100" s="156"/>
      <c r="D100" s="135" t="str">
        <f>IF(Checks!$D$27="1",#REF!,"")</f>
        <v/>
      </c>
      <c r="E100" s="135"/>
      <c r="F100" s="158">
        <f t="shared" si="0"/>
        <v>0.875</v>
      </c>
      <c r="G100" s="159"/>
      <c r="H100" s="136" t="str">
        <f>IF(Checks!$D$27="1",#REF!,"")</f>
        <v/>
      </c>
      <c r="I100" s="136"/>
      <c r="J100" s="158">
        <f t="shared" si="1"/>
        <v>0.75</v>
      </c>
      <c r="K100" s="159"/>
    </row>
    <row r="101" spans="1:11" x14ac:dyDescent="0.25">
      <c r="A101" s="28"/>
      <c r="B101" s="28"/>
      <c r="C101" s="28"/>
      <c r="D101" s="28"/>
      <c r="E101" s="28"/>
      <c r="F101" s="28"/>
      <c r="G101" s="28"/>
      <c r="H101" s="28"/>
      <c r="I101" s="28"/>
      <c r="J101" s="28"/>
      <c r="K101" s="28"/>
    </row>
    <row r="102" spans="1:11" x14ac:dyDescent="0.25">
      <c r="A102" s="5" t="s">
        <v>124</v>
      </c>
      <c r="B102" s="28"/>
      <c r="C102" s="28"/>
      <c r="D102" s="5" t="s">
        <v>125</v>
      </c>
      <c r="E102" s="28"/>
      <c r="F102" s="28"/>
      <c r="G102" s="28"/>
      <c r="H102" s="28"/>
      <c r="I102" s="28"/>
      <c r="J102" s="28"/>
      <c r="K102" s="28"/>
    </row>
    <row r="103" spans="1:11" x14ac:dyDescent="0.25">
      <c r="A103" s="28"/>
      <c r="B103" s="28"/>
      <c r="C103" s="28"/>
      <c r="D103" s="28"/>
      <c r="E103" s="28"/>
      <c r="F103" s="28"/>
      <c r="G103" s="28"/>
      <c r="H103" s="28"/>
      <c r="I103" s="28"/>
      <c r="J103" s="28"/>
      <c r="K103" s="28"/>
    </row>
    <row r="104" spans="1:11" x14ac:dyDescent="0.25">
      <c r="A104" s="28"/>
      <c r="B104" s="28"/>
      <c r="C104" s="28"/>
      <c r="D104" s="28"/>
      <c r="E104" s="28"/>
      <c r="F104" s="28"/>
      <c r="G104" s="28"/>
      <c r="H104" s="28"/>
      <c r="I104" s="28"/>
      <c r="J104" s="28"/>
      <c r="K104" s="28"/>
    </row>
    <row r="105" spans="1:11" x14ac:dyDescent="0.25">
      <c r="A105" s="28"/>
      <c r="B105" s="28"/>
      <c r="C105" s="28"/>
      <c r="D105" s="28"/>
      <c r="E105" s="28"/>
      <c r="F105" s="28"/>
      <c r="G105" s="28"/>
      <c r="H105" s="28"/>
      <c r="I105" s="28"/>
      <c r="J105" s="28"/>
      <c r="K105" s="28"/>
    </row>
    <row r="106" spans="1:11" x14ac:dyDescent="0.25">
      <c r="A106" s="28"/>
      <c r="B106" s="28"/>
      <c r="C106" s="28"/>
      <c r="D106" s="28"/>
      <c r="E106" s="28"/>
      <c r="F106" s="28"/>
      <c r="G106" s="28"/>
      <c r="H106" s="28"/>
      <c r="I106" s="28"/>
      <c r="J106" s="28"/>
      <c r="K106" s="28"/>
    </row>
    <row r="107" spans="1:11" x14ac:dyDescent="0.25">
      <c r="A107" s="28"/>
      <c r="B107" s="28"/>
      <c r="C107" s="28"/>
      <c r="D107" s="28"/>
      <c r="E107" s="28"/>
      <c r="F107" s="28"/>
      <c r="G107" s="28"/>
      <c r="H107" s="28"/>
      <c r="I107" s="28"/>
      <c r="J107" s="28"/>
      <c r="K107" s="28"/>
    </row>
    <row r="108" spans="1:11" x14ac:dyDescent="0.25">
      <c r="A108" s="139" t="s">
        <v>0</v>
      </c>
      <c r="B108" s="140"/>
      <c r="C108" s="140"/>
      <c r="D108" s="140"/>
      <c r="E108" s="140"/>
      <c r="F108" s="140"/>
      <c r="G108" s="141"/>
      <c r="H108" s="28"/>
      <c r="I108" s="116" t="s">
        <v>1</v>
      </c>
      <c r="J108" s="148" t="str">
        <f>$J$6</f>
        <v>04567</v>
      </c>
      <c r="K108" s="119"/>
    </row>
    <row r="109" spans="1:11" x14ac:dyDescent="0.25">
      <c r="A109" s="142"/>
      <c r="B109" s="143"/>
      <c r="C109" s="143"/>
      <c r="D109" s="143"/>
      <c r="E109" s="143"/>
      <c r="F109" s="143"/>
      <c r="G109" s="144"/>
      <c r="H109" s="28"/>
      <c r="I109" s="117"/>
      <c r="J109" s="120"/>
      <c r="K109" s="121"/>
    </row>
    <row r="110" spans="1:11" x14ac:dyDescent="0.25">
      <c r="A110" s="142"/>
      <c r="B110" s="143"/>
      <c r="C110" s="143"/>
      <c r="D110" s="143"/>
      <c r="E110" s="143"/>
      <c r="F110" s="143"/>
      <c r="G110" s="144"/>
      <c r="H110" s="28"/>
      <c r="I110" s="149" t="s">
        <v>280</v>
      </c>
      <c r="J110" s="150"/>
      <c r="K110" s="151"/>
    </row>
    <row r="111" spans="1:11" x14ac:dyDescent="0.25">
      <c r="A111" s="145"/>
      <c r="B111" s="146"/>
      <c r="C111" s="146"/>
      <c r="D111" s="146"/>
      <c r="E111" s="146"/>
      <c r="F111" s="146"/>
      <c r="G111" s="147"/>
      <c r="H111" s="28"/>
      <c r="I111" s="152"/>
      <c r="J111" s="153"/>
      <c r="K111" s="154"/>
    </row>
    <row r="112" spans="1:11" x14ac:dyDescent="0.25">
      <c r="A112" s="28"/>
      <c r="B112" s="28"/>
      <c r="C112" s="28"/>
      <c r="D112" s="28"/>
      <c r="E112" s="28"/>
      <c r="F112" s="28"/>
      <c r="G112" s="28"/>
      <c r="H112" s="28"/>
      <c r="I112" s="28"/>
      <c r="J112" s="28"/>
      <c r="K112" s="28"/>
    </row>
    <row r="113" spans="1:11" x14ac:dyDescent="0.25">
      <c r="A113" s="28"/>
      <c r="B113" s="28"/>
      <c r="C113" s="28"/>
      <c r="D113" s="28"/>
      <c r="E113" s="28"/>
      <c r="F113" s="28"/>
      <c r="G113" s="28"/>
      <c r="H113" s="28"/>
      <c r="I113" s="28"/>
      <c r="J113" s="28"/>
      <c r="K113" s="28"/>
    </row>
    <row r="114" spans="1:11" ht="15.75" x14ac:dyDescent="0.25">
      <c r="A114" s="101" t="s">
        <v>281</v>
      </c>
      <c r="B114" s="101"/>
      <c r="C114" s="101"/>
      <c r="D114" s="101"/>
      <c r="E114" s="101"/>
      <c r="F114" s="101"/>
      <c r="G114" s="101"/>
      <c r="H114" s="101"/>
      <c r="I114" s="101"/>
      <c r="J114" s="101"/>
      <c r="K114" s="101"/>
    </row>
    <row r="115" spans="1:11" x14ac:dyDescent="0.25">
      <c r="A115" s="102"/>
      <c r="B115" s="102"/>
      <c r="C115" s="28"/>
      <c r="D115" s="28"/>
      <c r="E115" s="28"/>
      <c r="F115" s="28"/>
      <c r="G115" s="28"/>
      <c r="H115" s="28"/>
      <c r="I115" s="28"/>
      <c r="J115" s="28"/>
      <c r="K115" s="28"/>
    </row>
    <row r="116" spans="1:11" ht="28.9" customHeight="1" x14ac:dyDescent="0.25">
      <c r="A116" s="53" t="s">
        <v>12</v>
      </c>
      <c r="B116" s="128" t="s">
        <v>13</v>
      </c>
      <c r="C116" s="129"/>
      <c r="D116" s="128" t="s">
        <v>14</v>
      </c>
      <c r="E116" s="129"/>
      <c r="F116" s="128" t="s">
        <v>15</v>
      </c>
      <c r="G116" s="129"/>
      <c r="H116" s="128" t="s">
        <v>16</v>
      </c>
      <c r="I116" s="129"/>
      <c r="J116" s="130" t="s">
        <v>17</v>
      </c>
      <c r="K116" s="130"/>
    </row>
    <row r="117" spans="1:11" ht="18.600000000000001" customHeight="1" x14ac:dyDescent="0.25">
      <c r="A117" s="53"/>
      <c r="B117" s="128" t="s">
        <v>18</v>
      </c>
      <c r="C117" s="129"/>
      <c r="D117" s="131" t="s">
        <v>18</v>
      </c>
      <c r="E117" s="132"/>
      <c r="F117" s="131" t="s">
        <v>19</v>
      </c>
      <c r="G117" s="132"/>
      <c r="H117" s="131" t="s">
        <v>18</v>
      </c>
      <c r="I117" s="132"/>
      <c r="J117" s="130" t="s">
        <v>19</v>
      </c>
      <c r="K117" s="130"/>
    </row>
    <row r="118" spans="1:11" ht="18.600000000000001" customHeight="1" x14ac:dyDescent="0.25">
      <c r="A118" s="38" t="s">
        <v>116</v>
      </c>
      <c r="B118" s="155">
        <v>200</v>
      </c>
      <c r="C118" s="156"/>
      <c r="D118" s="135" t="str">
        <f>IF(Checks!$D$27="1",#REF!,"")</f>
        <v/>
      </c>
      <c r="E118" s="135"/>
      <c r="F118" s="158">
        <f t="shared" ref="F118:F129" si="2">0.25/100*350</f>
        <v>0.875</v>
      </c>
      <c r="G118" s="159"/>
      <c r="H118" s="136"/>
      <c r="I118" s="136"/>
      <c r="J118" s="158">
        <f t="shared" ref="J118:J129" si="3">0.25/100*300</f>
        <v>0.75</v>
      </c>
      <c r="K118" s="159"/>
    </row>
    <row r="119" spans="1:11" ht="18.600000000000001" customHeight="1" x14ac:dyDescent="0.25">
      <c r="A119" s="38" t="s">
        <v>117</v>
      </c>
      <c r="B119" s="155">
        <v>200</v>
      </c>
      <c r="C119" s="156"/>
      <c r="D119" s="135" t="str">
        <f>IF(Checks!$D$27="1",#REF!,"")</f>
        <v/>
      </c>
      <c r="E119" s="135"/>
      <c r="F119" s="158">
        <f t="shared" si="2"/>
        <v>0.875</v>
      </c>
      <c r="G119" s="159"/>
      <c r="H119" s="136"/>
      <c r="I119" s="136"/>
      <c r="J119" s="158">
        <f t="shared" si="3"/>
        <v>0.75</v>
      </c>
      <c r="K119" s="159"/>
    </row>
    <row r="120" spans="1:11" ht="18.600000000000001" customHeight="1" x14ac:dyDescent="0.25">
      <c r="A120" s="38" t="s">
        <v>118</v>
      </c>
      <c r="B120" s="155">
        <v>200</v>
      </c>
      <c r="C120" s="156"/>
      <c r="D120" s="135" t="str">
        <f>IF(Checks!$D$27="1",#REF!,"")</f>
        <v/>
      </c>
      <c r="E120" s="135"/>
      <c r="F120" s="158">
        <f t="shared" si="2"/>
        <v>0.875</v>
      </c>
      <c r="G120" s="159"/>
      <c r="H120" s="136" t="str">
        <f>IF(Checks!$D$27="1",#REF!,"")</f>
        <v/>
      </c>
      <c r="I120" s="136"/>
      <c r="J120" s="158">
        <f t="shared" si="3"/>
        <v>0.75</v>
      </c>
      <c r="K120" s="159"/>
    </row>
    <row r="121" spans="1:11" ht="18.600000000000001" customHeight="1" x14ac:dyDescent="0.25">
      <c r="A121" s="38" t="s">
        <v>116</v>
      </c>
      <c r="B121" s="155">
        <v>240</v>
      </c>
      <c r="C121" s="156"/>
      <c r="D121" s="135" t="str">
        <f>IF(Checks!$D$27="1",#REF!,"")</f>
        <v/>
      </c>
      <c r="E121" s="135"/>
      <c r="F121" s="158">
        <f t="shared" si="2"/>
        <v>0.875</v>
      </c>
      <c r="G121" s="159"/>
      <c r="H121" s="136" t="str">
        <f>IF(Checks!$D$27="1",#REF!,"")</f>
        <v/>
      </c>
      <c r="I121" s="136"/>
      <c r="J121" s="158">
        <f t="shared" si="3"/>
        <v>0.75</v>
      </c>
      <c r="K121" s="159"/>
    </row>
    <row r="122" spans="1:11" ht="18.600000000000001" customHeight="1" x14ac:dyDescent="0.25">
      <c r="A122" s="38" t="s">
        <v>117</v>
      </c>
      <c r="B122" s="155">
        <v>240</v>
      </c>
      <c r="C122" s="156"/>
      <c r="D122" s="135" t="str">
        <f>IF(Checks!$D$27="1",#REF!,"")</f>
        <v/>
      </c>
      <c r="E122" s="135"/>
      <c r="F122" s="158">
        <f t="shared" si="2"/>
        <v>0.875</v>
      </c>
      <c r="G122" s="159"/>
      <c r="H122" s="136" t="str">
        <f>IF(Checks!$D$27="1",#REF!,"")</f>
        <v/>
      </c>
      <c r="I122" s="136"/>
      <c r="J122" s="158">
        <f t="shared" si="3"/>
        <v>0.75</v>
      </c>
      <c r="K122" s="159"/>
    </row>
    <row r="123" spans="1:11" ht="18.600000000000001" customHeight="1" x14ac:dyDescent="0.25">
      <c r="A123" s="38" t="s">
        <v>118</v>
      </c>
      <c r="B123" s="155">
        <v>240</v>
      </c>
      <c r="C123" s="156"/>
      <c r="D123" s="135" t="str">
        <f>IF(Checks!$D$27="1",#REF!,"")</f>
        <v/>
      </c>
      <c r="E123" s="135"/>
      <c r="F123" s="158">
        <f t="shared" si="2"/>
        <v>0.875</v>
      </c>
      <c r="G123" s="159"/>
      <c r="H123" s="136" t="str">
        <f>IF(Checks!$D$27="1",#REF!,"")</f>
        <v/>
      </c>
      <c r="I123" s="136"/>
      <c r="J123" s="158">
        <f t="shared" si="3"/>
        <v>0.75</v>
      </c>
      <c r="K123" s="159"/>
    </row>
    <row r="124" spans="1:11" ht="18.600000000000001" customHeight="1" x14ac:dyDescent="0.25">
      <c r="A124" s="38" t="s">
        <v>116</v>
      </c>
      <c r="B124" s="155">
        <v>270</v>
      </c>
      <c r="C124" s="156"/>
      <c r="D124" s="135" t="str">
        <f>IF(Checks!$D$27="1",#REF!,"")</f>
        <v/>
      </c>
      <c r="E124" s="135"/>
      <c r="F124" s="158">
        <f t="shared" si="2"/>
        <v>0.875</v>
      </c>
      <c r="G124" s="159"/>
      <c r="H124" s="136" t="str">
        <f>IF(Checks!$D$27="1",#REF!,"")</f>
        <v/>
      </c>
      <c r="I124" s="136"/>
      <c r="J124" s="158">
        <f t="shared" si="3"/>
        <v>0.75</v>
      </c>
      <c r="K124" s="159"/>
    </row>
    <row r="125" spans="1:11" ht="18.600000000000001" customHeight="1" x14ac:dyDescent="0.25">
      <c r="A125" s="38" t="s">
        <v>117</v>
      </c>
      <c r="B125" s="155">
        <v>270</v>
      </c>
      <c r="C125" s="156"/>
      <c r="D125" s="135" t="str">
        <f>IF(Checks!$D$27="1",#REF!,"")</f>
        <v/>
      </c>
      <c r="E125" s="135"/>
      <c r="F125" s="158">
        <f t="shared" si="2"/>
        <v>0.875</v>
      </c>
      <c r="G125" s="159"/>
      <c r="H125" s="136" t="str">
        <f>IF(Checks!$D$27="1",#REF!,"")</f>
        <v/>
      </c>
      <c r="I125" s="136"/>
      <c r="J125" s="158">
        <f t="shared" si="3"/>
        <v>0.75</v>
      </c>
      <c r="K125" s="159"/>
    </row>
    <row r="126" spans="1:11" ht="18.600000000000001" customHeight="1" x14ac:dyDescent="0.25">
      <c r="A126" s="38" t="s">
        <v>118</v>
      </c>
      <c r="B126" s="155">
        <v>270</v>
      </c>
      <c r="C126" s="156"/>
      <c r="D126" s="135" t="str">
        <f>IF(Checks!$D$27="1",#REF!,"")</f>
        <v/>
      </c>
      <c r="E126" s="135"/>
      <c r="F126" s="158">
        <f t="shared" si="2"/>
        <v>0.875</v>
      </c>
      <c r="G126" s="159"/>
      <c r="H126" s="136" t="str">
        <f>IF(Checks!$D$27="1",#REF!,"")</f>
        <v/>
      </c>
      <c r="I126" s="136"/>
      <c r="J126" s="158">
        <f t="shared" si="3"/>
        <v>0.75</v>
      </c>
      <c r="K126" s="159"/>
    </row>
    <row r="127" spans="1:11" ht="18.600000000000001" customHeight="1" x14ac:dyDescent="0.25">
      <c r="A127" s="38" t="s">
        <v>116</v>
      </c>
      <c r="B127" s="155">
        <v>300</v>
      </c>
      <c r="C127" s="156"/>
      <c r="D127" s="135" t="str">
        <f>IF(Checks!$D$27="1",#REF!,"")</f>
        <v/>
      </c>
      <c r="E127" s="135"/>
      <c r="F127" s="158">
        <f t="shared" si="2"/>
        <v>0.875</v>
      </c>
      <c r="G127" s="159"/>
      <c r="H127" s="136" t="str">
        <f>IF(Checks!$D$27="1",#REF!,"")</f>
        <v/>
      </c>
      <c r="I127" s="136"/>
      <c r="J127" s="158">
        <f t="shared" si="3"/>
        <v>0.75</v>
      </c>
      <c r="K127" s="159"/>
    </row>
    <row r="128" spans="1:11" ht="18.600000000000001" customHeight="1" x14ac:dyDescent="0.25">
      <c r="A128" s="38" t="s">
        <v>117</v>
      </c>
      <c r="B128" s="155">
        <v>300</v>
      </c>
      <c r="C128" s="156"/>
      <c r="D128" s="135" t="str">
        <f>IF(Checks!$D$27="1",#REF!,"")</f>
        <v/>
      </c>
      <c r="E128" s="135"/>
      <c r="F128" s="158">
        <f t="shared" si="2"/>
        <v>0.875</v>
      </c>
      <c r="G128" s="159"/>
      <c r="H128" s="136" t="str">
        <f>IF(Checks!$D$27="1",#REF!,"")</f>
        <v/>
      </c>
      <c r="I128" s="136"/>
      <c r="J128" s="158">
        <f t="shared" si="3"/>
        <v>0.75</v>
      </c>
      <c r="K128" s="159"/>
    </row>
    <row r="129" spans="1:11" ht="18.600000000000001" customHeight="1" x14ac:dyDescent="0.25">
      <c r="A129" s="38" t="s">
        <v>118</v>
      </c>
      <c r="B129" s="155">
        <v>300</v>
      </c>
      <c r="C129" s="156"/>
      <c r="D129" s="135" t="str">
        <f>IF(Checks!$D$27="1",#REF!,"")</f>
        <v/>
      </c>
      <c r="E129" s="135"/>
      <c r="F129" s="158">
        <f t="shared" si="2"/>
        <v>0.875</v>
      </c>
      <c r="G129" s="159"/>
      <c r="H129" s="136" t="str">
        <f>IF(Checks!$D$27="1",#REF!,"")</f>
        <v/>
      </c>
      <c r="I129" s="136"/>
      <c r="J129" s="158">
        <f t="shared" si="3"/>
        <v>0.75</v>
      </c>
      <c r="K129" s="159"/>
    </row>
    <row r="130" spans="1:11" x14ac:dyDescent="0.25">
      <c r="A130" s="28"/>
      <c r="B130" s="28"/>
      <c r="C130" s="28"/>
      <c r="D130" s="28"/>
      <c r="E130" s="28"/>
      <c r="F130" s="28"/>
      <c r="G130" s="28"/>
      <c r="H130" s="28"/>
      <c r="I130" s="28"/>
      <c r="J130" s="28"/>
      <c r="K130" s="28"/>
    </row>
    <row r="131" spans="1:11" x14ac:dyDescent="0.25">
      <c r="A131" s="5" t="s">
        <v>124</v>
      </c>
      <c r="B131" s="5"/>
      <c r="C131" s="5"/>
      <c r="D131" s="5" t="s">
        <v>125</v>
      </c>
      <c r="E131" s="5"/>
      <c r="F131" s="5"/>
      <c r="G131" s="28"/>
      <c r="H131" s="28"/>
      <c r="I131" s="28"/>
      <c r="J131" s="28"/>
      <c r="K131" s="28"/>
    </row>
    <row r="132" spans="1:11" ht="15.75" x14ac:dyDescent="0.25">
      <c r="A132" s="62"/>
      <c r="B132" s="63"/>
      <c r="C132" s="63"/>
      <c r="D132" s="62"/>
      <c r="E132" s="28"/>
      <c r="F132" s="28"/>
      <c r="G132" s="28"/>
      <c r="H132" s="28"/>
      <c r="I132" s="28"/>
      <c r="J132" s="28"/>
      <c r="K132" s="28"/>
    </row>
    <row r="133" spans="1:11" ht="15.75" x14ac:dyDescent="0.25">
      <c r="A133" s="101" t="s">
        <v>282</v>
      </c>
      <c r="B133" s="101"/>
      <c r="C133" s="101"/>
      <c r="D133" s="101"/>
      <c r="E133" s="101"/>
      <c r="F133" s="101"/>
      <c r="G133" s="101"/>
      <c r="H133" s="101"/>
      <c r="I133" s="101"/>
      <c r="J133" s="101"/>
      <c r="K133" s="101"/>
    </row>
    <row r="134" spans="1:11" x14ac:dyDescent="0.25">
      <c r="A134" s="28"/>
      <c r="B134" s="28"/>
      <c r="C134" s="28"/>
      <c r="D134" s="28"/>
      <c r="E134" s="28"/>
      <c r="F134" s="28"/>
      <c r="G134" s="28"/>
      <c r="H134" s="28"/>
      <c r="I134" s="28"/>
      <c r="J134" s="28"/>
      <c r="K134" s="28"/>
    </row>
    <row r="135" spans="1:11" x14ac:dyDescent="0.25">
      <c r="A135" s="102" t="s">
        <v>115</v>
      </c>
      <c r="B135" s="102"/>
      <c r="C135" s="28"/>
      <c r="D135" s="28"/>
      <c r="E135" s="28"/>
      <c r="F135" s="28"/>
      <c r="G135" s="28"/>
      <c r="H135" s="28"/>
      <c r="I135" s="28"/>
      <c r="J135" s="28"/>
      <c r="K135" s="28"/>
    </row>
    <row r="136" spans="1:11" ht="15" customHeight="1" x14ac:dyDescent="0.25">
      <c r="A136" s="103" t="s">
        <v>283</v>
      </c>
      <c r="B136" s="103"/>
      <c r="C136" s="103"/>
      <c r="D136" s="103"/>
      <c r="E136" s="103"/>
      <c r="F136" s="103"/>
      <c r="G136" s="103"/>
      <c r="H136" s="103"/>
      <c r="I136" s="103"/>
      <c r="J136" s="103"/>
      <c r="K136" s="103"/>
    </row>
    <row r="137" spans="1:11" x14ac:dyDescent="0.25">
      <c r="A137" s="103"/>
      <c r="B137" s="103"/>
      <c r="C137" s="103"/>
      <c r="D137" s="103"/>
      <c r="E137" s="103"/>
      <c r="F137" s="103"/>
      <c r="G137" s="103"/>
      <c r="H137" s="103"/>
      <c r="I137" s="103"/>
      <c r="J137" s="103"/>
      <c r="K137" s="103"/>
    </row>
    <row r="138" spans="1:11" x14ac:dyDescent="0.25">
      <c r="A138" s="103"/>
      <c r="B138" s="103"/>
      <c r="C138" s="103"/>
      <c r="D138" s="103"/>
      <c r="E138" s="103"/>
      <c r="F138" s="103"/>
      <c r="G138" s="103"/>
      <c r="H138" s="103"/>
      <c r="I138" s="103"/>
      <c r="J138" s="103"/>
      <c r="K138" s="103"/>
    </row>
    <row r="139" spans="1:11" x14ac:dyDescent="0.25">
      <c r="A139" s="103"/>
      <c r="B139" s="103"/>
      <c r="C139" s="103"/>
      <c r="D139" s="103"/>
      <c r="E139" s="103"/>
      <c r="F139" s="103"/>
      <c r="G139" s="103"/>
      <c r="H139" s="103"/>
      <c r="I139" s="103"/>
      <c r="J139" s="103"/>
      <c r="K139" s="103"/>
    </row>
    <row r="140" spans="1:11" x14ac:dyDescent="0.25">
      <c r="A140" s="103"/>
      <c r="B140" s="103"/>
      <c r="C140" s="103"/>
      <c r="D140" s="103"/>
      <c r="E140" s="103"/>
      <c r="F140" s="103"/>
      <c r="G140" s="103"/>
      <c r="H140" s="103"/>
      <c r="I140" s="103"/>
      <c r="J140" s="103"/>
      <c r="K140" s="103"/>
    </row>
    <row r="141" spans="1:11" x14ac:dyDescent="0.25">
      <c r="A141" s="28"/>
      <c r="B141" s="28"/>
      <c r="C141" s="28"/>
      <c r="D141" s="28"/>
      <c r="E141" s="28"/>
      <c r="F141" s="28"/>
      <c r="G141" s="28"/>
      <c r="H141" s="28"/>
      <c r="I141" s="28"/>
      <c r="J141" s="28"/>
      <c r="K141" s="28"/>
    </row>
    <row r="142" spans="1:11" ht="30" customHeight="1" x14ac:dyDescent="0.25">
      <c r="A142" s="53" t="s">
        <v>12</v>
      </c>
      <c r="B142" s="128" t="s">
        <v>13</v>
      </c>
      <c r="C142" s="129"/>
      <c r="D142" s="128" t="s">
        <v>14</v>
      </c>
      <c r="E142" s="129"/>
      <c r="F142" s="128" t="s">
        <v>15</v>
      </c>
      <c r="G142" s="129"/>
      <c r="H142" s="128" t="s">
        <v>16</v>
      </c>
      <c r="I142" s="129"/>
      <c r="J142" s="128" t="s">
        <v>17</v>
      </c>
      <c r="K142" s="129"/>
    </row>
    <row r="143" spans="1:11" ht="19.149999999999999" customHeight="1" x14ac:dyDescent="0.25">
      <c r="A143" s="53"/>
      <c r="B143" s="128" t="s">
        <v>18</v>
      </c>
      <c r="C143" s="129"/>
      <c r="D143" s="128" t="s">
        <v>18</v>
      </c>
      <c r="E143" s="129"/>
      <c r="F143" s="128" t="s">
        <v>19</v>
      </c>
      <c r="G143" s="129"/>
      <c r="H143" s="128" t="s">
        <v>18</v>
      </c>
      <c r="I143" s="129"/>
      <c r="J143" s="128" t="s">
        <v>19</v>
      </c>
      <c r="K143" s="129"/>
    </row>
    <row r="144" spans="1:11" ht="19.149999999999999" customHeight="1" x14ac:dyDescent="0.25">
      <c r="A144" s="38" t="s">
        <v>129</v>
      </c>
      <c r="B144" s="155">
        <v>50</v>
      </c>
      <c r="C144" s="156"/>
      <c r="D144" s="135" t="str">
        <f>IF(Checks!$D$27="1",#REF!,"")</f>
        <v/>
      </c>
      <c r="E144" s="135"/>
      <c r="F144" s="158">
        <f t="shared" ref="F144:F151" si="4">0.25/100*600</f>
        <v>1.5</v>
      </c>
      <c r="G144" s="159"/>
      <c r="H144" s="135" t="str">
        <f>IF(Checks!$D$27="1",#REF!,"")</f>
        <v/>
      </c>
      <c r="I144" s="135"/>
      <c r="J144" s="158">
        <f t="shared" ref="J144:J151" si="5">0.25/100*600</f>
        <v>1.5</v>
      </c>
      <c r="K144" s="159"/>
    </row>
    <row r="145" spans="1:11" ht="19.149999999999999" customHeight="1" x14ac:dyDescent="0.25">
      <c r="A145" s="38" t="s">
        <v>129</v>
      </c>
      <c r="B145" s="155">
        <v>100</v>
      </c>
      <c r="C145" s="156"/>
      <c r="D145" s="135" t="str">
        <f>IF(Checks!$D$27="1",#REF!,"")</f>
        <v/>
      </c>
      <c r="E145" s="135"/>
      <c r="F145" s="158">
        <f t="shared" si="4"/>
        <v>1.5</v>
      </c>
      <c r="G145" s="159"/>
      <c r="H145" s="135" t="str">
        <f>IF(Checks!$D$27="1",#REF!,"")</f>
        <v/>
      </c>
      <c r="I145" s="135"/>
      <c r="J145" s="158">
        <f t="shared" si="5"/>
        <v>1.5</v>
      </c>
      <c r="K145" s="159"/>
    </row>
    <row r="146" spans="1:11" ht="19.149999999999999" customHeight="1" x14ac:dyDescent="0.25">
      <c r="A146" s="38" t="s">
        <v>129</v>
      </c>
      <c r="B146" s="155">
        <v>150</v>
      </c>
      <c r="C146" s="156"/>
      <c r="D146" s="135" t="str">
        <f>IF(Checks!$D$27="1",#REF!,"")</f>
        <v/>
      </c>
      <c r="E146" s="135"/>
      <c r="F146" s="158">
        <f t="shared" si="4"/>
        <v>1.5</v>
      </c>
      <c r="G146" s="159"/>
      <c r="H146" s="135" t="str">
        <f>IF(Checks!$D$27="1",#REF!,"")</f>
        <v/>
      </c>
      <c r="I146" s="135"/>
      <c r="J146" s="158">
        <f t="shared" si="5"/>
        <v>1.5</v>
      </c>
      <c r="K146" s="159"/>
    </row>
    <row r="147" spans="1:11" ht="19.149999999999999" customHeight="1" x14ac:dyDescent="0.25">
      <c r="A147" s="38" t="s">
        <v>129</v>
      </c>
      <c r="B147" s="155">
        <v>200</v>
      </c>
      <c r="C147" s="156"/>
      <c r="D147" s="135" t="str">
        <f>IF(Checks!$D$27="1",#REF!,"")</f>
        <v/>
      </c>
      <c r="E147" s="135"/>
      <c r="F147" s="158">
        <f t="shared" si="4"/>
        <v>1.5</v>
      </c>
      <c r="G147" s="159"/>
      <c r="H147" s="135" t="str">
        <f>IF(Checks!$D$27="1",#REF!,"")</f>
        <v/>
      </c>
      <c r="I147" s="135"/>
      <c r="J147" s="158">
        <f t="shared" si="5"/>
        <v>1.5</v>
      </c>
      <c r="K147" s="159"/>
    </row>
    <row r="148" spans="1:11" ht="19.149999999999999" customHeight="1" x14ac:dyDescent="0.25">
      <c r="A148" s="38" t="s">
        <v>129</v>
      </c>
      <c r="B148" s="155">
        <v>300</v>
      </c>
      <c r="C148" s="156"/>
      <c r="D148" s="135" t="str">
        <f>IF(Checks!$D$27="1",#REF!,"")</f>
        <v/>
      </c>
      <c r="E148" s="135"/>
      <c r="F148" s="158">
        <f t="shared" si="4"/>
        <v>1.5</v>
      </c>
      <c r="G148" s="159"/>
      <c r="H148" s="135" t="str">
        <f>IF(Checks!$D$27="1",#REF!,"")</f>
        <v/>
      </c>
      <c r="I148" s="135"/>
      <c r="J148" s="158">
        <f t="shared" si="5"/>
        <v>1.5</v>
      </c>
      <c r="K148" s="159"/>
    </row>
    <row r="149" spans="1:11" ht="19.149999999999999" customHeight="1" x14ac:dyDescent="0.25">
      <c r="A149" s="38" t="s">
        <v>129</v>
      </c>
      <c r="B149" s="155">
        <v>400</v>
      </c>
      <c r="C149" s="156"/>
      <c r="D149" s="135" t="str">
        <f>IF(Checks!$D$27="1",#REF!,"")</f>
        <v/>
      </c>
      <c r="E149" s="135"/>
      <c r="F149" s="158">
        <f t="shared" si="4"/>
        <v>1.5</v>
      </c>
      <c r="G149" s="159"/>
      <c r="H149" s="135" t="str">
        <f>IF(Checks!$D$27="1",#REF!,"")</f>
        <v/>
      </c>
      <c r="I149" s="135"/>
      <c r="J149" s="158">
        <f t="shared" si="5"/>
        <v>1.5</v>
      </c>
      <c r="K149" s="159"/>
    </row>
    <row r="150" spans="1:11" ht="19.149999999999999" customHeight="1" x14ac:dyDescent="0.25">
      <c r="A150" s="38" t="s">
        <v>129</v>
      </c>
      <c r="B150" s="155">
        <v>500</v>
      </c>
      <c r="C150" s="156"/>
      <c r="D150" s="135" t="str">
        <f>IF(Checks!$D$27="1",#REF!,"")</f>
        <v/>
      </c>
      <c r="E150" s="135"/>
      <c r="F150" s="158">
        <f t="shared" si="4"/>
        <v>1.5</v>
      </c>
      <c r="G150" s="159"/>
      <c r="H150" s="135" t="str">
        <f>IF(Checks!$D$27="1",#REF!,"")</f>
        <v/>
      </c>
      <c r="I150" s="135"/>
      <c r="J150" s="158">
        <f t="shared" si="5"/>
        <v>1.5</v>
      </c>
      <c r="K150" s="159"/>
    </row>
    <row r="151" spans="1:11" ht="19.149999999999999" customHeight="1" x14ac:dyDescent="0.25">
      <c r="A151" s="38" t="s">
        <v>129</v>
      </c>
      <c r="B151" s="155">
        <v>600</v>
      </c>
      <c r="C151" s="156"/>
      <c r="D151" s="135" t="str">
        <f>IF(Checks!$D$27="1",#REF!,"")</f>
        <v/>
      </c>
      <c r="E151" s="135"/>
      <c r="F151" s="158">
        <f t="shared" si="4"/>
        <v>1.5</v>
      </c>
      <c r="G151" s="159"/>
      <c r="H151" s="135" t="str">
        <f>IF(Checks!$D$27="1",#REF!,"")</f>
        <v/>
      </c>
      <c r="I151" s="135"/>
      <c r="J151" s="158">
        <f t="shared" si="5"/>
        <v>1.5</v>
      </c>
      <c r="K151" s="159"/>
    </row>
    <row r="152" spans="1:11" x14ac:dyDescent="0.25">
      <c r="A152" s="28"/>
      <c r="B152" s="28"/>
      <c r="C152" s="28"/>
      <c r="D152" s="28"/>
      <c r="E152" s="28"/>
      <c r="F152" s="28"/>
      <c r="G152" s="28"/>
      <c r="H152" s="28"/>
      <c r="I152" s="28"/>
      <c r="J152" s="28"/>
      <c r="K152" s="28"/>
    </row>
    <row r="153" spans="1:11" x14ac:dyDescent="0.25">
      <c r="A153" s="5" t="s">
        <v>124</v>
      </c>
      <c r="B153" s="5"/>
      <c r="C153" s="5"/>
      <c r="D153" s="5" t="s">
        <v>125</v>
      </c>
      <c r="E153" s="5"/>
      <c r="F153" s="5"/>
      <c r="G153" s="5"/>
      <c r="H153" s="5"/>
      <c r="I153" s="5"/>
      <c r="J153" s="5"/>
      <c r="K153" s="5"/>
    </row>
    <row r="154" spans="1:11" x14ac:dyDescent="0.25">
      <c r="A154" s="28"/>
      <c r="B154" s="28"/>
      <c r="C154" s="28"/>
      <c r="D154" s="28"/>
      <c r="E154" s="28"/>
      <c r="F154" s="28"/>
      <c r="G154" s="28"/>
      <c r="H154" s="28"/>
      <c r="I154" s="28"/>
      <c r="J154" s="28"/>
      <c r="K154" s="28"/>
    </row>
    <row r="155" spans="1:11" x14ac:dyDescent="0.25">
      <c r="A155" s="107" t="s">
        <v>0</v>
      </c>
      <c r="B155" s="108"/>
      <c r="C155" s="108"/>
      <c r="D155" s="108"/>
      <c r="E155" s="108"/>
      <c r="F155" s="108"/>
      <c r="G155" s="109"/>
      <c r="H155" s="28"/>
      <c r="I155" s="116" t="s">
        <v>1</v>
      </c>
      <c r="J155" s="148" t="str">
        <f>$J$6</f>
        <v>04567</v>
      </c>
      <c r="K155" s="119"/>
    </row>
    <row r="156" spans="1:11" x14ac:dyDescent="0.25">
      <c r="A156" s="110"/>
      <c r="B156" s="111"/>
      <c r="C156" s="111"/>
      <c r="D156" s="111"/>
      <c r="E156" s="111"/>
      <c r="F156" s="111"/>
      <c r="G156" s="112"/>
      <c r="H156" s="28"/>
      <c r="I156" s="117"/>
      <c r="J156" s="120"/>
      <c r="K156" s="121"/>
    </row>
    <row r="157" spans="1:11" x14ac:dyDescent="0.25">
      <c r="A157" s="110"/>
      <c r="B157" s="111"/>
      <c r="C157" s="111"/>
      <c r="D157" s="111"/>
      <c r="E157" s="111"/>
      <c r="F157" s="111"/>
      <c r="G157" s="112"/>
      <c r="H157" s="28"/>
      <c r="I157" s="122" t="s">
        <v>284</v>
      </c>
      <c r="J157" s="123"/>
      <c r="K157" s="124"/>
    </row>
    <row r="158" spans="1:11" x14ac:dyDescent="0.25">
      <c r="A158" s="113"/>
      <c r="B158" s="114"/>
      <c r="C158" s="114"/>
      <c r="D158" s="114"/>
      <c r="E158" s="114"/>
      <c r="F158" s="114"/>
      <c r="G158" s="115"/>
      <c r="H158" s="28"/>
      <c r="I158" s="125"/>
      <c r="J158" s="126"/>
      <c r="K158" s="127"/>
    </row>
    <row r="159" spans="1:11" x14ac:dyDescent="0.25">
      <c r="A159" s="28"/>
      <c r="B159" s="28"/>
      <c r="C159" s="28"/>
      <c r="D159" s="28"/>
      <c r="E159" s="28"/>
      <c r="F159" s="28"/>
      <c r="G159" s="28"/>
      <c r="H159" s="28"/>
      <c r="I159" s="28"/>
      <c r="J159" s="28"/>
      <c r="K159" s="28"/>
    </row>
    <row r="160" spans="1:11" ht="15.75" x14ac:dyDescent="0.25">
      <c r="A160" s="101" t="s">
        <v>285</v>
      </c>
      <c r="B160" s="101"/>
      <c r="C160" s="101"/>
      <c r="D160" s="101"/>
      <c r="E160" s="101"/>
      <c r="F160" s="101"/>
      <c r="G160" s="101"/>
      <c r="H160" s="101"/>
      <c r="I160" s="101"/>
      <c r="J160" s="101"/>
      <c r="K160" s="101"/>
    </row>
    <row r="161" spans="1:11" x14ac:dyDescent="0.25">
      <c r="A161" s="102" t="s">
        <v>115</v>
      </c>
      <c r="B161" s="102"/>
      <c r="C161" s="28"/>
      <c r="D161" s="28"/>
      <c r="E161" s="28"/>
      <c r="F161" s="28"/>
      <c r="G161" s="28"/>
      <c r="H161" s="28"/>
      <c r="I161" s="28"/>
      <c r="J161" s="28"/>
      <c r="K161" s="28"/>
    </row>
    <row r="162" spans="1:11" x14ac:dyDescent="0.25">
      <c r="A162" s="28"/>
      <c r="B162" s="28"/>
      <c r="C162" s="28"/>
      <c r="D162" s="28"/>
      <c r="E162" s="28"/>
      <c r="F162" s="28"/>
      <c r="G162" s="28"/>
      <c r="H162" s="28"/>
      <c r="I162" s="28"/>
      <c r="J162" s="28"/>
      <c r="K162" s="28"/>
    </row>
    <row r="163" spans="1:11" ht="15" customHeight="1" x14ac:dyDescent="0.25">
      <c r="A163" s="157" t="s">
        <v>286</v>
      </c>
      <c r="B163" s="157"/>
      <c r="C163" s="157"/>
      <c r="D163" s="157"/>
      <c r="E163" s="157"/>
      <c r="F163" s="157"/>
      <c r="G163" s="157"/>
      <c r="H163" s="157"/>
      <c r="I163" s="157"/>
      <c r="J163" s="157"/>
      <c r="K163" s="157"/>
    </row>
    <row r="164" spans="1:11" x14ac:dyDescent="0.25">
      <c r="A164" s="157"/>
      <c r="B164" s="157"/>
      <c r="C164" s="157"/>
      <c r="D164" s="157"/>
      <c r="E164" s="157"/>
      <c r="F164" s="157"/>
      <c r="G164" s="157"/>
      <c r="H164" s="157"/>
      <c r="I164" s="157"/>
      <c r="J164" s="157"/>
      <c r="K164" s="157"/>
    </row>
    <row r="165" spans="1:11" x14ac:dyDescent="0.25">
      <c r="A165" s="157"/>
      <c r="B165" s="157"/>
      <c r="C165" s="157"/>
      <c r="D165" s="157"/>
      <c r="E165" s="157"/>
      <c r="F165" s="157"/>
      <c r="G165" s="157"/>
      <c r="H165" s="157"/>
      <c r="I165" s="157"/>
      <c r="J165" s="157"/>
      <c r="K165" s="157"/>
    </row>
    <row r="166" spans="1:11" x14ac:dyDescent="0.25">
      <c r="A166" s="157"/>
      <c r="B166" s="157"/>
      <c r="C166" s="157"/>
      <c r="D166" s="157"/>
      <c r="E166" s="157"/>
      <c r="F166" s="157"/>
      <c r="G166" s="157"/>
      <c r="H166" s="157"/>
      <c r="I166" s="157"/>
      <c r="J166" s="157"/>
      <c r="K166" s="157"/>
    </row>
    <row r="167" spans="1:11" x14ac:dyDescent="0.25">
      <c r="A167" s="157"/>
      <c r="B167" s="157"/>
      <c r="C167" s="157"/>
      <c r="D167" s="157"/>
      <c r="E167" s="157"/>
      <c r="F167" s="157"/>
      <c r="G167" s="157"/>
      <c r="H167" s="157"/>
      <c r="I167" s="157"/>
      <c r="J167" s="157"/>
      <c r="K167" s="157"/>
    </row>
    <row r="168" spans="1:11" x14ac:dyDescent="0.25">
      <c r="A168" s="28"/>
      <c r="B168" s="28"/>
      <c r="C168" s="28"/>
      <c r="D168" s="28"/>
      <c r="E168" s="28"/>
      <c r="F168" s="28"/>
      <c r="G168" s="28"/>
      <c r="H168" s="28"/>
      <c r="I168" s="28"/>
      <c r="J168" s="28"/>
      <c r="K168" s="28"/>
    </row>
    <row r="169" spans="1:11" ht="31.15" customHeight="1" x14ac:dyDescent="0.25">
      <c r="A169" s="48" t="s">
        <v>12</v>
      </c>
      <c r="B169" s="160" t="s">
        <v>13</v>
      </c>
      <c r="C169" s="160"/>
      <c r="D169" s="160" t="s">
        <v>14</v>
      </c>
      <c r="E169" s="160"/>
      <c r="F169" s="160" t="s">
        <v>15</v>
      </c>
      <c r="G169" s="160"/>
      <c r="H169" s="160" t="s">
        <v>16</v>
      </c>
      <c r="I169" s="160"/>
      <c r="J169" s="160" t="s">
        <v>17</v>
      </c>
      <c r="K169" s="160"/>
    </row>
    <row r="170" spans="1:11" ht="19.149999999999999" customHeight="1" x14ac:dyDescent="0.25">
      <c r="A170" s="48"/>
      <c r="B170" s="160" t="s">
        <v>18</v>
      </c>
      <c r="C170" s="160"/>
      <c r="D170" s="160" t="s">
        <v>18</v>
      </c>
      <c r="E170" s="160"/>
      <c r="F170" s="160" t="s">
        <v>19</v>
      </c>
      <c r="G170" s="160"/>
      <c r="H170" s="160" t="s">
        <v>18</v>
      </c>
      <c r="I170" s="160"/>
      <c r="J170" s="160" t="s">
        <v>19</v>
      </c>
      <c r="K170" s="160"/>
    </row>
    <row r="171" spans="1:11" ht="19.149999999999999" customHeight="1" x14ac:dyDescent="0.25">
      <c r="A171" s="51" t="s">
        <v>116</v>
      </c>
      <c r="B171" s="161">
        <v>10</v>
      </c>
      <c r="C171" s="161"/>
      <c r="D171" s="135" t="str">
        <f>IF(Checks!$D$27="1",#REF!,"")</f>
        <v/>
      </c>
      <c r="E171" s="135"/>
      <c r="F171" s="136">
        <f t="shared" ref="F171:F182" si="6">0.25/100*350</f>
        <v>0.875</v>
      </c>
      <c r="G171" s="136"/>
      <c r="H171" s="136" t="str">
        <f>IF(Checks!$D$27="1",#REF!,"")</f>
        <v/>
      </c>
      <c r="I171" s="136"/>
      <c r="J171" s="158">
        <f t="shared" ref="J171:J182" si="7">0.25/100*300</f>
        <v>0.75</v>
      </c>
      <c r="K171" s="159"/>
    </row>
    <row r="172" spans="1:11" ht="19.149999999999999" customHeight="1" x14ac:dyDescent="0.25">
      <c r="A172" s="51" t="s">
        <v>116</v>
      </c>
      <c r="B172" s="161">
        <v>25</v>
      </c>
      <c r="C172" s="161"/>
      <c r="D172" s="135" t="str">
        <f>IF(Checks!$D$27="1",#REF!,"")</f>
        <v/>
      </c>
      <c r="E172" s="135"/>
      <c r="F172" s="136">
        <f t="shared" si="6"/>
        <v>0.875</v>
      </c>
      <c r="G172" s="136"/>
      <c r="H172" s="136" t="str">
        <f>IF(Checks!$D$27="1",#REF!,"")</f>
        <v/>
      </c>
      <c r="I172" s="136"/>
      <c r="J172" s="158">
        <f t="shared" si="7"/>
        <v>0.75</v>
      </c>
      <c r="K172" s="159"/>
    </row>
    <row r="173" spans="1:11" ht="19.149999999999999" customHeight="1" x14ac:dyDescent="0.25">
      <c r="A173" s="51" t="s">
        <v>116</v>
      </c>
      <c r="B173" s="161">
        <v>50</v>
      </c>
      <c r="C173" s="161"/>
      <c r="D173" s="135" t="str">
        <f>IF(Checks!$D$27="1",#REF!,"")</f>
        <v/>
      </c>
      <c r="E173" s="135"/>
      <c r="F173" s="136">
        <f t="shared" si="6"/>
        <v>0.875</v>
      </c>
      <c r="G173" s="136"/>
      <c r="H173" s="136" t="str">
        <f>IF(Checks!$D$27="1",#REF!,"")</f>
        <v/>
      </c>
      <c r="I173" s="136"/>
      <c r="J173" s="158">
        <f t="shared" si="7"/>
        <v>0.75</v>
      </c>
      <c r="K173" s="159"/>
    </row>
    <row r="174" spans="1:11" ht="19.149999999999999" customHeight="1" x14ac:dyDescent="0.25">
      <c r="A174" s="51" t="s">
        <v>116</v>
      </c>
      <c r="B174" s="161">
        <v>75</v>
      </c>
      <c r="C174" s="161"/>
      <c r="D174" s="135" t="str">
        <f>IF(Checks!$D$27="1",#REF!,"")</f>
        <v/>
      </c>
      <c r="E174" s="135"/>
      <c r="F174" s="136">
        <f t="shared" si="6"/>
        <v>0.875</v>
      </c>
      <c r="G174" s="136"/>
      <c r="H174" s="136" t="str">
        <f>IF(Checks!$D$27="1",#REF!,"")</f>
        <v/>
      </c>
      <c r="I174" s="136"/>
      <c r="J174" s="158">
        <f t="shared" si="7"/>
        <v>0.75</v>
      </c>
      <c r="K174" s="159"/>
    </row>
    <row r="175" spans="1:11" ht="19.149999999999999" customHeight="1" x14ac:dyDescent="0.25">
      <c r="A175" s="51" t="s">
        <v>116</v>
      </c>
      <c r="B175" s="161">
        <v>100</v>
      </c>
      <c r="C175" s="161"/>
      <c r="D175" s="135" t="str">
        <f>IF(Checks!$D$27="1",#REF!,"")</f>
        <v/>
      </c>
      <c r="E175" s="135"/>
      <c r="F175" s="136">
        <f t="shared" si="6"/>
        <v>0.875</v>
      </c>
      <c r="G175" s="136"/>
      <c r="H175" s="136" t="str">
        <f>IF(Checks!$D$27="1",#REF!,"")</f>
        <v/>
      </c>
      <c r="I175" s="136"/>
      <c r="J175" s="158">
        <f t="shared" si="7"/>
        <v>0.75</v>
      </c>
      <c r="K175" s="159"/>
    </row>
    <row r="176" spans="1:11" ht="19.149999999999999" customHeight="1" x14ac:dyDescent="0.25">
      <c r="A176" s="51" t="s">
        <v>116</v>
      </c>
      <c r="B176" s="161">
        <v>115</v>
      </c>
      <c r="C176" s="161"/>
      <c r="D176" s="135" t="str">
        <f>IF(Checks!$D$27="1",#REF!,"")</f>
        <v/>
      </c>
      <c r="E176" s="135"/>
      <c r="F176" s="136">
        <f t="shared" si="6"/>
        <v>0.875</v>
      </c>
      <c r="G176" s="136"/>
      <c r="H176" s="136" t="str">
        <f>IF(Checks!$D$27="1",#REF!,"")</f>
        <v/>
      </c>
      <c r="I176" s="136"/>
      <c r="J176" s="158">
        <f t="shared" si="7"/>
        <v>0.75</v>
      </c>
      <c r="K176" s="159"/>
    </row>
    <row r="177" spans="1:11" ht="19.149999999999999" customHeight="1" x14ac:dyDescent="0.25">
      <c r="A177" s="51" t="s">
        <v>116</v>
      </c>
      <c r="B177" s="161">
        <v>125</v>
      </c>
      <c r="C177" s="161"/>
      <c r="D177" s="135" t="str">
        <f>IF(Checks!$D$27="1",#REF!,"")</f>
        <v/>
      </c>
      <c r="E177" s="135"/>
      <c r="F177" s="136">
        <f t="shared" si="6"/>
        <v>0.875</v>
      </c>
      <c r="G177" s="136"/>
      <c r="H177" s="136" t="str">
        <f>IF(Checks!$D$27="1",#REF!,"")</f>
        <v/>
      </c>
      <c r="I177" s="136"/>
      <c r="J177" s="158">
        <f t="shared" si="7"/>
        <v>0.75</v>
      </c>
      <c r="K177" s="159"/>
    </row>
    <row r="178" spans="1:11" ht="19.149999999999999" customHeight="1" x14ac:dyDescent="0.25">
      <c r="A178" s="51" t="s">
        <v>116</v>
      </c>
      <c r="B178" s="161">
        <f>B98</f>
        <v>150</v>
      </c>
      <c r="C178" s="161"/>
      <c r="D178" s="135" t="str">
        <f>IF(Checks!$D$27="1",#REF!,"")</f>
        <v/>
      </c>
      <c r="E178" s="135"/>
      <c r="F178" s="136">
        <f t="shared" si="6"/>
        <v>0.875</v>
      </c>
      <c r="G178" s="136"/>
      <c r="H178" s="136" t="str">
        <f>IF(Checks!$D$27="1",#REF!,"")</f>
        <v/>
      </c>
      <c r="I178" s="136"/>
      <c r="J178" s="158">
        <f t="shared" si="7"/>
        <v>0.75</v>
      </c>
      <c r="K178" s="159"/>
    </row>
    <row r="179" spans="1:11" ht="19.149999999999999" customHeight="1" x14ac:dyDescent="0.25">
      <c r="A179" s="51" t="s">
        <v>116</v>
      </c>
      <c r="B179" s="161">
        <v>200</v>
      </c>
      <c r="C179" s="161"/>
      <c r="D179" s="135" t="str">
        <f>IF(Checks!$D$27="1",#REF!,"")</f>
        <v/>
      </c>
      <c r="E179" s="135"/>
      <c r="F179" s="136">
        <f t="shared" si="6"/>
        <v>0.875</v>
      </c>
      <c r="G179" s="136"/>
      <c r="H179" s="136" t="str">
        <f>IF(Checks!$D$27="1",#REF!,"")</f>
        <v/>
      </c>
      <c r="I179" s="136"/>
      <c r="J179" s="158">
        <f t="shared" si="7"/>
        <v>0.75</v>
      </c>
      <c r="K179" s="159"/>
    </row>
    <row r="180" spans="1:11" ht="19.149999999999999" customHeight="1" x14ac:dyDescent="0.25">
      <c r="A180" s="51" t="s">
        <v>116</v>
      </c>
      <c r="B180" s="161">
        <v>240</v>
      </c>
      <c r="C180" s="161"/>
      <c r="D180" s="135" t="str">
        <f>IF(Checks!$D$27="1",#REF!,"")</f>
        <v/>
      </c>
      <c r="E180" s="135"/>
      <c r="F180" s="136">
        <f t="shared" si="6"/>
        <v>0.875</v>
      </c>
      <c r="G180" s="136"/>
      <c r="H180" s="136" t="str">
        <f>IF(Checks!$D$27="1",#REF!,"")</f>
        <v/>
      </c>
      <c r="I180" s="136"/>
      <c r="J180" s="158">
        <f t="shared" si="7"/>
        <v>0.75</v>
      </c>
      <c r="K180" s="159"/>
    </row>
    <row r="181" spans="1:11" ht="19.149999999999999" customHeight="1" x14ac:dyDescent="0.25">
      <c r="A181" s="51" t="s">
        <v>116</v>
      </c>
      <c r="B181" s="161">
        <v>270</v>
      </c>
      <c r="C181" s="161"/>
      <c r="D181" s="135" t="str">
        <f>IF(Checks!$D$27="1",#REF!,"")</f>
        <v/>
      </c>
      <c r="E181" s="135"/>
      <c r="F181" s="136">
        <f t="shared" si="6"/>
        <v>0.875</v>
      </c>
      <c r="G181" s="136"/>
      <c r="H181" s="136" t="str">
        <f>IF(Checks!$D$27="1",#REF!,"")</f>
        <v/>
      </c>
      <c r="I181" s="136"/>
      <c r="J181" s="158">
        <f t="shared" si="7"/>
        <v>0.75</v>
      </c>
      <c r="K181" s="159"/>
    </row>
    <row r="182" spans="1:11" ht="19.149999999999999" customHeight="1" x14ac:dyDescent="0.25">
      <c r="A182" s="51" t="s">
        <v>116</v>
      </c>
      <c r="B182" s="161">
        <v>300</v>
      </c>
      <c r="C182" s="161"/>
      <c r="D182" s="135" t="str">
        <f>IF(Checks!$D$27="1",#REF!,"")</f>
        <v/>
      </c>
      <c r="E182" s="135"/>
      <c r="F182" s="136">
        <f t="shared" si="6"/>
        <v>0.875</v>
      </c>
      <c r="G182" s="136"/>
      <c r="H182" s="136" t="str">
        <f>IF(Checks!$D$27="1",#REF!,"")</f>
        <v/>
      </c>
      <c r="I182" s="136"/>
      <c r="J182" s="158">
        <f t="shared" si="7"/>
        <v>0.75</v>
      </c>
      <c r="K182" s="159"/>
    </row>
    <row r="183" spans="1:11" ht="19.149999999999999" customHeight="1" x14ac:dyDescent="0.25">
      <c r="A183" s="64"/>
      <c r="B183" s="65"/>
      <c r="C183" s="65"/>
      <c r="D183" s="66"/>
      <c r="E183" s="66"/>
      <c r="F183" s="67"/>
      <c r="G183" s="67"/>
      <c r="H183" s="68"/>
      <c r="I183" s="68"/>
      <c r="J183" s="69"/>
      <c r="K183" s="69"/>
    </row>
    <row r="184" spans="1:11" x14ac:dyDescent="0.25">
      <c r="A184" s="5" t="s">
        <v>124</v>
      </c>
      <c r="B184" s="5"/>
      <c r="C184" s="5"/>
      <c r="D184" s="5" t="s">
        <v>125</v>
      </c>
      <c r="E184" s="5"/>
      <c r="F184" s="5"/>
      <c r="G184" s="5"/>
      <c r="H184" s="5"/>
      <c r="I184" s="5"/>
      <c r="J184" s="5"/>
      <c r="K184" s="5"/>
    </row>
    <row r="185" spans="1:11" x14ac:dyDescent="0.25">
      <c r="A185" s="28"/>
      <c r="B185" s="28"/>
      <c r="C185" s="28"/>
      <c r="D185" s="28"/>
      <c r="E185" s="28"/>
      <c r="F185" s="28"/>
      <c r="G185" s="28"/>
      <c r="H185" s="28"/>
      <c r="I185" s="28"/>
      <c r="J185" s="28"/>
      <c r="K185" s="28"/>
    </row>
    <row r="186" spans="1:11" x14ac:dyDescent="0.25">
      <c r="A186" s="28"/>
      <c r="B186" s="28"/>
      <c r="C186" s="28"/>
      <c r="D186" s="28"/>
      <c r="E186" s="28"/>
      <c r="F186" s="28"/>
      <c r="G186" s="28"/>
      <c r="H186" s="28"/>
      <c r="I186" s="28"/>
      <c r="J186" s="28"/>
      <c r="K186" s="28"/>
    </row>
    <row r="187" spans="1:11" x14ac:dyDescent="0.25">
      <c r="A187" s="28"/>
      <c r="B187" s="28"/>
      <c r="C187" s="28"/>
      <c r="D187" s="28"/>
      <c r="E187" s="28"/>
      <c r="F187" s="28"/>
      <c r="G187" s="28"/>
      <c r="H187" s="28"/>
      <c r="I187" s="28"/>
      <c r="J187" s="28"/>
      <c r="K187" s="28"/>
    </row>
    <row r="188" spans="1:11" x14ac:dyDescent="0.25">
      <c r="A188" s="28"/>
      <c r="B188" s="28"/>
      <c r="C188" s="28"/>
      <c r="D188" s="28"/>
      <c r="E188" s="28"/>
      <c r="F188" s="28"/>
      <c r="G188" s="28"/>
      <c r="H188" s="28"/>
      <c r="I188" s="28"/>
      <c r="J188" s="28"/>
      <c r="K188" s="28"/>
    </row>
    <row r="189" spans="1:11" x14ac:dyDescent="0.25">
      <c r="A189" s="28"/>
      <c r="B189" s="28"/>
      <c r="C189" s="28"/>
      <c r="D189" s="28"/>
      <c r="E189" s="28"/>
      <c r="F189" s="28"/>
      <c r="G189" s="28"/>
      <c r="H189" s="28"/>
      <c r="I189" s="28"/>
      <c r="J189" s="28"/>
      <c r="K189" s="28"/>
    </row>
    <row r="190" spans="1:11" x14ac:dyDescent="0.25">
      <c r="A190" s="28"/>
      <c r="B190" s="28"/>
      <c r="C190" s="28"/>
      <c r="D190" s="28"/>
      <c r="E190" s="28"/>
      <c r="F190" s="28"/>
      <c r="G190" s="28"/>
      <c r="H190" s="28"/>
      <c r="I190" s="28"/>
      <c r="J190" s="28"/>
      <c r="K190" s="28"/>
    </row>
    <row r="191" spans="1:11" x14ac:dyDescent="0.25">
      <c r="A191" s="28"/>
      <c r="B191" s="28"/>
      <c r="C191" s="28"/>
      <c r="D191" s="28"/>
      <c r="E191" s="28"/>
      <c r="F191" s="28"/>
      <c r="G191" s="28"/>
      <c r="H191" s="28"/>
      <c r="I191" s="28"/>
      <c r="J191" s="28"/>
      <c r="K191" s="28"/>
    </row>
    <row r="192" spans="1:11" x14ac:dyDescent="0.25">
      <c r="A192" s="28"/>
      <c r="B192" s="28"/>
      <c r="C192" s="28"/>
      <c r="D192" s="28"/>
      <c r="E192" s="28"/>
      <c r="F192" s="28"/>
      <c r="G192" s="28"/>
      <c r="H192" s="28"/>
      <c r="I192" s="28"/>
      <c r="J192" s="28"/>
      <c r="K192" s="28"/>
    </row>
    <row r="193" spans="1:11" x14ac:dyDescent="0.25">
      <c r="A193" s="28"/>
      <c r="B193" s="28"/>
      <c r="C193" s="28"/>
      <c r="D193" s="28"/>
      <c r="E193" s="28"/>
      <c r="F193" s="28"/>
      <c r="G193" s="28"/>
      <c r="H193" s="28"/>
      <c r="I193" s="28"/>
      <c r="J193" s="28"/>
      <c r="K193" s="28"/>
    </row>
    <row r="194" spans="1:11" x14ac:dyDescent="0.25">
      <c r="A194" s="28"/>
      <c r="B194" s="28"/>
      <c r="C194" s="28"/>
      <c r="D194" s="28"/>
      <c r="E194" s="28"/>
      <c r="F194" s="28"/>
      <c r="G194" s="28"/>
      <c r="H194" s="28"/>
      <c r="I194" s="28"/>
      <c r="J194" s="28"/>
      <c r="K194" s="28"/>
    </row>
    <row r="195" spans="1:11" x14ac:dyDescent="0.25">
      <c r="A195" s="28"/>
      <c r="B195" s="28"/>
      <c r="C195" s="28"/>
      <c r="D195" s="28"/>
      <c r="E195" s="28"/>
      <c r="F195" s="28"/>
      <c r="G195" s="28"/>
      <c r="H195" s="28"/>
      <c r="I195" s="28"/>
      <c r="J195" s="28"/>
      <c r="K195" s="28"/>
    </row>
    <row r="196" spans="1:11" x14ac:dyDescent="0.25">
      <c r="A196" s="28"/>
      <c r="B196" s="28"/>
      <c r="C196" s="28"/>
      <c r="D196" s="28"/>
      <c r="E196" s="28"/>
      <c r="F196" s="28"/>
      <c r="G196" s="28"/>
      <c r="H196" s="28"/>
      <c r="I196" s="28"/>
      <c r="J196" s="28"/>
      <c r="K196" s="28"/>
    </row>
    <row r="197" spans="1:11" x14ac:dyDescent="0.25">
      <c r="A197" s="28"/>
      <c r="B197" s="28"/>
      <c r="C197" s="28"/>
      <c r="D197" s="28"/>
      <c r="E197" s="28"/>
      <c r="F197" s="28"/>
      <c r="G197" s="28"/>
      <c r="H197" s="28"/>
      <c r="I197" s="28"/>
      <c r="J197" s="28"/>
      <c r="K197" s="28"/>
    </row>
    <row r="198" spans="1:11" x14ac:dyDescent="0.25">
      <c r="A198" s="28"/>
      <c r="B198" s="28"/>
      <c r="C198" s="28"/>
      <c r="D198" s="28"/>
      <c r="E198" s="28"/>
      <c r="F198" s="28"/>
      <c r="G198" s="28"/>
      <c r="H198" s="28"/>
      <c r="I198" s="28"/>
      <c r="J198" s="28"/>
      <c r="K198" s="28"/>
    </row>
    <row r="199" spans="1:11" x14ac:dyDescent="0.25">
      <c r="A199" s="28"/>
      <c r="B199" s="28"/>
      <c r="C199" s="28"/>
      <c r="D199" s="28"/>
      <c r="E199" s="28"/>
      <c r="F199" s="28"/>
      <c r="G199" s="28"/>
      <c r="H199" s="28"/>
      <c r="I199" s="28"/>
      <c r="J199" s="28"/>
      <c r="K199" s="28"/>
    </row>
    <row r="200" spans="1:11" x14ac:dyDescent="0.25">
      <c r="A200" s="28"/>
      <c r="B200" s="28"/>
      <c r="C200" s="28"/>
      <c r="D200" s="28"/>
      <c r="E200" s="28"/>
      <c r="F200" s="28"/>
      <c r="G200" s="28"/>
      <c r="H200" s="28"/>
      <c r="I200" s="28"/>
      <c r="J200" s="28"/>
      <c r="K200" s="28"/>
    </row>
    <row r="201" spans="1:11" x14ac:dyDescent="0.25">
      <c r="A201" s="107" t="s">
        <v>0</v>
      </c>
      <c r="B201" s="108"/>
      <c r="C201" s="108"/>
      <c r="D201" s="108"/>
      <c r="E201" s="108"/>
      <c r="F201" s="108"/>
      <c r="G201" s="109"/>
      <c r="H201" s="28"/>
      <c r="I201" s="116" t="s">
        <v>1</v>
      </c>
      <c r="J201" s="148" t="str">
        <f>$J$6</f>
        <v>04567</v>
      </c>
      <c r="K201" s="119"/>
    </row>
    <row r="202" spans="1:11" x14ac:dyDescent="0.25">
      <c r="A202" s="110"/>
      <c r="B202" s="111"/>
      <c r="C202" s="111"/>
      <c r="D202" s="111"/>
      <c r="E202" s="111"/>
      <c r="F202" s="111"/>
      <c r="G202" s="112"/>
      <c r="H202" s="28"/>
      <c r="I202" s="117"/>
      <c r="J202" s="120"/>
      <c r="K202" s="121"/>
    </row>
    <row r="203" spans="1:11" x14ac:dyDescent="0.25">
      <c r="A203" s="110"/>
      <c r="B203" s="111"/>
      <c r="C203" s="111"/>
      <c r="D203" s="111"/>
      <c r="E203" s="111"/>
      <c r="F203" s="111"/>
      <c r="G203" s="112"/>
      <c r="H203" s="28"/>
      <c r="I203" s="122" t="s">
        <v>287</v>
      </c>
      <c r="J203" s="123"/>
      <c r="K203" s="124"/>
    </row>
    <row r="204" spans="1:11" x14ac:dyDescent="0.25">
      <c r="A204" s="113"/>
      <c r="B204" s="114"/>
      <c r="C204" s="114"/>
      <c r="D204" s="114"/>
      <c r="E204" s="114"/>
      <c r="F204" s="114"/>
      <c r="G204" s="115"/>
      <c r="H204" s="28"/>
      <c r="I204" s="125"/>
      <c r="J204" s="126"/>
      <c r="K204" s="127"/>
    </row>
    <row r="205" spans="1:11" x14ac:dyDescent="0.25">
      <c r="A205" s="28"/>
      <c r="B205" s="28"/>
      <c r="C205" s="28"/>
      <c r="D205" s="28"/>
      <c r="E205" s="28"/>
      <c r="F205" s="28"/>
      <c r="G205" s="28"/>
      <c r="H205" s="28"/>
      <c r="I205" s="28"/>
      <c r="J205" s="28"/>
      <c r="K205" s="28"/>
    </row>
    <row r="206" spans="1:11" ht="15.75" x14ac:dyDescent="0.25">
      <c r="A206" s="101" t="s">
        <v>136</v>
      </c>
      <c r="B206" s="101"/>
      <c r="C206" s="101"/>
      <c r="D206" s="101"/>
      <c r="E206" s="101"/>
      <c r="F206" s="101"/>
      <c r="G206" s="101"/>
      <c r="H206" s="101"/>
      <c r="I206" s="101"/>
      <c r="J206" s="101"/>
      <c r="K206" s="101"/>
    </row>
    <row r="207" spans="1:11" x14ac:dyDescent="0.25">
      <c r="A207" s="102" t="s">
        <v>115</v>
      </c>
      <c r="B207" s="102"/>
      <c r="C207" s="28"/>
      <c r="D207" s="28"/>
      <c r="E207" s="28"/>
      <c r="F207" s="28"/>
      <c r="G207" s="28"/>
      <c r="H207" s="28"/>
      <c r="I207" s="28"/>
      <c r="J207" s="28"/>
      <c r="K207" s="28"/>
    </row>
    <row r="208" spans="1:11" x14ac:dyDescent="0.25">
      <c r="A208" s="28"/>
      <c r="B208" s="28"/>
      <c r="C208" s="28"/>
      <c r="D208" s="28"/>
      <c r="E208" s="28"/>
      <c r="F208" s="28"/>
      <c r="G208" s="28"/>
      <c r="H208" s="28"/>
      <c r="I208" s="28"/>
      <c r="J208" s="28"/>
      <c r="K208" s="28"/>
    </row>
    <row r="209" spans="1:11" ht="15" customHeight="1" x14ac:dyDescent="0.25">
      <c r="A209" s="157" t="s">
        <v>288</v>
      </c>
      <c r="B209" s="157"/>
      <c r="C209" s="157"/>
      <c r="D209" s="157"/>
      <c r="E209" s="157"/>
      <c r="F209" s="157"/>
      <c r="G209" s="157"/>
      <c r="H209" s="157"/>
      <c r="I209" s="157"/>
      <c r="J209" s="157"/>
      <c r="K209" s="157"/>
    </row>
    <row r="210" spans="1:11" x14ac:dyDescent="0.25">
      <c r="A210" s="157"/>
      <c r="B210" s="157"/>
      <c r="C210" s="157"/>
      <c r="D210" s="157"/>
      <c r="E210" s="157"/>
      <c r="F210" s="157"/>
      <c r="G210" s="157"/>
      <c r="H210" s="157"/>
      <c r="I210" s="157"/>
      <c r="J210" s="157"/>
      <c r="K210" s="157"/>
    </row>
    <row r="211" spans="1:11" x14ac:dyDescent="0.25">
      <c r="A211" s="157"/>
      <c r="B211" s="157"/>
      <c r="C211" s="157"/>
      <c r="D211" s="157"/>
      <c r="E211" s="157"/>
      <c r="F211" s="157"/>
      <c r="G211" s="157"/>
      <c r="H211" s="157"/>
      <c r="I211" s="157"/>
      <c r="J211" s="157"/>
      <c r="K211" s="157"/>
    </row>
    <row r="212" spans="1:11" x14ac:dyDescent="0.25">
      <c r="A212" s="157"/>
      <c r="B212" s="157"/>
      <c r="C212" s="157"/>
      <c r="D212" s="157"/>
      <c r="E212" s="157"/>
      <c r="F212" s="157"/>
      <c r="G212" s="157"/>
      <c r="H212" s="157"/>
      <c r="I212" s="157"/>
      <c r="J212" s="157"/>
      <c r="K212" s="157"/>
    </row>
    <row r="213" spans="1:11" x14ac:dyDescent="0.25">
      <c r="A213" s="157"/>
      <c r="B213" s="157"/>
      <c r="C213" s="157"/>
      <c r="D213" s="157"/>
      <c r="E213" s="157"/>
      <c r="F213" s="157"/>
      <c r="G213" s="157"/>
      <c r="H213" s="157"/>
      <c r="I213" s="157"/>
      <c r="J213" s="157"/>
      <c r="K213" s="157"/>
    </row>
    <row r="214" spans="1:11" x14ac:dyDescent="0.25">
      <c r="A214" s="28"/>
      <c r="B214" s="28"/>
      <c r="C214" s="28"/>
      <c r="D214" s="28"/>
      <c r="E214" s="28"/>
      <c r="F214" s="28"/>
      <c r="G214" s="28"/>
      <c r="H214" s="28"/>
      <c r="I214" s="28"/>
      <c r="J214" s="28"/>
      <c r="K214" s="28"/>
    </row>
    <row r="215" spans="1:11" ht="27" customHeight="1" x14ac:dyDescent="0.25">
      <c r="A215" s="48" t="s">
        <v>12</v>
      </c>
      <c r="B215" s="160" t="s">
        <v>13</v>
      </c>
      <c r="C215" s="160"/>
      <c r="D215" s="160" t="s">
        <v>140</v>
      </c>
      <c r="E215" s="160"/>
      <c r="F215" s="160" t="s">
        <v>143</v>
      </c>
      <c r="G215" s="160"/>
      <c r="H215" s="160" t="s">
        <v>142</v>
      </c>
      <c r="I215" s="160"/>
      <c r="J215" s="160" t="s">
        <v>17</v>
      </c>
      <c r="K215" s="160"/>
    </row>
    <row r="216" spans="1:11" x14ac:dyDescent="0.25">
      <c r="A216" s="48"/>
      <c r="B216" s="160" t="s">
        <v>139</v>
      </c>
      <c r="C216" s="160"/>
      <c r="D216" s="160" t="s">
        <v>139</v>
      </c>
      <c r="E216" s="160"/>
      <c r="F216" s="160" t="s">
        <v>141</v>
      </c>
      <c r="G216" s="160"/>
      <c r="H216" s="160" t="s">
        <v>18</v>
      </c>
      <c r="I216" s="160"/>
      <c r="J216" s="160" t="s">
        <v>19</v>
      </c>
      <c r="K216" s="160"/>
    </row>
    <row r="217" spans="1:11" ht="19.149999999999999" customHeight="1" x14ac:dyDescent="0.25">
      <c r="A217" s="51" t="s">
        <v>116</v>
      </c>
      <c r="B217" s="161">
        <v>50</v>
      </c>
      <c r="C217" s="161"/>
      <c r="D217" s="163" t="str">
        <f>IF(Checks!$D$27="1",#REF!,"")</f>
        <v/>
      </c>
      <c r="E217" s="164"/>
      <c r="F217" s="169">
        <f>0.01/100*B217</f>
        <v>5.0000000000000001E-3</v>
      </c>
      <c r="G217" s="169"/>
      <c r="H217" s="162" t="str">
        <f>IF(Checks!$D$27="1",#REF!,"")</f>
        <v/>
      </c>
      <c r="I217" s="162"/>
      <c r="J217" s="158">
        <f t="shared" ref="J217:J231" si="8">0.25/100*300</f>
        <v>0.75</v>
      </c>
      <c r="K217" s="159"/>
    </row>
    <row r="218" spans="1:11" ht="19.149999999999999" customHeight="1" x14ac:dyDescent="0.25">
      <c r="A218" s="51" t="s">
        <v>117</v>
      </c>
      <c r="B218" s="161"/>
      <c r="C218" s="161"/>
      <c r="D218" s="165"/>
      <c r="E218" s="166"/>
      <c r="F218" s="169"/>
      <c r="G218" s="169"/>
      <c r="H218" s="162" t="str">
        <f>IF(Checks!$D$27="1",#REF!,"")</f>
        <v/>
      </c>
      <c r="I218" s="162"/>
      <c r="J218" s="158">
        <f t="shared" si="8"/>
        <v>0.75</v>
      </c>
      <c r="K218" s="159"/>
    </row>
    <row r="219" spans="1:11" ht="19.149999999999999" customHeight="1" x14ac:dyDescent="0.25">
      <c r="A219" s="51" t="s">
        <v>118</v>
      </c>
      <c r="B219" s="161"/>
      <c r="C219" s="161"/>
      <c r="D219" s="167"/>
      <c r="E219" s="168"/>
      <c r="F219" s="169"/>
      <c r="G219" s="169"/>
      <c r="H219" s="162" t="str">
        <f>IF(Checks!$D$27="1",#REF!,"")</f>
        <v/>
      </c>
      <c r="I219" s="162"/>
      <c r="J219" s="158">
        <f t="shared" si="8"/>
        <v>0.75</v>
      </c>
      <c r="K219" s="159"/>
    </row>
    <row r="220" spans="1:11" ht="19.149999999999999" customHeight="1" x14ac:dyDescent="0.25">
      <c r="A220" s="51" t="s">
        <v>116</v>
      </c>
      <c r="B220" s="161">
        <v>60</v>
      </c>
      <c r="C220" s="161"/>
      <c r="D220" s="163" t="str">
        <f>IF(Checks!$D$27="1",#REF!,"")</f>
        <v/>
      </c>
      <c r="E220" s="164"/>
      <c r="F220" s="169">
        <f>0.01/100*B220</f>
        <v>6.0000000000000001E-3</v>
      </c>
      <c r="G220" s="169"/>
      <c r="H220" s="162" t="str">
        <f>IF(Checks!$D$27="1",#REF!,"")</f>
        <v/>
      </c>
      <c r="I220" s="162"/>
      <c r="J220" s="158">
        <f t="shared" si="8"/>
        <v>0.75</v>
      </c>
      <c r="K220" s="159"/>
    </row>
    <row r="221" spans="1:11" ht="19.149999999999999" customHeight="1" x14ac:dyDescent="0.25">
      <c r="A221" s="51" t="s">
        <v>117</v>
      </c>
      <c r="B221" s="161"/>
      <c r="C221" s="161"/>
      <c r="D221" s="165"/>
      <c r="E221" s="166"/>
      <c r="F221" s="169"/>
      <c r="G221" s="169"/>
      <c r="H221" s="162" t="str">
        <f>IF(Checks!$D$27="1",#REF!,"")</f>
        <v/>
      </c>
      <c r="I221" s="162"/>
      <c r="J221" s="158">
        <f t="shared" si="8"/>
        <v>0.75</v>
      </c>
      <c r="K221" s="159"/>
    </row>
    <row r="222" spans="1:11" ht="19.149999999999999" customHeight="1" x14ac:dyDescent="0.25">
      <c r="A222" s="51" t="s">
        <v>118</v>
      </c>
      <c r="B222" s="161"/>
      <c r="C222" s="161"/>
      <c r="D222" s="167"/>
      <c r="E222" s="168"/>
      <c r="F222" s="169"/>
      <c r="G222" s="169"/>
      <c r="H222" s="162" t="str">
        <f>IF(Checks!$D$27="1",#REF!,"")</f>
        <v/>
      </c>
      <c r="I222" s="162"/>
      <c r="J222" s="158">
        <f t="shared" si="8"/>
        <v>0.75</v>
      </c>
      <c r="K222" s="159"/>
    </row>
    <row r="223" spans="1:11" ht="19.149999999999999" customHeight="1" x14ac:dyDescent="0.25">
      <c r="A223" s="51" t="s">
        <v>116</v>
      </c>
      <c r="B223" s="161">
        <v>400</v>
      </c>
      <c r="C223" s="161"/>
      <c r="D223" s="163" t="str">
        <f>IF(Checks!$D$27="1",#REF!,"")</f>
        <v/>
      </c>
      <c r="E223" s="164"/>
      <c r="F223" s="169">
        <f>0.01/100*B223</f>
        <v>0.04</v>
      </c>
      <c r="G223" s="169"/>
      <c r="H223" s="162" t="str">
        <f>IF(Checks!$D$27="1",#REF!,"")</f>
        <v/>
      </c>
      <c r="I223" s="162"/>
      <c r="J223" s="158">
        <f t="shared" si="8"/>
        <v>0.75</v>
      </c>
      <c r="K223" s="159"/>
    </row>
    <row r="224" spans="1:11" ht="19.149999999999999" customHeight="1" x14ac:dyDescent="0.25">
      <c r="A224" s="51" t="s">
        <v>117</v>
      </c>
      <c r="B224" s="161"/>
      <c r="C224" s="161"/>
      <c r="D224" s="165"/>
      <c r="E224" s="166"/>
      <c r="F224" s="169"/>
      <c r="G224" s="169"/>
      <c r="H224" s="162" t="str">
        <f>IF(Checks!$D$27="1",#REF!,"")</f>
        <v/>
      </c>
      <c r="I224" s="162"/>
      <c r="J224" s="158">
        <f t="shared" si="8"/>
        <v>0.75</v>
      </c>
      <c r="K224" s="159"/>
    </row>
    <row r="225" spans="1:11" ht="19.149999999999999" customHeight="1" x14ac:dyDescent="0.25">
      <c r="A225" s="51" t="s">
        <v>118</v>
      </c>
      <c r="B225" s="161"/>
      <c r="C225" s="161"/>
      <c r="D225" s="167"/>
      <c r="E225" s="168"/>
      <c r="F225" s="169"/>
      <c r="G225" s="169"/>
      <c r="H225" s="162" t="str">
        <f>IF(Checks!$D$27="1",#REF!,"")</f>
        <v/>
      </c>
      <c r="I225" s="162"/>
      <c r="J225" s="158">
        <f t="shared" si="8"/>
        <v>0.75</v>
      </c>
      <c r="K225" s="159"/>
    </row>
    <row r="226" spans="1:11" ht="19.149999999999999" customHeight="1" x14ac:dyDescent="0.25">
      <c r="A226" s="51" t="s">
        <v>116</v>
      </c>
      <c r="B226" s="161">
        <v>1000</v>
      </c>
      <c r="C226" s="161"/>
      <c r="D226" s="163" t="str">
        <f>IF(Checks!$D$27="1",#REF!,"")</f>
        <v/>
      </c>
      <c r="E226" s="164"/>
      <c r="F226" s="169">
        <f>0.01/100*B226</f>
        <v>0.1</v>
      </c>
      <c r="G226" s="169"/>
      <c r="H226" s="162" t="str">
        <f>IF(Checks!$D$27="1",#REF!,"")</f>
        <v/>
      </c>
      <c r="I226" s="162"/>
      <c r="J226" s="158">
        <f t="shared" si="8"/>
        <v>0.75</v>
      </c>
      <c r="K226" s="159"/>
    </row>
    <row r="227" spans="1:11" ht="19.149999999999999" customHeight="1" x14ac:dyDescent="0.25">
      <c r="A227" s="51" t="s">
        <v>117</v>
      </c>
      <c r="B227" s="161"/>
      <c r="C227" s="161"/>
      <c r="D227" s="165"/>
      <c r="E227" s="166"/>
      <c r="F227" s="169"/>
      <c r="G227" s="169"/>
      <c r="H227" s="162" t="str">
        <f>IF(Checks!$D$27="1",#REF!,"")</f>
        <v/>
      </c>
      <c r="I227" s="162"/>
      <c r="J227" s="158">
        <f t="shared" si="8"/>
        <v>0.75</v>
      </c>
      <c r="K227" s="159"/>
    </row>
    <row r="228" spans="1:11" ht="19.149999999999999" customHeight="1" x14ac:dyDescent="0.25">
      <c r="A228" s="51" t="s">
        <v>118</v>
      </c>
      <c r="B228" s="161"/>
      <c r="C228" s="161"/>
      <c r="D228" s="167"/>
      <c r="E228" s="168"/>
      <c r="F228" s="169"/>
      <c r="G228" s="169"/>
      <c r="H228" s="162" t="str">
        <f>IF(Checks!$D$27="1",#REF!,"")</f>
        <v/>
      </c>
      <c r="I228" s="162"/>
      <c r="J228" s="158">
        <f t="shared" si="8"/>
        <v>0.75</v>
      </c>
      <c r="K228" s="159"/>
    </row>
    <row r="229" spans="1:11" ht="19.149999999999999" customHeight="1" x14ac:dyDescent="0.25">
      <c r="A229" s="51" t="s">
        <v>116</v>
      </c>
      <c r="B229" s="161">
        <v>1200</v>
      </c>
      <c r="C229" s="161"/>
      <c r="D229" s="163" t="str">
        <f>IF(Checks!$D$27="1",#REF!,"")</f>
        <v/>
      </c>
      <c r="E229" s="164"/>
      <c r="F229" s="169">
        <f>0.01/100*B229</f>
        <v>0.12000000000000001</v>
      </c>
      <c r="G229" s="169"/>
      <c r="H229" s="162" t="str">
        <f>IF(Checks!$D$27="1",#REF!,"")</f>
        <v/>
      </c>
      <c r="I229" s="162"/>
      <c r="J229" s="158">
        <f t="shared" si="8"/>
        <v>0.75</v>
      </c>
      <c r="K229" s="159"/>
    </row>
    <row r="230" spans="1:11" ht="19.149999999999999" customHeight="1" x14ac:dyDescent="0.25">
      <c r="A230" s="51" t="s">
        <v>117</v>
      </c>
      <c r="B230" s="161"/>
      <c r="C230" s="161"/>
      <c r="D230" s="165"/>
      <c r="E230" s="166"/>
      <c r="F230" s="169"/>
      <c r="G230" s="169"/>
      <c r="H230" s="162" t="str">
        <f>IF(Checks!$D$27="1",#REF!,"")</f>
        <v/>
      </c>
      <c r="I230" s="162"/>
      <c r="J230" s="158">
        <f t="shared" si="8"/>
        <v>0.75</v>
      </c>
      <c r="K230" s="159"/>
    </row>
    <row r="231" spans="1:11" ht="19.149999999999999" customHeight="1" x14ac:dyDescent="0.25">
      <c r="A231" s="51" t="s">
        <v>118</v>
      </c>
      <c r="B231" s="161"/>
      <c r="C231" s="161"/>
      <c r="D231" s="167"/>
      <c r="E231" s="168"/>
      <c r="F231" s="169"/>
      <c r="G231" s="169"/>
      <c r="H231" s="162" t="str">
        <f>IF(Checks!$D$27="1",#REF!,"")</f>
        <v/>
      </c>
      <c r="I231" s="162"/>
      <c r="J231" s="158">
        <f t="shared" si="8"/>
        <v>0.75</v>
      </c>
      <c r="K231" s="159"/>
    </row>
    <row r="232" spans="1:11" x14ac:dyDescent="0.25">
      <c r="A232" s="28"/>
      <c r="B232" s="28"/>
      <c r="C232" s="28"/>
      <c r="D232" s="28"/>
      <c r="E232" s="28"/>
      <c r="F232" s="28"/>
      <c r="G232" s="28"/>
      <c r="H232" s="28"/>
      <c r="I232" s="28"/>
      <c r="J232" s="28"/>
      <c r="K232" s="28"/>
    </row>
    <row r="233" spans="1:11" x14ac:dyDescent="0.25">
      <c r="A233" s="5" t="s">
        <v>124</v>
      </c>
      <c r="B233" s="5"/>
      <c r="C233" s="5"/>
      <c r="D233" s="5" t="s">
        <v>289</v>
      </c>
      <c r="E233" s="5"/>
      <c r="F233" s="28"/>
      <c r="G233" s="28"/>
      <c r="H233" s="28"/>
      <c r="I233" s="28"/>
      <c r="J233" s="28"/>
      <c r="K233" s="28"/>
    </row>
    <row r="234" spans="1:11" x14ac:dyDescent="0.25">
      <c r="A234" s="28"/>
      <c r="B234" s="28"/>
      <c r="C234" s="28"/>
      <c r="D234" s="28" t="s">
        <v>290</v>
      </c>
      <c r="E234" s="28"/>
      <c r="F234" s="28"/>
      <c r="G234" s="28"/>
      <c r="H234" s="28"/>
      <c r="I234" s="28"/>
      <c r="J234" s="28"/>
      <c r="K234" s="28"/>
    </row>
    <row r="235" spans="1:11" x14ac:dyDescent="0.25">
      <c r="A235" s="28"/>
      <c r="B235" s="28"/>
      <c r="C235" s="28"/>
      <c r="D235" s="28"/>
      <c r="E235" s="28"/>
      <c r="F235" s="28"/>
      <c r="G235" s="28"/>
      <c r="H235" s="28"/>
      <c r="I235" s="28"/>
      <c r="J235" s="28"/>
      <c r="K235" s="28"/>
    </row>
    <row r="236" spans="1:11" x14ac:dyDescent="0.25">
      <c r="A236" s="28"/>
      <c r="B236" s="28"/>
      <c r="C236" s="28"/>
      <c r="D236" s="28"/>
      <c r="E236" s="28"/>
      <c r="F236" s="28"/>
      <c r="G236" s="28"/>
      <c r="H236" s="28"/>
      <c r="I236" s="28"/>
      <c r="J236" s="28"/>
      <c r="K236" s="28"/>
    </row>
    <row r="237" spans="1:11" x14ac:dyDescent="0.25">
      <c r="A237" s="28"/>
      <c r="B237" s="28"/>
      <c r="C237" s="28"/>
      <c r="D237" s="28"/>
      <c r="E237" s="28"/>
      <c r="F237" s="28"/>
      <c r="G237" s="28"/>
      <c r="H237" s="28"/>
      <c r="I237" s="28"/>
      <c r="J237" s="28"/>
      <c r="K237" s="28"/>
    </row>
    <row r="238" spans="1:11" x14ac:dyDescent="0.25">
      <c r="A238" s="28"/>
      <c r="B238" s="28"/>
      <c r="C238" s="28"/>
      <c r="D238" s="28"/>
      <c r="E238" s="28"/>
      <c r="F238" s="28"/>
      <c r="G238" s="28"/>
      <c r="H238" s="28"/>
      <c r="I238" s="28"/>
      <c r="J238" s="28"/>
      <c r="K238" s="28"/>
    </row>
    <row r="239" spans="1:11" x14ac:dyDescent="0.25">
      <c r="A239" s="28"/>
      <c r="B239" s="28"/>
      <c r="C239" s="28"/>
      <c r="D239" s="28"/>
      <c r="E239" s="28"/>
      <c r="F239" s="28"/>
      <c r="G239" s="28"/>
      <c r="H239" s="28"/>
      <c r="I239" s="28"/>
      <c r="J239" s="28"/>
      <c r="K239" s="28"/>
    </row>
    <row r="240" spans="1:11" x14ac:dyDescent="0.25">
      <c r="A240" s="28"/>
      <c r="B240" s="28"/>
      <c r="C240" s="28"/>
      <c r="D240" s="28"/>
      <c r="E240" s="28"/>
      <c r="F240" s="28"/>
      <c r="G240" s="28"/>
      <c r="H240" s="28"/>
      <c r="I240" s="28"/>
      <c r="J240" s="28"/>
      <c r="K240" s="28"/>
    </row>
    <row r="241" spans="1:11" x14ac:dyDescent="0.25">
      <c r="A241" s="28"/>
      <c r="B241" s="28"/>
      <c r="C241" s="28"/>
      <c r="D241" s="28"/>
      <c r="E241" s="28"/>
      <c r="F241" s="28"/>
      <c r="G241" s="28"/>
      <c r="H241" s="28"/>
      <c r="I241" s="28"/>
      <c r="J241" s="28"/>
      <c r="K241" s="28"/>
    </row>
    <row r="242" spans="1:11" x14ac:dyDescent="0.25">
      <c r="A242" s="28"/>
      <c r="B242" s="28"/>
      <c r="C242" s="28"/>
      <c r="D242" s="28"/>
      <c r="E242" s="28"/>
      <c r="F242" s="28"/>
      <c r="G242" s="28"/>
      <c r="H242" s="28"/>
      <c r="I242" s="28"/>
      <c r="J242" s="28"/>
      <c r="K242" s="28"/>
    </row>
    <row r="243" spans="1:11" x14ac:dyDescent="0.25">
      <c r="A243" s="28"/>
      <c r="B243" s="28"/>
      <c r="C243" s="28"/>
      <c r="D243" s="28"/>
      <c r="E243" s="28"/>
      <c r="F243" s="28"/>
      <c r="G243" s="28"/>
      <c r="H243" s="28"/>
      <c r="I243" s="28"/>
      <c r="J243" s="28"/>
      <c r="K243" s="28"/>
    </row>
    <row r="244" spans="1:11" x14ac:dyDescent="0.25">
      <c r="A244" s="28"/>
      <c r="B244" s="28"/>
      <c r="C244" s="28"/>
      <c r="D244" s="28"/>
      <c r="E244" s="28"/>
      <c r="F244" s="28"/>
      <c r="G244" s="28"/>
      <c r="H244" s="28"/>
      <c r="I244" s="28"/>
      <c r="J244" s="28"/>
      <c r="K244" s="28"/>
    </row>
    <row r="245" spans="1:11" x14ac:dyDescent="0.25">
      <c r="A245" s="28"/>
      <c r="B245" s="28"/>
      <c r="C245" s="28"/>
      <c r="D245" s="28"/>
      <c r="E245" s="28"/>
      <c r="F245" s="28"/>
      <c r="G245" s="28"/>
      <c r="H245" s="28"/>
      <c r="I245" s="28"/>
      <c r="J245" s="28"/>
      <c r="K245" s="28"/>
    </row>
    <row r="246" spans="1:11" x14ac:dyDescent="0.25">
      <c r="A246" s="28"/>
      <c r="B246" s="28"/>
      <c r="C246" s="28"/>
      <c r="D246" s="28"/>
      <c r="E246" s="28"/>
      <c r="F246" s="28"/>
      <c r="G246" s="28"/>
      <c r="H246" s="28"/>
      <c r="I246" s="28"/>
      <c r="J246" s="28"/>
      <c r="K246" s="28"/>
    </row>
    <row r="247" spans="1:11" x14ac:dyDescent="0.25">
      <c r="A247" s="28"/>
      <c r="B247" s="28"/>
      <c r="C247" s="28"/>
      <c r="D247" s="28"/>
      <c r="E247" s="28"/>
      <c r="F247" s="28"/>
      <c r="G247" s="28"/>
      <c r="H247" s="28"/>
      <c r="I247" s="28"/>
      <c r="J247" s="28"/>
      <c r="K247" s="28"/>
    </row>
    <row r="248" spans="1:11" x14ac:dyDescent="0.25">
      <c r="A248" s="28"/>
      <c r="B248" s="28"/>
      <c r="C248" s="28"/>
      <c r="D248" s="28"/>
      <c r="E248" s="28"/>
      <c r="F248" s="28"/>
      <c r="G248" s="28"/>
      <c r="H248" s="28"/>
      <c r="I248" s="28"/>
      <c r="J248" s="28"/>
      <c r="K248" s="28"/>
    </row>
    <row r="249" spans="1:11" x14ac:dyDescent="0.25">
      <c r="A249" s="28"/>
      <c r="B249" s="28"/>
      <c r="C249" s="28"/>
      <c r="D249" s="28"/>
      <c r="E249" s="28"/>
      <c r="F249" s="28"/>
      <c r="G249" s="28"/>
      <c r="H249" s="28"/>
      <c r="I249" s="28"/>
      <c r="J249" s="28"/>
      <c r="K249" s="28"/>
    </row>
    <row r="250" spans="1:11" x14ac:dyDescent="0.25">
      <c r="A250" s="107" t="s">
        <v>0</v>
      </c>
      <c r="B250" s="108"/>
      <c r="C250" s="108"/>
      <c r="D250" s="108"/>
      <c r="E250" s="108"/>
      <c r="F250" s="108"/>
      <c r="G250" s="109"/>
      <c r="H250" s="28"/>
      <c r="I250" s="116" t="s">
        <v>1</v>
      </c>
      <c r="J250" s="148" t="str">
        <f>$J$6</f>
        <v>04567</v>
      </c>
      <c r="K250" s="119"/>
    </row>
    <row r="251" spans="1:11" x14ac:dyDescent="0.25">
      <c r="A251" s="110"/>
      <c r="B251" s="111"/>
      <c r="C251" s="111"/>
      <c r="D251" s="111"/>
      <c r="E251" s="111"/>
      <c r="F251" s="111"/>
      <c r="G251" s="112"/>
      <c r="H251" s="28"/>
      <c r="I251" s="117"/>
      <c r="J251" s="120"/>
      <c r="K251" s="121"/>
    </row>
    <row r="252" spans="1:11" x14ac:dyDescent="0.25">
      <c r="A252" s="110"/>
      <c r="B252" s="111"/>
      <c r="C252" s="111"/>
      <c r="D252" s="111"/>
      <c r="E252" s="111"/>
      <c r="F252" s="111"/>
      <c r="G252" s="112"/>
      <c r="H252" s="28"/>
      <c r="I252" s="122" t="s">
        <v>291</v>
      </c>
      <c r="J252" s="123"/>
      <c r="K252" s="124"/>
    </row>
    <row r="253" spans="1:11" x14ac:dyDescent="0.25">
      <c r="A253" s="113"/>
      <c r="B253" s="114"/>
      <c r="C253" s="114"/>
      <c r="D253" s="114"/>
      <c r="E253" s="114"/>
      <c r="F253" s="114"/>
      <c r="G253" s="115"/>
      <c r="H253" s="28"/>
      <c r="I253" s="125"/>
      <c r="J253" s="126"/>
      <c r="K253" s="127"/>
    </row>
    <row r="254" spans="1:11" x14ac:dyDescent="0.25">
      <c r="A254" s="28"/>
      <c r="B254" s="28"/>
      <c r="C254" s="28"/>
      <c r="D254" s="28"/>
      <c r="E254" s="28"/>
      <c r="F254" s="28"/>
      <c r="G254" s="28"/>
      <c r="H254" s="28"/>
      <c r="I254" s="28"/>
      <c r="J254" s="28"/>
      <c r="K254" s="28"/>
    </row>
    <row r="255" spans="1:11" ht="15.75" x14ac:dyDescent="0.25">
      <c r="A255" s="101" t="s">
        <v>292</v>
      </c>
      <c r="B255" s="101"/>
      <c r="C255" s="101"/>
      <c r="D255" s="101"/>
      <c r="E255" s="101"/>
      <c r="F255" s="101"/>
      <c r="G255" s="101"/>
      <c r="H255" s="101"/>
      <c r="I255" s="101"/>
      <c r="J255" s="101"/>
      <c r="K255" s="101"/>
    </row>
    <row r="256" spans="1:11" x14ac:dyDescent="0.25">
      <c r="A256" s="102" t="s">
        <v>115</v>
      </c>
      <c r="B256" s="102"/>
      <c r="C256" s="28"/>
      <c r="D256" s="28"/>
      <c r="E256" s="28"/>
      <c r="F256" s="28"/>
      <c r="G256" s="28"/>
      <c r="H256" s="28"/>
      <c r="I256" s="28"/>
      <c r="J256" s="28"/>
      <c r="K256" s="28"/>
    </row>
    <row r="257" spans="1:11" x14ac:dyDescent="0.25">
      <c r="A257" s="28"/>
      <c r="B257" s="28"/>
      <c r="C257" s="28"/>
      <c r="D257" s="28"/>
      <c r="E257" s="28"/>
      <c r="F257" s="28"/>
      <c r="G257" s="28"/>
      <c r="H257" s="28"/>
      <c r="I257" s="28"/>
      <c r="J257" s="28"/>
      <c r="K257" s="28"/>
    </row>
    <row r="258" spans="1:11" ht="15" customHeight="1" x14ac:dyDescent="0.25">
      <c r="A258" s="157" t="s">
        <v>293</v>
      </c>
      <c r="B258" s="157"/>
      <c r="C258" s="157"/>
      <c r="D258" s="157"/>
      <c r="E258" s="157"/>
      <c r="F258" s="157"/>
      <c r="G258" s="157"/>
      <c r="H258" s="157"/>
      <c r="I258" s="157"/>
      <c r="J258" s="157"/>
      <c r="K258" s="157"/>
    </row>
    <row r="259" spans="1:11" x14ac:dyDescent="0.25">
      <c r="A259" s="157"/>
      <c r="B259" s="157"/>
      <c r="C259" s="157"/>
      <c r="D259" s="157"/>
      <c r="E259" s="157"/>
      <c r="F259" s="157"/>
      <c r="G259" s="157"/>
      <c r="H259" s="157"/>
      <c r="I259" s="157"/>
      <c r="J259" s="157"/>
      <c r="K259" s="157"/>
    </row>
    <row r="260" spans="1:11" x14ac:dyDescent="0.25">
      <c r="A260" s="157"/>
      <c r="B260" s="157"/>
      <c r="C260" s="157"/>
      <c r="D260" s="157"/>
      <c r="E260" s="157"/>
      <c r="F260" s="157"/>
      <c r="G260" s="157"/>
      <c r="H260" s="157"/>
      <c r="I260" s="157"/>
      <c r="J260" s="157"/>
      <c r="K260" s="157"/>
    </row>
    <row r="261" spans="1:11" x14ac:dyDescent="0.25">
      <c r="A261" s="157"/>
      <c r="B261" s="157"/>
      <c r="C261" s="157"/>
      <c r="D261" s="157"/>
      <c r="E261" s="157"/>
      <c r="F261" s="157"/>
      <c r="G261" s="157"/>
      <c r="H261" s="157"/>
      <c r="I261" s="157"/>
      <c r="J261" s="157"/>
      <c r="K261" s="157"/>
    </row>
    <row r="262" spans="1:11" x14ac:dyDescent="0.25">
      <c r="A262" s="157"/>
      <c r="B262" s="157"/>
      <c r="C262" s="157"/>
      <c r="D262" s="157"/>
      <c r="E262" s="157"/>
      <c r="F262" s="157"/>
      <c r="G262" s="157"/>
      <c r="H262" s="157"/>
      <c r="I262" s="157"/>
      <c r="J262" s="157"/>
      <c r="K262" s="157"/>
    </row>
    <row r="263" spans="1:11" x14ac:dyDescent="0.25">
      <c r="A263" s="28"/>
      <c r="B263" s="28"/>
      <c r="C263" s="28"/>
      <c r="D263" s="28"/>
      <c r="E263" s="28"/>
      <c r="F263" s="28"/>
      <c r="G263" s="28"/>
      <c r="H263" s="28"/>
      <c r="I263" s="28"/>
      <c r="J263" s="28"/>
      <c r="K263" s="28"/>
    </row>
    <row r="264" spans="1:11" ht="27" customHeight="1" x14ac:dyDescent="0.25">
      <c r="A264" s="160" t="s">
        <v>12</v>
      </c>
      <c r="B264" s="160"/>
      <c r="C264" s="160" t="s">
        <v>152</v>
      </c>
      <c r="D264" s="160"/>
      <c r="E264" s="160"/>
      <c r="F264" s="160" t="s">
        <v>151</v>
      </c>
      <c r="G264" s="160"/>
      <c r="H264" s="160"/>
      <c r="I264" s="160" t="s">
        <v>150</v>
      </c>
      <c r="J264" s="160"/>
      <c r="K264" s="160"/>
    </row>
    <row r="265" spans="1:11" ht="19.149999999999999" customHeight="1" x14ac:dyDescent="0.25">
      <c r="A265" s="160"/>
      <c r="B265" s="160"/>
      <c r="C265" s="160" t="s">
        <v>153</v>
      </c>
      <c r="D265" s="160"/>
      <c r="E265" s="160"/>
      <c r="F265" s="160" t="s">
        <v>153</v>
      </c>
      <c r="G265" s="160"/>
      <c r="H265" s="160"/>
      <c r="I265" s="160" t="s">
        <v>154</v>
      </c>
      <c r="J265" s="160"/>
      <c r="K265" s="160"/>
    </row>
    <row r="266" spans="1:11" ht="19.149999999999999" customHeight="1" x14ac:dyDescent="0.25">
      <c r="A266" s="170" t="s">
        <v>116</v>
      </c>
      <c r="B266" s="170"/>
      <c r="C266" s="169" t="e">
        <f>VLOOKUP($D$28,AFX!A:AB,8,0)</f>
        <v>#N/A</v>
      </c>
      <c r="D266" s="169"/>
      <c r="E266" s="169"/>
      <c r="F266" s="170"/>
      <c r="G266" s="170"/>
      <c r="H266" s="170"/>
      <c r="I266" s="171" t="e">
        <f>0.5/100*VLOOKUP($D$28,AFX!A:AB,15,0)</f>
        <v>#N/A</v>
      </c>
      <c r="J266" s="172"/>
      <c r="K266" s="173"/>
    </row>
    <row r="267" spans="1:11" ht="19.149999999999999" customHeight="1" x14ac:dyDescent="0.25">
      <c r="A267" s="170" t="s">
        <v>117</v>
      </c>
      <c r="B267" s="170"/>
      <c r="C267" s="169" t="e">
        <f>VLOOKUP($D$28,AFX!A:AB,8,0)</f>
        <v>#N/A</v>
      </c>
      <c r="D267" s="169"/>
      <c r="E267" s="169"/>
      <c r="F267" s="170"/>
      <c r="G267" s="170"/>
      <c r="H267" s="170"/>
      <c r="I267" s="171" t="e">
        <f>0.5/100*VLOOKUP($D$28,AFX!A:AB,15,0)</f>
        <v>#N/A</v>
      </c>
      <c r="J267" s="172"/>
      <c r="K267" s="173"/>
    </row>
    <row r="268" spans="1:11" ht="19.149999999999999" customHeight="1" x14ac:dyDescent="0.25">
      <c r="A268" s="170" t="s">
        <v>118</v>
      </c>
      <c r="B268" s="170"/>
      <c r="C268" s="169" t="e">
        <f>VLOOKUP($D$28,AFX!A:AB,8,0)</f>
        <v>#N/A</v>
      </c>
      <c r="D268" s="169"/>
      <c r="E268" s="169"/>
      <c r="F268" s="170"/>
      <c r="G268" s="170"/>
      <c r="H268" s="170"/>
      <c r="I268" s="171" t="e">
        <f>0.5/100*VLOOKUP($D$28,AFX!A:AB,15,0)</f>
        <v>#N/A</v>
      </c>
      <c r="J268" s="172"/>
      <c r="K268" s="173"/>
    </row>
    <row r="269" spans="1:11" ht="19.149999999999999" customHeight="1" x14ac:dyDescent="0.25">
      <c r="A269" s="170" t="s">
        <v>116</v>
      </c>
      <c r="B269" s="170"/>
      <c r="C269" s="169" t="e">
        <f>VLOOKUP($D$28,AFX!A:AB,9,0)</f>
        <v>#N/A</v>
      </c>
      <c r="D269" s="169"/>
      <c r="E269" s="169"/>
      <c r="F269" s="170"/>
      <c r="G269" s="170"/>
      <c r="H269" s="170"/>
      <c r="I269" s="171" t="e">
        <f>0.5/100*VLOOKUP($D$28,AFX!A:AB,15,0)</f>
        <v>#N/A</v>
      </c>
      <c r="J269" s="172"/>
      <c r="K269" s="173"/>
    </row>
    <row r="270" spans="1:11" ht="19.149999999999999" customHeight="1" x14ac:dyDescent="0.25">
      <c r="A270" s="170" t="s">
        <v>117</v>
      </c>
      <c r="B270" s="170"/>
      <c r="C270" s="169" t="e">
        <f>VLOOKUP($D$28,AFX!A:AB,9,0)</f>
        <v>#N/A</v>
      </c>
      <c r="D270" s="169"/>
      <c r="E270" s="169"/>
      <c r="F270" s="170"/>
      <c r="G270" s="170"/>
      <c r="H270" s="170"/>
      <c r="I270" s="171" t="e">
        <f>0.5/100*VLOOKUP($D$28,AFX!A:AB,15,0)</f>
        <v>#N/A</v>
      </c>
      <c r="J270" s="172"/>
      <c r="K270" s="173"/>
    </row>
    <row r="271" spans="1:11" ht="19.149999999999999" customHeight="1" x14ac:dyDescent="0.25">
      <c r="A271" s="170" t="s">
        <v>118</v>
      </c>
      <c r="B271" s="170"/>
      <c r="C271" s="169" t="e">
        <f>VLOOKUP($D$28,AFX!A:AB,9,0)</f>
        <v>#N/A</v>
      </c>
      <c r="D271" s="169"/>
      <c r="E271" s="169"/>
      <c r="F271" s="170"/>
      <c r="G271" s="170"/>
      <c r="H271" s="170"/>
      <c r="I271" s="171" t="e">
        <f>0.5/100*VLOOKUP($D$28,AFX!A:AB,15,0)</f>
        <v>#N/A</v>
      </c>
      <c r="J271" s="172"/>
      <c r="K271" s="173"/>
    </row>
    <row r="272" spans="1:11" ht="19.149999999999999" customHeight="1" x14ac:dyDescent="0.25">
      <c r="A272" s="170" t="s">
        <v>116</v>
      </c>
      <c r="B272" s="170"/>
      <c r="C272" s="169" t="e">
        <f>VLOOKUP($D$28,AFX!A:AB,10,0)</f>
        <v>#N/A</v>
      </c>
      <c r="D272" s="169"/>
      <c r="E272" s="169"/>
      <c r="F272" s="170"/>
      <c r="G272" s="170"/>
      <c r="H272" s="170"/>
      <c r="I272" s="171" t="e">
        <f>0.5/100*VLOOKUP($D$28,AFX!A:AB,15,0)</f>
        <v>#N/A</v>
      </c>
      <c r="J272" s="172"/>
      <c r="K272" s="173"/>
    </row>
    <row r="273" spans="1:11" ht="19.149999999999999" customHeight="1" x14ac:dyDescent="0.25">
      <c r="A273" s="170" t="s">
        <v>117</v>
      </c>
      <c r="B273" s="170"/>
      <c r="C273" s="169" t="e">
        <f>VLOOKUP($D$28,AFX!A:AB,10,0)</f>
        <v>#N/A</v>
      </c>
      <c r="D273" s="169"/>
      <c r="E273" s="169"/>
      <c r="F273" s="170"/>
      <c r="G273" s="170"/>
      <c r="H273" s="170"/>
      <c r="I273" s="171" t="e">
        <f>0.5/100*VLOOKUP($D$28,AFX!A:AB,15,0)</f>
        <v>#N/A</v>
      </c>
      <c r="J273" s="172"/>
      <c r="K273" s="173"/>
    </row>
    <row r="274" spans="1:11" ht="19.149999999999999" customHeight="1" x14ac:dyDescent="0.25">
      <c r="A274" s="170" t="s">
        <v>118</v>
      </c>
      <c r="B274" s="170"/>
      <c r="C274" s="169" t="e">
        <f>VLOOKUP($D$28,AFX!A:AB,10,0)</f>
        <v>#N/A</v>
      </c>
      <c r="D274" s="169"/>
      <c r="E274" s="169"/>
      <c r="F274" s="170"/>
      <c r="G274" s="170"/>
      <c r="H274" s="170"/>
      <c r="I274" s="171" t="e">
        <f>0.5/100*VLOOKUP($D$28,AFX!A:AB,15,0)</f>
        <v>#N/A</v>
      </c>
      <c r="J274" s="172"/>
      <c r="K274" s="173"/>
    </row>
    <row r="275" spans="1:11" ht="19.149999999999999" customHeight="1" x14ac:dyDescent="0.25">
      <c r="A275" s="170" t="s">
        <v>116</v>
      </c>
      <c r="B275" s="170"/>
      <c r="C275" s="169" t="e">
        <f>VLOOKUP($D$28,AFX!A:AB,11,0)</f>
        <v>#N/A</v>
      </c>
      <c r="D275" s="169"/>
      <c r="E275" s="169"/>
      <c r="F275" s="170"/>
      <c r="G275" s="170"/>
      <c r="H275" s="170"/>
      <c r="I275" s="171" t="e">
        <f>0.5/100*VLOOKUP($D$28,AFX!A:AB,15,0)</f>
        <v>#N/A</v>
      </c>
      <c r="J275" s="172"/>
      <c r="K275" s="173"/>
    </row>
    <row r="276" spans="1:11" ht="19.149999999999999" customHeight="1" x14ac:dyDescent="0.25">
      <c r="A276" s="170" t="s">
        <v>117</v>
      </c>
      <c r="B276" s="170"/>
      <c r="C276" s="169" t="e">
        <f>VLOOKUP($D$28,AFX!A:AB,11,0)</f>
        <v>#N/A</v>
      </c>
      <c r="D276" s="169"/>
      <c r="E276" s="169"/>
      <c r="F276" s="170"/>
      <c r="G276" s="170"/>
      <c r="H276" s="170"/>
      <c r="I276" s="171" t="e">
        <f>0.5/100*VLOOKUP($D$28,AFX!A:AB,15,0)</f>
        <v>#N/A</v>
      </c>
      <c r="J276" s="172"/>
      <c r="K276" s="173"/>
    </row>
    <row r="277" spans="1:11" ht="19.149999999999999" customHeight="1" x14ac:dyDescent="0.25">
      <c r="A277" s="170" t="s">
        <v>118</v>
      </c>
      <c r="B277" s="170"/>
      <c r="C277" s="169" t="e">
        <f>VLOOKUP($D$28,AFX!A:AB,11,0)</f>
        <v>#N/A</v>
      </c>
      <c r="D277" s="169"/>
      <c r="E277" s="169"/>
      <c r="F277" s="170"/>
      <c r="G277" s="170"/>
      <c r="H277" s="170"/>
      <c r="I277" s="171" t="e">
        <f>0.5/100*VLOOKUP($D$28,AFX!A:AB,15,0)</f>
        <v>#N/A</v>
      </c>
      <c r="J277" s="172"/>
      <c r="K277" s="173"/>
    </row>
    <row r="278" spans="1:11" ht="19.149999999999999" customHeight="1" x14ac:dyDescent="0.25">
      <c r="A278" s="170" t="s">
        <v>116</v>
      </c>
      <c r="B278" s="170"/>
      <c r="C278" s="169" t="e">
        <f>VLOOKUP($D$28,AFX!A:AB,12,0)</f>
        <v>#N/A</v>
      </c>
      <c r="D278" s="169"/>
      <c r="E278" s="169"/>
      <c r="F278" s="170"/>
      <c r="G278" s="170"/>
      <c r="H278" s="170"/>
      <c r="I278" s="171" t="e">
        <f>0.5/100*VLOOKUP($D$28,AFX!A:AB,15,0)</f>
        <v>#N/A</v>
      </c>
      <c r="J278" s="172"/>
      <c r="K278" s="173"/>
    </row>
    <row r="279" spans="1:11" ht="19.149999999999999" customHeight="1" x14ac:dyDescent="0.25">
      <c r="A279" s="170" t="s">
        <v>117</v>
      </c>
      <c r="B279" s="170"/>
      <c r="C279" s="169" t="e">
        <f>VLOOKUP($D$28,AFX!A:AB,12,0)</f>
        <v>#N/A</v>
      </c>
      <c r="D279" s="169"/>
      <c r="E279" s="169"/>
      <c r="F279" s="170"/>
      <c r="G279" s="170"/>
      <c r="H279" s="170"/>
      <c r="I279" s="171" t="e">
        <f>0.5/100*VLOOKUP($D$28,AFX!A:AB,15,0)</f>
        <v>#N/A</v>
      </c>
      <c r="J279" s="172"/>
      <c r="K279" s="173"/>
    </row>
    <row r="280" spans="1:11" ht="19.149999999999999" customHeight="1" x14ac:dyDescent="0.25">
      <c r="A280" s="170" t="s">
        <v>118</v>
      </c>
      <c r="B280" s="170"/>
      <c r="C280" s="169" t="e">
        <f>VLOOKUP($D$28,AFX!A:AB,12,0)</f>
        <v>#N/A</v>
      </c>
      <c r="D280" s="169"/>
      <c r="E280" s="169"/>
      <c r="F280" s="170"/>
      <c r="G280" s="170"/>
      <c r="H280" s="170"/>
      <c r="I280" s="171" t="e">
        <f>0.5/100*VLOOKUP($D$28,AFX!A:AB,15,0)</f>
        <v>#N/A</v>
      </c>
      <c r="J280" s="172"/>
      <c r="K280" s="173"/>
    </row>
    <row r="281" spans="1:11" ht="19.149999999999999" customHeight="1" x14ac:dyDescent="0.25">
      <c r="A281" s="170" t="s">
        <v>116</v>
      </c>
      <c r="B281" s="170"/>
      <c r="C281" s="169" t="e">
        <f>VLOOKUP($D$28,AFX!A:AB,13,0)</f>
        <v>#N/A</v>
      </c>
      <c r="D281" s="169"/>
      <c r="E281" s="169"/>
      <c r="F281" s="170"/>
      <c r="G281" s="170"/>
      <c r="H281" s="170"/>
      <c r="I281" s="171" t="e">
        <f>0.5/100*VLOOKUP($D$28,AFX!A:AB,15,0)</f>
        <v>#N/A</v>
      </c>
      <c r="J281" s="172"/>
      <c r="K281" s="173"/>
    </row>
    <row r="282" spans="1:11" ht="19.149999999999999" customHeight="1" x14ac:dyDescent="0.25">
      <c r="A282" s="170" t="s">
        <v>117</v>
      </c>
      <c r="B282" s="170"/>
      <c r="C282" s="169" t="e">
        <f>VLOOKUP($D$28,AFX!A:AB,13,0)</f>
        <v>#N/A</v>
      </c>
      <c r="D282" s="169"/>
      <c r="E282" s="169"/>
      <c r="F282" s="170"/>
      <c r="G282" s="170"/>
      <c r="H282" s="170"/>
      <c r="I282" s="171" t="e">
        <f>0.5/100*VLOOKUP($D$28,AFX!A:AB,15,0)</f>
        <v>#N/A</v>
      </c>
      <c r="J282" s="172"/>
      <c r="K282" s="173"/>
    </row>
    <row r="283" spans="1:11" ht="19.149999999999999" customHeight="1" x14ac:dyDescent="0.25">
      <c r="A283" s="170" t="s">
        <v>118</v>
      </c>
      <c r="B283" s="170"/>
      <c r="C283" s="169" t="e">
        <f>VLOOKUP($D$28,AFX!A:AB,13,0)</f>
        <v>#N/A</v>
      </c>
      <c r="D283" s="169"/>
      <c r="E283" s="169"/>
      <c r="F283" s="170"/>
      <c r="G283" s="170"/>
      <c r="H283" s="170"/>
      <c r="I283" s="171" t="e">
        <f>0.5/100*VLOOKUP($D$28,AFX!A:AB,15,0)</f>
        <v>#N/A</v>
      </c>
      <c r="J283" s="172"/>
      <c r="K283" s="173"/>
    </row>
    <row r="284" spans="1:11" x14ac:dyDescent="0.25">
      <c r="A284" s="28"/>
      <c r="B284" s="28"/>
      <c r="C284" s="28"/>
      <c r="D284" s="28"/>
      <c r="E284" s="28"/>
      <c r="F284" s="28"/>
      <c r="G284" s="28"/>
      <c r="H284" s="28"/>
      <c r="I284" s="28"/>
      <c r="J284" s="28"/>
      <c r="K284" s="28"/>
    </row>
    <row r="285" spans="1:11" ht="15.75" x14ac:dyDescent="0.25">
      <c r="A285" s="101" t="s">
        <v>155</v>
      </c>
      <c r="B285" s="101"/>
      <c r="C285" s="101"/>
      <c r="D285" s="101"/>
      <c r="E285" s="101"/>
      <c r="F285" s="101"/>
      <c r="G285" s="101"/>
      <c r="H285" s="101"/>
      <c r="I285" s="101"/>
      <c r="J285" s="101"/>
      <c r="K285" s="101"/>
    </row>
    <row r="286" spans="1:11" x14ac:dyDescent="0.25">
      <c r="A286" s="28"/>
      <c r="B286" s="28"/>
      <c r="C286" s="28"/>
      <c r="D286" s="28"/>
      <c r="E286" s="28"/>
      <c r="F286" s="28"/>
      <c r="G286" s="28"/>
      <c r="H286" s="28"/>
      <c r="I286" s="28"/>
      <c r="J286" s="28"/>
      <c r="K286" s="28"/>
    </row>
    <row r="287" spans="1:11" ht="14.45" customHeight="1" x14ac:dyDescent="0.25">
      <c r="A287" s="160" t="s">
        <v>12</v>
      </c>
      <c r="B287" s="160"/>
      <c r="C287" s="160" t="s">
        <v>152</v>
      </c>
      <c r="D287" s="160"/>
      <c r="E287" s="160"/>
      <c r="F287" s="160" t="s">
        <v>151</v>
      </c>
      <c r="G287" s="160"/>
      <c r="H287" s="160"/>
      <c r="I287" s="160" t="s">
        <v>150</v>
      </c>
      <c r="J287" s="160"/>
      <c r="K287" s="160"/>
    </row>
    <row r="288" spans="1:11" x14ac:dyDescent="0.25">
      <c r="A288" s="160"/>
      <c r="B288" s="160"/>
      <c r="C288" s="160" t="s">
        <v>153</v>
      </c>
      <c r="D288" s="160"/>
      <c r="E288" s="160"/>
      <c r="F288" s="160" t="s">
        <v>153</v>
      </c>
      <c r="G288" s="160"/>
      <c r="H288" s="160"/>
      <c r="I288" s="160" t="s">
        <v>154</v>
      </c>
      <c r="J288" s="160"/>
      <c r="K288" s="160"/>
    </row>
    <row r="289" spans="1:11" x14ac:dyDescent="0.25">
      <c r="A289" s="170" t="s">
        <v>116</v>
      </c>
      <c r="B289" s="170"/>
      <c r="C289" s="169" t="e">
        <f>VLOOKUP($D$28,AFX!A:AB,16,0)</f>
        <v>#N/A</v>
      </c>
      <c r="D289" s="169"/>
      <c r="E289" s="169"/>
      <c r="F289" s="170"/>
      <c r="G289" s="170"/>
      <c r="H289" s="170"/>
      <c r="I289" s="171" t="e">
        <f>0.5/100*VLOOKUP($D$28,AFX!A:AB,16,0)</f>
        <v>#N/A</v>
      </c>
      <c r="J289" s="172"/>
      <c r="K289" s="173"/>
    </row>
    <row r="290" spans="1:11" x14ac:dyDescent="0.25">
      <c r="A290" s="28"/>
      <c r="B290" s="28"/>
      <c r="C290" s="28"/>
      <c r="D290" s="28"/>
      <c r="E290" s="28"/>
      <c r="F290" s="28"/>
      <c r="G290" s="28"/>
      <c r="H290" s="28"/>
      <c r="I290" s="28"/>
      <c r="J290" s="28"/>
      <c r="K290" s="28"/>
    </row>
    <row r="291" spans="1:11" ht="15.75" x14ac:dyDescent="0.25">
      <c r="A291" s="8" t="s">
        <v>124</v>
      </c>
      <c r="B291" s="28"/>
      <c r="C291" s="28" t="s">
        <v>294</v>
      </c>
      <c r="D291" s="28"/>
      <c r="E291" s="28"/>
      <c r="F291" s="28"/>
      <c r="G291" s="28"/>
      <c r="H291" s="28"/>
      <c r="I291" s="28"/>
      <c r="J291" s="28"/>
      <c r="K291" s="28"/>
    </row>
    <row r="292" spans="1:11" x14ac:dyDescent="0.25">
      <c r="A292" s="28"/>
      <c r="B292" s="28"/>
      <c r="C292" s="28"/>
      <c r="D292" s="28"/>
      <c r="E292" s="28" t="s">
        <v>295</v>
      </c>
      <c r="F292" s="28"/>
      <c r="G292" s="28"/>
      <c r="H292" s="28"/>
      <c r="I292" s="28"/>
      <c r="J292" s="28"/>
      <c r="K292" s="28"/>
    </row>
    <row r="293" spans="1:11" x14ac:dyDescent="0.25">
      <c r="A293" s="28"/>
      <c r="B293" s="28"/>
      <c r="C293" s="28"/>
      <c r="D293" s="28"/>
      <c r="E293" s="28"/>
      <c r="F293" s="28"/>
      <c r="G293" s="28"/>
      <c r="H293" s="28"/>
      <c r="I293" s="28"/>
      <c r="J293" s="28"/>
      <c r="K293" s="28"/>
    </row>
    <row r="294" spans="1:11" x14ac:dyDescent="0.25">
      <c r="A294" s="28"/>
      <c r="B294" s="28"/>
      <c r="C294" s="28"/>
      <c r="D294" s="28"/>
      <c r="E294" s="28"/>
      <c r="F294" s="28"/>
      <c r="G294" s="28"/>
      <c r="H294" s="28"/>
      <c r="I294" s="28"/>
      <c r="J294" s="28"/>
      <c r="K294" s="28"/>
    </row>
    <row r="295" spans="1:11" x14ac:dyDescent="0.25">
      <c r="A295" s="28"/>
      <c r="B295" s="28"/>
      <c r="C295" s="28"/>
      <c r="D295" s="28"/>
      <c r="E295" s="28"/>
      <c r="F295" s="28"/>
      <c r="G295" s="28"/>
      <c r="H295" s="28"/>
      <c r="I295" s="28"/>
      <c r="J295" s="28"/>
      <c r="K295" s="28"/>
    </row>
    <row r="296" spans="1:11" x14ac:dyDescent="0.25">
      <c r="A296" s="28"/>
      <c r="B296" s="28"/>
      <c r="C296" s="28"/>
      <c r="D296" s="28"/>
      <c r="E296" s="28"/>
      <c r="F296" s="28"/>
      <c r="G296" s="28"/>
      <c r="H296" s="28"/>
      <c r="I296" s="28"/>
      <c r="J296" s="28"/>
      <c r="K296" s="28"/>
    </row>
    <row r="297" spans="1:11" x14ac:dyDescent="0.25">
      <c r="A297" s="28"/>
      <c r="B297" s="28"/>
      <c r="C297" s="28"/>
      <c r="D297" s="28"/>
      <c r="E297" s="28"/>
      <c r="F297" s="28"/>
      <c r="G297" s="28"/>
      <c r="H297" s="28"/>
      <c r="I297" s="28"/>
      <c r="J297" s="28"/>
      <c r="K297" s="28"/>
    </row>
    <row r="298" spans="1:11" x14ac:dyDescent="0.25">
      <c r="A298" s="107" t="s">
        <v>0</v>
      </c>
      <c r="B298" s="108"/>
      <c r="C298" s="108"/>
      <c r="D298" s="108"/>
      <c r="E298" s="108"/>
      <c r="F298" s="108"/>
      <c r="G298" s="109"/>
      <c r="H298" s="28"/>
      <c r="I298" s="116" t="s">
        <v>1</v>
      </c>
      <c r="J298" s="148" t="str">
        <f>$J$6</f>
        <v>04567</v>
      </c>
      <c r="K298" s="119"/>
    </row>
    <row r="299" spans="1:11" x14ac:dyDescent="0.25">
      <c r="A299" s="110"/>
      <c r="B299" s="111"/>
      <c r="C299" s="111"/>
      <c r="D299" s="111"/>
      <c r="E299" s="111"/>
      <c r="F299" s="111"/>
      <c r="G299" s="112"/>
      <c r="H299" s="28"/>
      <c r="I299" s="117"/>
      <c r="J299" s="120"/>
      <c r="K299" s="121"/>
    </row>
    <row r="300" spans="1:11" x14ac:dyDescent="0.25">
      <c r="A300" s="110"/>
      <c r="B300" s="111"/>
      <c r="C300" s="111"/>
      <c r="D300" s="111"/>
      <c r="E300" s="111"/>
      <c r="F300" s="111"/>
      <c r="G300" s="112"/>
      <c r="H300" s="28"/>
      <c r="I300" s="122" t="s">
        <v>296</v>
      </c>
      <c r="J300" s="123"/>
      <c r="K300" s="124"/>
    </row>
    <row r="301" spans="1:11" x14ac:dyDescent="0.25">
      <c r="A301" s="113"/>
      <c r="B301" s="114"/>
      <c r="C301" s="114"/>
      <c r="D301" s="114"/>
      <c r="E301" s="114"/>
      <c r="F301" s="114"/>
      <c r="G301" s="115"/>
      <c r="H301" s="28"/>
      <c r="I301" s="125"/>
      <c r="J301" s="126"/>
      <c r="K301" s="127"/>
    </row>
    <row r="302" spans="1:11" x14ac:dyDescent="0.25">
      <c r="A302" s="28"/>
      <c r="B302" s="28"/>
      <c r="C302" s="28"/>
      <c r="D302" s="28"/>
      <c r="E302" s="28"/>
      <c r="F302" s="28"/>
      <c r="G302" s="28"/>
      <c r="H302" s="28"/>
      <c r="I302" s="28"/>
      <c r="J302" s="28"/>
      <c r="K302" s="28"/>
    </row>
    <row r="303" spans="1:11" ht="15.75" x14ac:dyDescent="0.25">
      <c r="A303" s="101" t="s">
        <v>297</v>
      </c>
      <c r="B303" s="101"/>
      <c r="C303" s="101"/>
      <c r="D303" s="101"/>
      <c r="E303" s="101"/>
      <c r="F303" s="101"/>
      <c r="G303" s="101"/>
      <c r="H303" s="101"/>
      <c r="I303" s="101"/>
      <c r="J303" s="101"/>
      <c r="K303" s="101"/>
    </row>
    <row r="304" spans="1:11" x14ac:dyDescent="0.25">
      <c r="A304" s="102" t="s">
        <v>115</v>
      </c>
      <c r="B304" s="102"/>
      <c r="C304" s="28"/>
      <c r="D304" s="28"/>
      <c r="E304" s="28"/>
      <c r="F304" s="28"/>
      <c r="G304" s="28"/>
      <c r="H304" s="28"/>
      <c r="I304" s="28"/>
      <c r="J304" s="28"/>
      <c r="K304" s="28"/>
    </row>
    <row r="305" spans="1:11" x14ac:dyDescent="0.25">
      <c r="A305" s="28"/>
      <c r="B305" s="28"/>
      <c r="C305" s="28"/>
      <c r="D305" s="28"/>
      <c r="E305" s="28"/>
      <c r="F305" s="28"/>
      <c r="G305" s="28"/>
      <c r="H305" s="28"/>
      <c r="I305" s="28"/>
      <c r="J305" s="28"/>
      <c r="K305" s="28"/>
    </row>
    <row r="306" spans="1:11" ht="15" customHeight="1" x14ac:dyDescent="0.25">
      <c r="A306" s="157" t="s">
        <v>298</v>
      </c>
      <c r="B306" s="157"/>
      <c r="C306" s="157"/>
      <c r="D306" s="157"/>
      <c r="E306" s="157"/>
      <c r="F306" s="157"/>
      <c r="G306" s="157"/>
      <c r="H306" s="157"/>
      <c r="I306" s="157"/>
      <c r="J306" s="157"/>
      <c r="K306" s="157"/>
    </row>
    <row r="307" spans="1:11" x14ac:dyDescent="0.25">
      <c r="A307" s="157"/>
      <c r="B307" s="157"/>
      <c r="C307" s="157"/>
      <c r="D307" s="157"/>
      <c r="E307" s="157"/>
      <c r="F307" s="157"/>
      <c r="G307" s="157"/>
      <c r="H307" s="157"/>
      <c r="I307" s="157"/>
      <c r="J307" s="157"/>
      <c r="K307" s="157"/>
    </row>
    <row r="308" spans="1:11" x14ac:dyDescent="0.25">
      <c r="A308" s="157"/>
      <c r="B308" s="157"/>
      <c r="C308" s="157"/>
      <c r="D308" s="157"/>
      <c r="E308" s="157"/>
      <c r="F308" s="157"/>
      <c r="G308" s="157"/>
      <c r="H308" s="157"/>
      <c r="I308" s="157"/>
      <c r="J308" s="157"/>
      <c r="K308" s="157"/>
    </row>
    <row r="309" spans="1:11" x14ac:dyDescent="0.25">
      <c r="A309" s="157" t="s">
        <v>299</v>
      </c>
      <c r="B309" s="157"/>
      <c r="C309" s="157"/>
      <c r="D309" s="157"/>
      <c r="E309" s="157"/>
      <c r="F309" s="157"/>
      <c r="G309" s="157"/>
      <c r="H309" s="157"/>
      <c r="I309" s="157"/>
      <c r="J309" s="157"/>
      <c r="K309" s="157"/>
    </row>
    <row r="310" spans="1:11" x14ac:dyDescent="0.25">
      <c r="A310" s="157"/>
      <c r="B310" s="157"/>
      <c r="C310" s="157"/>
      <c r="D310" s="157"/>
      <c r="E310" s="157"/>
      <c r="F310" s="157"/>
      <c r="G310" s="157"/>
      <c r="H310" s="157"/>
      <c r="I310" s="157"/>
      <c r="J310" s="157"/>
      <c r="K310" s="157"/>
    </row>
    <row r="311" spans="1:11" x14ac:dyDescent="0.25">
      <c r="A311" s="28"/>
      <c r="B311" s="28"/>
      <c r="C311" s="28"/>
      <c r="D311" s="28"/>
      <c r="E311" s="28"/>
      <c r="F311" s="28"/>
      <c r="G311" s="28"/>
      <c r="H311" s="28"/>
      <c r="I311" s="28"/>
      <c r="J311" s="28"/>
      <c r="K311" s="28"/>
    </row>
    <row r="312" spans="1:11" ht="27" customHeight="1" x14ac:dyDescent="0.25">
      <c r="A312" s="160" t="s">
        <v>12</v>
      </c>
      <c r="B312" s="160"/>
      <c r="C312" s="187" t="s">
        <v>222</v>
      </c>
      <c r="D312" s="189"/>
      <c r="E312" s="187" t="s">
        <v>300</v>
      </c>
      <c r="F312" s="189"/>
      <c r="G312" s="187" t="s">
        <v>142</v>
      </c>
      <c r="H312" s="189"/>
      <c r="I312" s="187" t="s">
        <v>239</v>
      </c>
      <c r="J312" s="188"/>
      <c r="K312" s="189"/>
    </row>
    <row r="313" spans="1:11" ht="19.149999999999999" customHeight="1" x14ac:dyDescent="0.25">
      <c r="A313" s="160"/>
      <c r="B313" s="160"/>
      <c r="C313" s="187" t="s">
        <v>18</v>
      </c>
      <c r="D313" s="189"/>
      <c r="E313" s="187" t="s">
        <v>153</v>
      </c>
      <c r="F313" s="189"/>
      <c r="G313" s="187" t="s">
        <v>18</v>
      </c>
      <c r="H313" s="189"/>
      <c r="I313" s="187" t="s">
        <v>19</v>
      </c>
      <c r="J313" s="188"/>
      <c r="K313" s="189"/>
    </row>
    <row r="314" spans="1:11" ht="19.149999999999999" customHeight="1" x14ac:dyDescent="0.25">
      <c r="A314" s="170" t="s">
        <v>116</v>
      </c>
      <c r="B314" s="170"/>
      <c r="C314" s="190">
        <v>115</v>
      </c>
      <c r="D314" s="191"/>
      <c r="E314" s="190">
        <v>0</v>
      </c>
      <c r="F314" s="191"/>
      <c r="G314" s="192"/>
      <c r="H314" s="193"/>
      <c r="I314" s="171" t="s">
        <v>301</v>
      </c>
      <c r="J314" s="172"/>
      <c r="K314" s="173"/>
    </row>
    <row r="315" spans="1:11" ht="19.149999999999999" customHeight="1" x14ac:dyDescent="0.25">
      <c r="A315" s="170" t="s">
        <v>117</v>
      </c>
      <c r="B315" s="170"/>
      <c r="C315" s="190">
        <v>115</v>
      </c>
      <c r="D315" s="191"/>
      <c r="E315" s="190">
        <v>0</v>
      </c>
      <c r="F315" s="191"/>
      <c r="G315" s="192"/>
      <c r="H315" s="193"/>
      <c r="I315" s="171" t="s">
        <v>301</v>
      </c>
      <c r="J315" s="172"/>
      <c r="K315" s="173"/>
    </row>
    <row r="316" spans="1:11" ht="18.75" customHeight="1" x14ac:dyDescent="0.25">
      <c r="A316" s="170" t="s">
        <v>118</v>
      </c>
      <c r="B316" s="170"/>
      <c r="C316" s="190">
        <v>115</v>
      </c>
      <c r="D316" s="191"/>
      <c r="E316" s="190">
        <v>0</v>
      </c>
      <c r="F316" s="191"/>
      <c r="G316" s="192"/>
      <c r="H316" s="193"/>
      <c r="I316" s="171" t="s">
        <v>301</v>
      </c>
      <c r="J316" s="172"/>
      <c r="K316" s="173"/>
    </row>
    <row r="317" spans="1:11" ht="19.149999999999999" customHeight="1" x14ac:dyDescent="0.25">
      <c r="A317" s="170" t="s">
        <v>116</v>
      </c>
      <c r="B317" s="170"/>
      <c r="C317" s="190">
        <v>115</v>
      </c>
      <c r="D317" s="191"/>
      <c r="E317" s="190" t="e">
        <f>VLOOKUP($D$28,AFX!A:AB,15,0)</f>
        <v>#N/A</v>
      </c>
      <c r="F317" s="191"/>
      <c r="G317" s="192"/>
      <c r="H317" s="193"/>
      <c r="I317" s="171" t="s">
        <v>302</v>
      </c>
      <c r="J317" s="172"/>
      <c r="K317" s="173"/>
    </row>
    <row r="318" spans="1:11" ht="19.149999999999999" customHeight="1" x14ac:dyDescent="0.25">
      <c r="A318" s="170" t="s">
        <v>117</v>
      </c>
      <c r="B318" s="170"/>
      <c r="C318" s="190">
        <v>115</v>
      </c>
      <c r="D318" s="191"/>
      <c r="E318" s="190" t="e">
        <f>VLOOKUP($D$28,AFX!A:AB,15,0)</f>
        <v>#N/A</v>
      </c>
      <c r="F318" s="191"/>
      <c r="G318" s="192"/>
      <c r="H318" s="193"/>
      <c r="I318" s="171" t="s">
        <v>302</v>
      </c>
      <c r="J318" s="172"/>
      <c r="K318" s="173"/>
    </row>
    <row r="319" spans="1:11" ht="18.75" customHeight="1" x14ac:dyDescent="0.25">
      <c r="A319" s="170" t="s">
        <v>118</v>
      </c>
      <c r="B319" s="170"/>
      <c r="C319" s="190">
        <v>115</v>
      </c>
      <c r="D319" s="191"/>
      <c r="E319" s="190" t="e">
        <f>VLOOKUP($D$28,AFX!A:AB,15,0)</f>
        <v>#N/A</v>
      </c>
      <c r="F319" s="191"/>
      <c r="G319" s="192"/>
      <c r="H319" s="193"/>
      <c r="I319" s="171" t="s">
        <v>302</v>
      </c>
      <c r="J319" s="172"/>
      <c r="K319" s="173"/>
    </row>
    <row r="320" spans="1:11" x14ac:dyDescent="0.25">
      <c r="A320" s="28"/>
      <c r="B320" s="28"/>
      <c r="C320" s="28"/>
      <c r="D320" s="28"/>
      <c r="E320" s="28"/>
      <c r="F320" s="28"/>
      <c r="G320" s="28"/>
      <c r="H320" s="28"/>
      <c r="I320" s="28"/>
      <c r="J320" s="28"/>
      <c r="K320" s="28"/>
    </row>
    <row r="321" spans="1:11" x14ac:dyDescent="0.25">
      <c r="A321" s="5" t="s">
        <v>124</v>
      </c>
      <c r="B321" s="5"/>
      <c r="C321" s="5"/>
      <c r="D321" s="5" t="s">
        <v>289</v>
      </c>
      <c r="E321" s="5"/>
      <c r="F321" s="28"/>
      <c r="G321" s="28"/>
      <c r="H321" s="28"/>
      <c r="I321" s="28"/>
      <c r="J321" s="28"/>
      <c r="K321" s="28"/>
    </row>
    <row r="322" spans="1:11" x14ac:dyDescent="0.25">
      <c r="A322" s="28"/>
      <c r="B322" s="28"/>
      <c r="C322" s="28"/>
      <c r="D322" s="28"/>
      <c r="E322" s="28"/>
      <c r="F322" s="28"/>
      <c r="G322" s="28"/>
      <c r="H322" s="28"/>
      <c r="I322" s="28"/>
      <c r="J322" s="28"/>
      <c r="K322" s="28"/>
    </row>
    <row r="323" spans="1:11" x14ac:dyDescent="0.25">
      <c r="A323" s="194" t="s">
        <v>303</v>
      </c>
      <c r="B323" s="194"/>
      <c r="C323" s="194"/>
      <c r="D323" s="194"/>
      <c r="E323" s="194"/>
      <c r="F323" s="194"/>
      <c r="G323" s="194"/>
      <c r="H323" s="194"/>
      <c r="I323" s="194"/>
      <c r="J323" s="194"/>
      <c r="K323" s="194"/>
    </row>
    <row r="324" spans="1:11" x14ac:dyDescent="0.25">
      <c r="A324" s="194"/>
      <c r="B324" s="194"/>
      <c r="C324" s="194"/>
      <c r="D324" s="194"/>
      <c r="E324" s="194"/>
      <c r="F324" s="194"/>
      <c r="G324" s="194"/>
      <c r="H324" s="194"/>
      <c r="I324" s="194"/>
      <c r="J324" s="194"/>
      <c r="K324" s="194"/>
    </row>
    <row r="325" spans="1:11" x14ac:dyDescent="0.25">
      <c r="A325" s="28"/>
      <c r="B325" s="28"/>
      <c r="C325" s="28"/>
      <c r="D325" s="28"/>
      <c r="E325" s="28"/>
      <c r="F325" s="28"/>
      <c r="G325" s="28"/>
      <c r="H325" s="28"/>
      <c r="I325" s="28"/>
      <c r="J325" s="28"/>
      <c r="K325" s="28"/>
    </row>
    <row r="326" spans="1:11" ht="15.75" x14ac:dyDescent="0.25">
      <c r="A326" s="101" t="s">
        <v>304</v>
      </c>
      <c r="B326" s="101"/>
      <c r="C326" s="101"/>
      <c r="D326" s="101"/>
      <c r="E326" s="101"/>
      <c r="F326" s="101"/>
      <c r="G326" s="101"/>
      <c r="H326" s="101"/>
      <c r="I326" s="101"/>
      <c r="J326" s="101"/>
      <c r="K326" s="101"/>
    </row>
    <row r="327" spans="1:11" x14ac:dyDescent="0.25">
      <c r="A327" s="102" t="s">
        <v>115</v>
      </c>
      <c r="B327" s="102"/>
      <c r="C327" s="28"/>
      <c r="D327" s="28"/>
      <c r="E327" s="28"/>
      <c r="F327" s="28"/>
      <c r="G327" s="28"/>
      <c r="H327" s="28"/>
      <c r="I327" s="28"/>
      <c r="J327" s="28"/>
      <c r="K327" s="28"/>
    </row>
    <row r="328" spans="1:11" x14ac:dyDescent="0.25">
      <c r="A328" s="28"/>
      <c r="B328" s="28"/>
      <c r="C328" s="28"/>
      <c r="D328" s="28"/>
      <c r="E328" s="28"/>
      <c r="F328" s="28"/>
      <c r="G328" s="28"/>
      <c r="H328" s="28"/>
      <c r="I328" s="28"/>
      <c r="J328" s="28"/>
      <c r="K328" s="28"/>
    </row>
    <row r="329" spans="1:11" ht="15" customHeight="1" x14ac:dyDescent="0.25">
      <c r="A329" s="157" t="s">
        <v>305</v>
      </c>
      <c r="B329" s="157"/>
      <c r="C329" s="157"/>
      <c r="D329" s="157"/>
      <c r="E329" s="157"/>
      <c r="F329" s="157"/>
      <c r="G329" s="157"/>
      <c r="H329" s="157"/>
      <c r="I329" s="157"/>
      <c r="J329" s="157"/>
      <c r="K329" s="157"/>
    </row>
    <row r="330" spans="1:11" x14ac:dyDescent="0.25">
      <c r="A330" s="157"/>
      <c r="B330" s="157"/>
      <c r="C330" s="157"/>
      <c r="D330" s="157"/>
      <c r="E330" s="157"/>
      <c r="F330" s="157"/>
      <c r="G330" s="157"/>
      <c r="H330" s="157"/>
      <c r="I330" s="157"/>
      <c r="J330" s="157"/>
      <c r="K330" s="157"/>
    </row>
    <row r="331" spans="1:11" x14ac:dyDescent="0.25">
      <c r="A331" s="157"/>
      <c r="B331" s="157"/>
      <c r="C331" s="157"/>
      <c r="D331" s="157"/>
      <c r="E331" s="157"/>
      <c r="F331" s="157"/>
      <c r="G331" s="157"/>
      <c r="H331" s="157"/>
      <c r="I331" s="157"/>
      <c r="J331" s="157"/>
      <c r="K331" s="157"/>
    </row>
    <row r="332" spans="1:11" x14ac:dyDescent="0.25">
      <c r="A332" s="157" t="s">
        <v>306</v>
      </c>
      <c r="B332" s="157"/>
      <c r="C332" s="157"/>
      <c r="D332" s="157"/>
      <c r="E332" s="157"/>
      <c r="F332" s="157"/>
      <c r="G332" s="157"/>
      <c r="H332" s="157"/>
      <c r="I332" s="157"/>
      <c r="J332" s="157"/>
      <c r="K332" s="157"/>
    </row>
    <row r="333" spans="1:11" x14ac:dyDescent="0.25">
      <c r="A333" s="157"/>
      <c r="B333" s="157"/>
      <c r="C333" s="157"/>
      <c r="D333" s="157"/>
      <c r="E333" s="157"/>
      <c r="F333" s="157"/>
      <c r="G333" s="157"/>
      <c r="H333" s="157"/>
      <c r="I333" s="157"/>
      <c r="J333" s="157"/>
      <c r="K333" s="157"/>
    </row>
    <row r="334" spans="1:11" x14ac:dyDescent="0.25">
      <c r="A334" s="28"/>
      <c r="B334" s="28"/>
      <c r="C334" s="28"/>
      <c r="D334" s="28"/>
      <c r="E334" s="28"/>
      <c r="F334" s="28"/>
      <c r="G334" s="28"/>
      <c r="H334" s="28"/>
      <c r="I334" s="28"/>
      <c r="J334" s="28"/>
      <c r="K334" s="28"/>
    </row>
    <row r="335" spans="1:11" ht="27" customHeight="1" x14ac:dyDescent="0.25">
      <c r="A335" s="160" t="s">
        <v>12</v>
      </c>
      <c r="B335" s="160"/>
      <c r="C335" s="187" t="s">
        <v>222</v>
      </c>
      <c r="D335" s="189"/>
      <c r="E335" s="187" t="s">
        <v>300</v>
      </c>
      <c r="F335" s="189"/>
      <c r="G335" s="187" t="s">
        <v>142</v>
      </c>
      <c r="H335" s="189"/>
      <c r="I335" s="187" t="s">
        <v>239</v>
      </c>
      <c r="J335" s="188"/>
      <c r="K335" s="189"/>
    </row>
    <row r="336" spans="1:11" ht="19.149999999999999" customHeight="1" x14ac:dyDescent="0.25">
      <c r="A336" s="160"/>
      <c r="B336" s="160"/>
      <c r="C336" s="187" t="s">
        <v>18</v>
      </c>
      <c r="D336" s="189"/>
      <c r="E336" s="187" t="s">
        <v>153</v>
      </c>
      <c r="F336" s="189"/>
      <c r="G336" s="187" t="s">
        <v>18</v>
      </c>
      <c r="H336" s="189"/>
      <c r="I336" s="187" t="s">
        <v>19</v>
      </c>
      <c r="J336" s="188"/>
      <c r="K336" s="189"/>
    </row>
    <row r="337" spans="1:11" ht="19.149999999999999" customHeight="1" x14ac:dyDescent="0.25">
      <c r="A337" s="170" t="s">
        <v>116</v>
      </c>
      <c r="B337" s="170"/>
      <c r="C337" s="190">
        <v>170</v>
      </c>
      <c r="D337" s="191"/>
      <c r="E337" s="190">
        <v>0</v>
      </c>
      <c r="F337" s="191"/>
      <c r="G337" s="192"/>
      <c r="H337" s="193"/>
      <c r="I337" s="171" t="s">
        <v>301</v>
      </c>
      <c r="J337" s="172"/>
      <c r="K337" s="173"/>
    </row>
    <row r="338" spans="1:11" ht="19.149999999999999" customHeight="1" x14ac:dyDescent="0.25">
      <c r="A338" s="170" t="s">
        <v>117</v>
      </c>
      <c r="B338" s="170"/>
      <c r="C338" s="190">
        <v>170</v>
      </c>
      <c r="D338" s="191"/>
      <c r="E338" s="190">
        <v>0</v>
      </c>
      <c r="F338" s="191"/>
      <c r="G338" s="192"/>
      <c r="H338" s="193"/>
      <c r="I338" s="171" t="s">
        <v>301</v>
      </c>
      <c r="J338" s="172"/>
      <c r="K338" s="173"/>
    </row>
    <row r="339" spans="1:11" ht="18.75" customHeight="1" x14ac:dyDescent="0.25">
      <c r="A339" s="170" t="s">
        <v>118</v>
      </c>
      <c r="B339" s="170"/>
      <c r="C339" s="190">
        <v>170</v>
      </c>
      <c r="D339" s="191"/>
      <c r="E339" s="190">
        <v>0</v>
      </c>
      <c r="F339" s="191"/>
      <c r="G339" s="192"/>
      <c r="H339" s="193"/>
      <c r="I339" s="171" t="s">
        <v>301</v>
      </c>
      <c r="J339" s="172"/>
      <c r="K339" s="173"/>
    </row>
    <row r="340" spans="1:11" ht="19.149999999999999" customHeight="1" x14ac:dyDescent="0.25">
      <c r="A340" s="170" t="s">
        <v>116</v>
      </c>
      <c r="B340" s="170"/>
      <c r="C340" s="190">
        <v>170</v>
      </c>
      <c r="D340" s="191"/>
      <c r="E340" s="190" t="e">
        <f>VLOOKUP($D$28,AFX!A:AB,17,0)</f>
        <v>#N/A</v>
      </c>
      <c r="F340" s="191"/>
      <c r="G340" s="192"/>
      <c r="H340" s="193"/>
      <c r="I340" s="171" t="s">
        <v>307</v>
      </c>
      <c r="J340" s="172"/>
      <c r="K340" s="173"/>
    </row>
    <row r="341" spans="1:11" ht="19.149999999999999" customHeight="1" x14ac:dyDescent="0.25">
      <c r="A341" s="170" t="s">
        <v>117</v>
      </c>
      <c r="B341" s="170"/>
      <c r="C341" s="190">
        <v>170</v>
      </c>
      <c r="D341" s="191"/>
      <c r="E341" s="190" t="e">
        <f>VLOOKUP($D$28,AFX!A:AB,17,0)</f>
        <v>#N/A</v>
      </c>
      <c r="F341" s="191"/>
      <c r="G341" s="192"/>
      <c r="H341" s="193"/>
      <c r="I341" s="171" t="s">
        <v>307</v>
      </c>
      <c r="J341" s="172"/>
      <c r="K341" s="173"/>
    </row>
    <row r="342" spans="1:11" ht="18.75" customHeight="1" x14ac:dyDescent="0.25">
      <c r="A342" s="170" t="s">
        <v>118</v>
      </c>
      <c r="B342" s="170"/>
      <c r="C342" s="190">
        <v>170</v>
      </c>
      <c r="D342" s="191"/>
      <c r="E342" s="190" t="e">
        <f>VLOOKUP($D$28,AFX!A:AB,17,0)</f>
        <v>#N/A</v>
      </c>
      <c r="F342" s="191"/>
      <c r="G342" s="192"/>
      <c r="H342" s="193"/>
      <c r="I342" s="171" t="s">
        <v>307</v>
      </c>
      <c r="J342" s="172"/>
      <c r="K342" s="173"/>
    </row>
    <row r="343" spans="1:11" x14ac:dyDescent="0.25">
      <c r="A343" s="28"/>
      <c r="B343" s="28"/>
      <c r="C343" s="28"/>
      <c r="D343" s="28"/>
      <c r="E343" s="28"/>
      <c r="F343" s="28"/>
      <c r="G343" s="28"/>
      <c r="H343" s="28"/>
      <c r="I343" s="28"/>
      <c r="J343" s="28"/>
      <c r="K343" s="28"/>
    </row>
    <row r="344" spans="1:11" x14ac:dyDescent="0.25">
      <c r="A344" s="5" t="s">
        <v>124</v>
      </c>
      <c r="B344" s="5"/>
      <c r="C344" s="5"/>
      <c r="D344" s="5" t="s">
        <v>308</v>
      </c>
      <c r="E344" s="5"/>
      <c r="F344" s="28"/>
      <c r="G344" s="28"/>
      <c r="H344" s="28"/>
      <c r="I344" s="28"/>
      <c r="J344" s="28"/>
      <c r="K344" s="28"/>
    </row>
    <row r="345" spans="1:11" x14ac:dyDescent="0.25">
      <c r="A345" s="28"/>
      <c r="B345" s="28"/>
      <c r="C345" s="28"/>
      <c r="D345" s="28"/>
      <c r="E345" s="28"/>
      <c r="F345" s="28"/>
      <c r="G345" s="28"/>
      <c r="H345" s="28"/>
      <c r="I345" s="28"/>
      <c r="J345" s="28"/>
      <c r="K345" s="28"/>
    </row>
    <row r="346" spans="1:11" x14ac:dyDescent="0.25">
      <c r="A346" s="28"/>
      <c r="B346" s="28"/>
      <c r="C346" s="28"/>
      <c r="D346" s="28"/>
      <c r="E346" s="28"/>
      <c r="F346" s="28"/>
      <c r="G346" s="28"/>
      <c r="H346" s="28"/>
      <c r="I346" s="28"/>
      <c r="J346" s="28"/>
      <c r="K346" s="28"/>
    </row>
    <row r="347" spans="1:11" ht="14.45" customHeight="1" x14ac:dyDescent="0.25">
      <c r="A347" s="107" t="s">
        <v>0</v>
      </c>
      <c r="B347" s="108"/>
      <c r="C347" s="108"/>
      <c r="D347" s="108"/>
      <c r="E347" s="108"/>
      <c r="F347" s="108"/>
      <c r="G347" s="109"/>
      <c r="H347" s="28"/>
      <c r="I347" s="116" t="s">
        <v>1</v>
      </c>
      <c r="J347" s="118" t="str">
        <f>$J$6</f>
        <v>04567</v>
      </c>
      <c r="K347" s="119"/>
    </row>
    <row r="348" spans="1:11" ht="14.45" customHeight="1" x14ac:dyDescent="0.25">
      <c r="A348" s="110"/>
      <c r="B348" s="111"/>
      <c r="C348" s="111"/>
      <c r="D348" s="111"/>
      <c r="E348" s="111"/>
      <c r="F348" s="111"/>
      <c r="G348" s="112"/>
      <c r="H348" s="28"/>
      <c r="I348" s="117"/>
      <c r="J348" s="120"/>
      <c r="K348" s="121"/>
    </row>
    <row r="349" spans="1:11" ht="14.45" customHeight="1" x14ac:dyDescent="0.25">
      <c r="A349" s="110"/>
      <c r="B349" s="111"/>
      <c r="C349" s="111"/>
      <c r="D349" s="111"/>
      <c r="E349" s="111"/>
      <c r="F349" s="111"/>
      <c r="G349" s="112"/>
      <c r="H349" s="28"/>
      <c r="I349" s="122" t="s">
        <v>309</v>
      </c>
      <c r="J349" s="123"/>
      <c r="K349" s="124"/>
    </row>
    <row r="350" spans="1:11" ht="14.45" customHeight="1" x14ac:dyDescent="0.25">
      <c r="A350" s="113"/>
      <c r="B350" s="114"/>
      <c r="C350" s="114"/>
      <c r="D350" s="114"/>
      <c r="E350" s="114"/>
      <c r="F350" s="114"/>
      <c r="G350" s="115"/>
      <c r="H350" s="28"/>
      <c r="I350" s="125"/>
      <c r="J350" s="126"/>
      <c r="K350" s="127"/>
    </row>
    <row r="351" spans="1:11" x14ac:dyDescent="0.25">
      <c r="A351" s="28"/>
      <c r="B351" s="28"/>
      <c r="C351" s="28"/>
      <c r="D351" s="28"/>
      <c r="E351" s="28"/>
      <c r="F351" s="28"/>
      <c r="G351" s="28"/>
      <c r="H351" s="28"/>
      <c r="I351" s="28"/>
      <c r="J351" s="28"/>
      <c r="K351" s="28"/>
    </row>
    <row r="352" spans="1:11" x14ac:dyDescent="0.25">
      <c r="A352" s="28"/>
      <c r="B352" s="28"/>
      <c r="C352" s="28"/>
      <c r="D352" s="28"/>
      <c r="E352" s="28"/>
      <c r="F352" s="28"/>
      <c r="G352" s="28"/>
      <c r="H352" s="28"/>
      <c r="I352" s="28"/>
      <c r="J352" s="28"/>
      <c r="K352" s="28"/>
    </row>
    <row r="353" spans="1:11" ht="15.75" x14ac:dyDescent="0.25">
      <c r="A353" s="101" t="s">
        <v>310</v>
      </c>
      <c r="B353" s="101"/>
      <c r="C353" s="101"/>
      <c r="D353" s="101"/>
      <c r="E353" s="101"/>
      <c r="F353" s="101"/>
      <c r="G353" s="101"/>
      <c r="H353" s="101"/>
      <c r="I353" s="101"/>
      <c r="J353" s="101"/>
      <c r="K353" s="101"/>
    </row>
    <row r="354" spans="1:11" x14ac:dyDescent="0.25">
      <c r="A354" s="102" t="s">
        <v>115</v>
      </c>
      <c r="B354" s="102"/>
      <c r="C354" s="28"/>
      <c r="D354" s="28"/>
      <c r="E354" s="28"/>
      <c r="F354" s="28"/>
      <c r="G354" s="28"/>
      <c r="H354" s="28"/>
      <c r="I354" s="28"/>
      <c r="J354" s="28"/>
      <c r="K354" s="28"/>
    </row>
    <row r="355" spans="1:11" ht="15" customHeight="1" x14ac:dyDescent="0.25">
      <c r="A355" s="103" t="s">
        <v>311</v>
      </c>
      <c r="B355" s="103"/>
      <c r="C355" s="103"/>
      <c r="D355" s="103"/>
      <c r="E355" s="103"/>
      <c r="F355" s="103"/>
      <c r="G355" s="103"/>
      <c r="H355" s="103"/>
      <c r="I355" s="103"/>
      <c r="J355" s="103"/>
      <c r="K355" s="103"/>
    </row>
    <row r="356" spans="1:11" x14ac:dyDescent="0.25">
      <c r="A356" s="103"/>
      <c r="B356" s="103"/>
      <c r="C356" s="103"/>
      <c r="D356" s="103"/>
      <c r="E356" s="103"/>
      <c r="F356" s="103"/>
      <c r="G356" s="103"/>
      <c r="H356" s="103"/>
      <c r="I356" s="103"/>
      <c r="J356" s="103"/>
      <c r="K356" s="103"/>
    </row>
    <row r="357" spans="1:11" x14ac:dyDescent="0.25">
      <c r="A357" s="103"/>
      <c r="B357" s="103"/>
      <c r="C357" s="103"/>
      <c r="D357" s="103"/>
      <c r="E357" s="103"/>
      <c r="F357" s="103"/>
      <c r="G357" s="103"/>
      <c r="H357" s="103"/>
      <c r="I357" s="103"/>
      <c r="J357" s="103"/>
      <c r="K357" s="103"/>
    </row>
    <row r="358" spans="1:11" x14ac:dyDescent="0.25">
      <c r="A358" s="103"/>
      <c r="B358" s="103"/>
      <c r="C358" s="103"/>
      <c r="D358" s="103"/>
      <c r="E358" s="103"/>
      <c r="F358" s="103"/>
      <c r="G358" s="103"/>
      <c r="H358" s="103"/>
      <c r="I358" s="103"/>
      <c r="J358" s="103"/>
      <c r="K358" s="103"/>
    </row>
    <row r="359" spans="1:11" x14ac:dyDescent="0.25">
      <c r="A359" s="103"/>
      <c r="B359" s="103"/>
      <c r="C359" s="103"/>
      <c r="D359" s="103"/>
      <c r="E359" s="103"/>
      <c r="F359" s="103"/>
      <c r="G359" s="103"/>
      <c r="H359" s="103"/>
      <c r="I359" s="103"/>
      <c r="J359" s="103"/>
      <c r="K359" s="103"/>
    </row>
    <row r="360" spans="1:11" x14ac:dyDescent="0.25">
      <c r="A360" s="105"/>
      <c r="B360" s="105"/>
      <c r="C360" s="105"/>
      <c r="D360" s="105"/>
      <c r="E360" s="105"/>
      <c r="F360" s="105"/>
      <c r="G360" s="105"/>
      <c r="H360" s="105"/>
      <c r="I360" s="105"/>
      <c r="J360" s="106"/>
      <c r="K360" s="106"/>
    </row>
    <row r="361" spans="1:11" ht="28.9" customHeight="1" x14ac:dyDescent="0.25">
      <c r="A361" s="53" t="s">
        <v>12</v>
      </c>
      <c r="B361" s="128" t="s">
        <v>13</v>
      </c>
      <c r="C361" s="129"/>
      <c r="D361" s="128" t="s">
        <v>14</v>
      </c>
      <c r="E361" s="129"/>
      <c r="F361" s="128" t="s">
        <v>15</v>
      </c>
      <c r="G361" s="129"/>
      <c r="H361" s="128" t="s">
        <v>16</v>
      </c>
      <c r="I361" s="129"/>
      <c r="J361" s="130" t="s">
        <v>17</v>
      </c>
      <c r="K361" s="130"/>
    </row>
    <row r="362" spans="1:11" ht="18.600000000000001" customHeight="1" x14ac:dyDescent="0.25">
      <c r="A362" s="53"/>
      <c r="B362" s="128" t="s">
        <v>18</v>
      </c>
      <c r="C362" s="129"/>
      <c r="D362" s="131" t="s">
        <v>18</v>
      </c>
      <c r="E362" s="132"/>
      <c r="F362" s="131" t="s">
        <v>19</v>
      </c>
      <c r="G362" s="132"/>
      <c r="H362" s="131" t="s">
        <v>18</v>
      </c>
      <c r="I362" s="132"/>
      <c r="J362" s="130" t="s">
        <v>19</v>
      </c>
      <c r="K362" s="130"/>
    </row>
    <row r="363" spans="1:11" ht="18.600000000000001" customHeight="1" x14ac:dyDescent="0.25">
      <c r="A363" s="38" t="s">
        <v>116</v>
      </c>
      <c r="B363" s="155">
        <v>25</v>
      </c>
      <c r="C363" s="156"/>
      <c r="D363" s="135" t="e">
        <f>#REF!</f>
        <v>#REF!</v>
      </c>
      <c r="E363" s="135"/>
      <c r="F363" s="158">
        <f>0.25/100*440</f>
        <v>1.1000000000000001</v>
      </c>
      <c r="G363" s="159"/>
      <c r="H363" s="186" t="e">
        <f>#REF!</f>
        <v>#REF!</v>
      </c>
      <c r="I363" s="186"/>
      <c r="J363" s="158">
        <f>0.25/100*425</f>
        <v>1.0625</v>
      </c>
      <c r="K363" s="159"/>
    </row>
    <row r="364" spans="1:11" ht="18.600000000000001" customHeight="1" x14ac:dyDescent="0.25">
      <c r="A364" s="38" t="s">
        <v>117</v>
      </c>
      <c r="B364" s="155">
        <v>25</v>
      </c>
      <c r="C364" s="156"/>
      <c r="D364" s="135" t="e">
        <f>#REF!</f>
        <v>#REF!</v>
      </c>
      <c r="E364" s="135"/>
      <c r="F364" s="158">
        <f>0.25/100*440</f>
        <v>1.1000000000000001</v>
      </c>
      <c r="G364" s="159"/>
      <c r="H364" s="186" t="e">
        <f>#REF!</f>
        <v>#REF!</v>
      </c>
      <c r="I364" s="186"/>
      <c r="J364" s="158">
        <f t="shared" ref="J364:J386" si="9">0.25/100*425</f>
        <v>1.0625</v>
      </c>
      <c r="K364" s="159"/>
    </row>
    <row r="365" spans="1:11" ht="18.600000000000001" customHeight="1" x14ac:dyDescent="0.25">
      <c r="A365" s="38" t="s">
        <v>118</v>
      </c>
      <c r="B365" s="155">
        <v>25</v>
      </c>
      <c r="C365" s="156"/>
      <c r="D365" s="135" t="e">
        <f>#REF!</f>
        <v>#REF!</v>
      </c>
      <c r="E365" s="135"/>
      <c r="F365" s="158">
        <f>0.25/100*440</f>
        <v>1.1000000000000001</v>
      </c>
      <c r="G365" s="159"/>
      <c r="H365" s="186" t="e">
        <f>#REF!</f>
        <v>#REF!</v>
      </c>
      <c r="I365" s="186"/>
      <c r="J365" s="158">
        <f t="shared" si="9"/>
        <v>1.0625</v>
      </c>
      <c r="K365" s="159"/>
    </row>
    <row r="366" spans="1:11" ht="18.600000000000001" customHeight="1" x14ac:dyDescent="0.25">
      <c r="A366" s="38" t="s">
        <v>116</v>
      </c>
      <c r="B366" s="155">
        <v>50</v>
      </c>
      <c r="C366" s="156"/>
      <c r="D366" s="135" t="e">
        <f>#REF!</f>
        <v>#REF!</v>
      </c>
      <c r="E366" s="135"/>
      <c r="F366" s="158">
        <f>0.25/100*440</f>
        <v>1.1000000000000001</v>
      </c>
      <c r="G366" s="159"/>
      <c r="H366" s="186" t="e">
        <f>#REF!</f>
        <v>#REF!</v>
      </c>
      <c r="I366" s="186"/>
      <c r="J366" s="158">
        <f t="shared" si="9"/>
        <v>1.0625</v>
      </c>
      <c r="K366" s="159"/>
    </row>
    <row r="367" spans="1:11" ht="18.600000000000001" customHeight="1" x14ac:dyDescent="0.25">
      <c r="A367" s="38" t="s">
        <v>117</v>
      </c>
      <c r="B367" s="155">
        <v>50</v>
      </c>
      <c r="C367" s="156"/>
      <c r="D367" s="135" t="e">
        <f>#REF!</f>
        <v>#REF!</v>
      </c>
      <c r="E367" s="135"/>
      <c r="F367" s="158">
        <f t="shared" ref="F367:F386" si="10">0.25/100*440</f>
        <v>1.1000000000000001</v>
      </c>
      <c r="G367" s="159"/>
      <c r="H367" s="186" t="e">
        <f>#REF!</f>
        <v>#REF!</v>
      </c>
      <c r="I367" s="186"/>
      <c r="J367" s="158">
        <f t="shared" si="9"/>
        <v>1.0625</v>
      </c>
      <c r="K367" s="159"/>
    </row>
    <row r="368" spans="1:11" ht="18.600000000000001" customHeight="1" x14ac:dyDescent="0.25">
      <c r="A368" s="38" t="s">
        <v>118</v>
      </c>
      <c r="B368" s="155">
        <v>50</v>
      </c>
      <c r="C368" s="156"/>
      <c r="D368" s="135" t="e">
        <f>#REF!</f>
        <v>#REF!</v>
      </c>
      <c r="E368" s="135"/>
      <c r="F368" s="158">
        <f t="shared" si="10"/>
        <v>1.1000000000000001</v>
      </c>
      <c r="G368" s="159"/>
      <c r="H368" s="186" t="e">
        <f>#REF!</f>
        <v>#REF!</v>
      </c>
      <c r="I368" s="186"/>
      <c r="J368" s="158">
        <f t="shared" si="9"/>
        <v>1.0625</v>
      </c>
      <c r="K368" s="159"/>
    </row>
    <row r="369" spans="1:11" ht="18.600000000000001" customHeight="1" x14ac:dyDescent="0.25">
      <c r="A369" s="38" t="s">
        <v>116</v>
      </c>
      <c r="B369" s="155">
        <v>75</v>
      </c>
      <c r="C369" s="156"/>
      <c r="D369" s="135" t="e">
        <f>#REF!</f>
        <v>#REF!</v>
      </c>
      <c r="E369" s="135"/>
      <c r="F369" s="158">
        <f t="shared" si="10"/>
        <v>1.1000000000000001</v>
      </c>
      <c r="G369" s="159"/>
      <c r="H369" s="186" t="e">
        <f>#REF!</f>
        <v>#REF!</v>
      </c>
      <c r="I369" s="186"/>
      <c r="J369" s="158">
        <f t="shared" si="9"/>
        <v>1.0625</v>
      </c>
      <c r="K369" s="159"/>
    </row>
    <row r="370" spans="1:11" ht="18.600000000000001" customHeight="1" x14ac:dyDescent="0.25">
      <c r="A370" s="38" t="s">
        <v>117</v>
      </c>
      <c r="B370" s="155">
        <v>75</v>
      </c>
      <c r="C370" s="156"/>
      <c r="D370" s="135" t="e">
        <f>#REF!</f>
        <v>#REF!</v>
      </c>
      <c r="E370" s="135"/>
      <c r="F370" s="158">
        <f t="shared" si="10"/>
        <v>1.1000000000000001</v>
      </c>
      <c r="G370" s="159"/>
      <c r="H370" s="186" t="e">
        <f>#REF!</f>
        <v>#REF!</v>
      </c>
      <c r="I370" s="186"/>
      <c r="J370" s="158">
        <f t="shared" si="9"/>
        <v>1.0625</v>
      </c>
      <c r="K370" s="159"/>
    </row>
    <row r="371" spans="1:11" ht="18.600000000000001" customHeight="1" x14ac:dyDescent="0.25">
      <c r="A371" s="38" t="s">
        <v>118</v>
      </c>
      <c r="B371" s="155">
        <v>75</v>
      </c>
      <c r="C371" s="156"/>
      <c r="D371" s="135" t="e">
        <f>#REF!</f>
        <v>#REF!</v>
      </c>
      <c r="E371" s="135"/>
      <c r="F371" s="158">
        <f t="shared" si="10"/>
        <v>1.1000000000000001</v>
      </c>
      <c r="G371" s="159"/>
      <c r="H371" s="186" t="e">
        <f>#REF!</f>
        <v>#REF!</v>
      </c>
      <c r="I371" s="186"/>
      <c r="J371" s="158">
        <f t="shared" si="9"/>
        <v>1.0625</v>
      </c>
      <c r="K371" s="159"/>
    </row>
    <row r="372" spans="1:11" ht="18.600000000000001" customHeight="1" x14ac:dyDescent="0.25">
      <c r="A372" s="38" t="s">
        <v>116</v>
      </c>
      <c r="B372" s="155">
        <v>100</v>
      </c>
      <c r="C372" s="156"/>
      <c r="D372" s="135" t="e">
        <f>#REF!</f>
        <v>#REF!</v>
      </c>
      <c r="E372" s="135"/>
      <c r="F372" s="158">
        <f t="shared" si="10"/>
        <v>1.1000000000000001</v>
      </c>
      <c r="G372" s="159"/>
      <c r="H372" s="186" t="e">
        <f>#REF!</f>
        <v>#REF!</v>
      </c>
      <c r="I372" s="186"/>
      <c r="J372" s="158">
        <f t="shared" si="9"/>
        <v>1.0625</v>
      </c>
      <c r="K372" s="159"/>
    </row>
    <row r="373" spans="1:11" ht="18.600000000000001" customHeight="1" x14ac:dyDescent="0.25">
      <c r="A373" s="38" t="s">
        <v>117</v>
      </c>
      <c r="B373" s="155">
        <v>100</v>
      </c>
      <c r="C373" s="156"/>
      <c r="D373" s="135" t="e">
        <f>#REF!</f>
        <v>#REF!</v>
      </c>
      <c r="E373" s="135"/>
      <c r="F373" s="158">
        <f t="shared" si="10"/>
        <v>1.1000000000000001</v>
      </c>
      <c r="G373" s="159"/>
      <c r="H373" s="186" t="e">
        <f>#REF!</f>
        <v>#REF!</v>
      </c>
      <c r="I373" s="186"/>
      <c r="J373" s="158">
        <f t="shared" si="9"/>
        <v>1.0625</v>
      </c>
      <c r="K373" s="159"/>
    </row>
    <row r="374" spans="1:11" ht="18.600000000000001" customHeight="1" x14ac:dyDescent="0.25">
      <c r="A374" s="38" t="s">
        <v>118</v>
      </c>
      <c r="B374" s="155">
        <v>100</v>
      </c>
      <c r="C374" s="156"/>
      <c r="D374" s="135" t="e">
        <f>#REF!</f>
        <v>#REF!</v>
      </c>
      <c r="E374" s="135"/>
      <c r="F374" s="158">
        <f t="shared" si="10"/>
        <v>1.1000000000000001</v>
      </c>
      <c r="G374" s="159"/>
      <c r="H374" s="186" t="e">
        <f>#REF!</f>
        <v>#REF!</v>
      </c>
      <c r="I374" s="186"/>
      <c r="J374" s="158">
        <f t="shared" si="9"/>
        <v>1.0625</v>
      </c>
      <c r="K374" s="159"/>
    </row>
    <row r="375" spans="1:11" ht="18.600000000000001" customHeight="1" x14ac:dyDescent="0.25">
      <c r="A375" s="38" t="s">
        <v>116</v>
      </c>
      <c r="B375" s="155">
        <v>120</v>
      </c>
      <c r="C375" s="156"/>
      <c r="D375" s="135" t="e">
        <f>#REF!</f>
        <v>#REF!</v>
      </c>
      <c r="E375" s="135"/>
      <c r="F375" s="158">
        <f t="shared" si="10"/>
        <v>1.1000000000000001</v>
      </c>
      <c r="G375" s="159"/>
      <c r="H375" s="186" t="e">
        <f>#REF!</f>
        <v>#REF!</v>
      </c>
      <c r="I375" s="186"/>
      <c r="J375" s="158">
        <f t="shared" si="9"/>
        <v>1.0625</v>
      </c>
      <c r="K375" s="159"/>
    </row>
    <row r="376" spans="1:11" ht="18.600000000000001" customHeight="1" x14ac:dyDescent="0.25">
      <c r="A376" s="38" t="s">
        <v>117</v>
      </c>
      <c r="B376" s="155">
        <v>120</v>
      </c>
      <c r="C376" s="156"/>
      <c r="D376" s="135" t="e">
        <f>#REF!</f>
        <v>#REF!</v>
      </c>
      <c r="E376" s="135"/>
      <c r="F376" s="158">
        <f t="shared" si="10"/>
        <v>1.1000000000000001</v>
      </c>
      <c r="G376" s="159"/>
      <c r="H376" s="186" t="e">
        <f>#REF!</f>
        <v>#REF!</v>
      </c>
      <c r="I376" s="186"/>
      <c r="J376" s="158">
        <f t="shared" si="9"/>
        <v>1.0625</v>
      </c>
      <c r="K376" s="159"/>
    </row>
    <row r="377" spans="1:11" ht="18.600000000000001" customHeight="1" x14ac:dyDescent="0.25">
      <c r="A377" s="38" t="s">
        <v>118</v>
      </c>
      <c r="B377" s="155">
        <v>120</v>
      </c>
      <c r="C377" s="156"/>
      <c r="D377" s="135" t="e">
        <f>#REF!</f>
        <v>#REF!</v>
      </c>
      <c r="E377" s="135"/>
      <c r="F377" s="158">
        <f t="shared" si="10"/>
        <v>1.1000000000000001</v>
      </c>
      <c r="G377" s="159"/>
      <c r="H377" s="186" t="e">
        <f>#REF!</f>
        <v>#REF!</v>
      </c>
      <c r="I377" s="186"/>
      <c r="J377" s="158">
        <f t="shared" si="9"/>
        <v>1.0625</v>
      </c>
      <c r="K377" s="159"/>
    </row>
    <row r="378" spans="1:11" ht="18.600000000000001" customHeight="1" x14ac:dyDescent="0.25">
      <c r="A378" s="38" t="s">
        <v>116</v>
      </c>
      <c r="B378" s="155">
        <v>150</v>
      </c>
      <c r="C378" s="156"/>
      <c r="D378" s="135" t="e">
        <f>#REF!</f>
        <v>#REF!</v>
      </c>
      <c r="E378" s="135"/>
      <c r="F378" s="158">
        <f t="shared" si="10"/>
        <v>1.1000000000000001</v>
      </c>
      <c r="G378" s="159"/>
      <c r="H378" s="186" t="e">
        <f>#REF!</f>
        <v>#REF!</v>
      </c>
      <c r="I378" s="186"/>
      <c r="J378" s="158">
        <f t="shared" si="9"/>
        <v>1.0625</v>
      </c>
      <c r="K378" s="159"/>
    </row>
    <row r="379" spans="1:11" ht="18.600000000000001" customHeight="1" x14ac:dyDescent="0.25">
      <c r="A379" s="38" t="s">
        <v>117</v>
      </c>
      <c r="B379" s="155">
        <v>150</v>
      </c>
      <c r="C379" s="156"/>
      <c r="D379" s="135" t="e">
        <f>#REF!</f>
        <v>#REF!</v>
      </c>
      <c r="E379" s="135"/>
      <c r="F379" s="158">
        <f t="shared" si="10"/>
        <v>1.1000000000000001</v>
      </c>
      <c r="G379" s="159"/>
      <c r="H379" s="186" t="e">
        <f>#REF!</f>
        <v>#REF!</v>
      </c>
      <c r="I379" s="186"/>
      <c r="J379" s="158">
        <f t="shared" si="9"/>
        <v>1.0625</v>
      </c>
      <c r="K379" s="159"/>
    </row>
    <row r="380" spans="1:11" ht="18.600000000000001" customHeight="1" x14ac:dyDescent="0.25">
      <c r="A380" s="38" t="s">
        <v>118</v>
      </c>
      <c r="B380" s="155">
        <v>150</v>
      </c>
      <c r="C380" s="156"/>
      <c r="D380" s="135" t="e">
        <f>#REF!</f>
        <v>#REF!</v>
      </c>
      <c r="E380" s="135"/>
      <c r="F380" s="158">
        <f t="shared" si="10"/>
        <v>1.1000000000000001</v>
      </c>
      <c r="G380" s="159"/>
      <c r="H380" s="186" t="e">
        <f>#REF!</f>
        <v>#REF!</v>
      </c>
      <c r="I380" s="186"/>
      <c r="J380" s="158">
        <f t="shared" si="9"/>
        <v>1.0625</v>
      </c>
      <c r="K380" s="159"/>
    </row>
    <row r="381" spans="1:11" ht="18.600000000000001" customHeight="1" x14ac:dyDescent="0.25">
      <c r="A381" s="38" t="s">
        <v>116</v>
      </c>
      <c r="B381" s="155">
        <v>200</v>
      </c>
      <c r="C381" s="156"/>
      <c r="D381" s="135" t="e">
        <f>#REF!</f>
        <v>#REF!</v>
      </c>
      <c r="E381" s="135"/>
      <c r="F381" s="158">
        <f t="shared" si="10"/>
        <v>1.1000000000000001</v>
      </c>
      <c r="G381" s="159"/>
      <c r="H381" s="186" t="e">
        <f>#REF!</f>
        <v>#REF!</v>
      </c>
      <c r="I381" s="186"/>
      <c r="J381" s="158">
        <f t="shared" si="9"/>
        <v>1.0625</v>
      </c>
      <c r="K381" s="159"/>
    </row>
    <row r="382" spans="1:11" ht="18.600000000000001" customHeight="1" x14ac:dyDescent="0.25">
      <c r="A382" s="38" t="s">
        <v>117</v>
      </c>
      <c r="B382" s="155">
        <v>200</v>
      </c>
      <c r="C382" s="156"/>
      <c r="D382" s="135" t="e">
        <f>#REF!</f>
        <v>#REF!</v>
      </c>
      <c r="E382" s="135"/>
      <c r="F382" s="158">
        <f t="shared" si="10"/>
        <v>1.1000000000000001</v>
      </c>
      <c r="G382" s="159"/>
      <c r="H382" s="186" t="e">
        <f>#REF!</f>
        <v>#REF!</v>
      </c>
      <c r="I382" s="186"/>
      <c r="J382" s="158">
        <f t="shared" si="9"/>
        <v>1.0625</v>
      </c>
      <c r="K382" s="159"/>
    </row>
    <row r="383" spans="1:11" ht="18.600000000000001" customHeight="1" x14ac:dyDescent="0.25">
      <c r="A383" s="38" t="s">
        <v>118</v>
      </c>
      <c r="B383" s="155">
        <v>200</v>
      </c>
      <c r="C383" s="156"/>
      <c r="D383" s="135" t="e">
        <f>#REF!</f>
        <v>#REF!</v>
      </c>
      <c r="E383" s="135"/>
      <c r="F383" s="158">
        <f t="shared" si="10"/>
        <v>1.1000000000000001</v>
      </c>
      <c r="G383" s="159"/>
      <c r="H383" s="186" t="e">
        <f>#REF!</f>
        <v>#REF!</v>
      </c>
      <c r="I383" s="186"/>
      <c r="J383" s="158">
        <f t="shared" si="9"/>
        <v>1.0625</v>
      </c>
      <c r="K383" s="159"/>
    </row>
    <row r="384" spans="1:11" ht="18.600000000000001" customHeight="1" x14ac:dyDescent="0.25">
      <c r="A384" s="38" t="s">
        <v>116</v>
      </c>
      <c r="B384" s="155">
        <v>250</v>
      </c>
      <c r="C384" s="156"/>
      <c r="D384" s="135" t="e">
        <f>#REF!</f>
        <v>#REF!</v>
      </c>
      <c r="E384" s="135"/>
      <c r="F384" s="158">
        <f t="shared" si="10"/>
        <v>1.1000000000000001</v>
      </c>
      <c r="G384" s="159"/>
      <c r="H384" s="186" t="e">
        <f>#REF!</f>
        <v>#REF!</v>
      </c>
      <c r="I384" s="186"/>
      <c r="J384" s="158">
        <f t="shared" si="9"/>
        <v>1.0625</v>
      </c>
      <c r="K384" s="159"/>
    </row>
    <row r="385" spans="1:11" ht="18.600000000000001" customHeight="1" x14ac:dyDescent="0.25">
      <c r="A385" s="38" t="s">
        <v>117</v>
      </c>
      <c r="B385" s="155">
        <v>250</v>
      </c>
      <c r="C385" s="156"/>
      <c r="D385" s="135" t="e">
        <f>#REF!</f>
        <v>#REF!</v>
      </c>
      <c r="E385" s="135"/>
      <c r="F385" s="158">
        <f t="shared" si="10"/>
        <v>1.1000000000000001</v>
      </c>
      <c r="G385" s="159"/>
      <c r="H385" s="186" t="e">
        <f>#REF!</f>
        <v>#REF!</v>
      </c>
      <c r="I385" s="186"/>
      <c r="J385" s="158">
        <f t="shared" si="9"/>
        <v>1.0625</v>
      </c>
      <c r="K385" s="159"/>
    </row>
    <row r="386" spans="1:11" ht="18.600000000000001" customHeight="1" x14ac:dyDescent="0.25">
      <c r="A386" s="38" t="s">
        <v>118</v>
      </c>
      <c r="B386" s="155">
        <v>250</v>
      </c>
      <c r="C386" s="156"/>
      <c r="D386" s="135" t="e">
        <f>#REF!</f>
        <v>#REF!</v>
      </c>
      <c r="E386" s="135"/>
      <c r="F386" s="158">
        <f t="shared" si="10"/>
        <v>1.1000000000000001</v>
      </c>
      <c r="G386" s="159"/>
      <c r="H386" s="186" t="e">
        <f>#REF!</f>
        <v>#REF!</v>
      </c>
      <c r="I386" s="186"/>
      <c r="J386" s="158">
        <f t="shared" si="9"/>
        <v>1.0625</v>
      </c>
      <c r="K386" s="159"/>
    </row>
    <row r="387" spans="1:11" x14ac:dyDescent="0.25">
      <c r="A387" s="28"/>
      <c r="B387" s="28"/>
      <c r="C387" s="28"/>
      <c r="D387" s="28"/>
      <c r="E387" s="28"/>
      <c r="F387" s="28"/>
      <c r="G387" s="28"/>
      <c r="H387" s="28"/>
      <c r="I387" s="28"/>
      <c r="J387" s="28"/>
      <c r="K387" s="28"/>
    </row>
    <row r="388" spans="1:11" x14ac:dyDescent="0.25">
      <c r="A388" s="5" t="s">
        <v>124</v>
      </c>
      <c r="B388" s="28"/>
      <c r="C388" s="28"/>
      <c r="D388" s="5" t="s">
        <v>308</v>
      </c>
      <c r="E388" s="28"/>
      <c r="F388" s="28"/>
      <c r="G388" s="28"/>
      <c r="H388" s="28"/>
      <c r="I388" s="28"/>
      <c r="J388" s="28"/>
      <c r="K388" s="28"/>
    </row>
    <row r="389" spans="1:11" x14ac:dyDescent="0.25">
      <c r="A389" s="28"/>
      <c r="B389" s="28"/>
      <c r="C389" s="28"/>
      <c r="D389" s="28"/>
      <c r="E389" s="28"/>
      <c r="F389" s="28"/>
      <c r="G389" s="28"/>
      <c r="H389" s="28"/>
      <c r="I389" s="28"/>
      <c r="J389" s="28"/>
      <c r="K389" s="28"/>
    </row>
    <row r="390" spans="1:11" x14ac:dyDescent="0.25">
      <c r="A390" s="28"/>
      <c r="B390" s="28"/>
      <c r="C390" s="28"/>
      <c r="D390" s="28"/>
      <c r="E390" s="28"/>
      <c r="F390" s="28"/>
      <c r="G390" s="28"/>
      <c r="H390" s="28"/>
      <c r="I390" s="28"/>
      <c r="J390" s="28"/>
      <c r="K390" s="28"/>
    </row>
    <row r="391" spans="1:11" x14ac:dyDescent="0.25">
      <c r="A391" s="28"/>
      <c r="B391" s="28"/>
      <c r="C391" s="28"/>
      <c r="D391" s="28"/>
      <c r="E391" s="28"/>
      <c r="F391" s="28"/>
      <c r="G391" s="28"/>
      <c r="H391" s="28"/>
      <c r="I391" s="28"/>
      <c r="J391" s="28"/>
      <c r="K391" s="28"/>
    </row>
    <row r="392" spans="1:11" x14ac:dyDescent="0.25">
      <c r="A392" s="28"/>
      <c r="B392" s="28"/>
      <c r="C392" s="28"/>
      <c r="D392" s="28"/>
      <c r="E392" s="28"/>
      <c r="F392" s="28"/>
      <c r="G392" s="28"/>
      <c r="H392" s="28"/>
      <c r="I392" s="28"/>
      <c r="J392" s="28"/>
      <c r="K392" s="28"/>
    </row>
    <row r="393" spans="1:11" x14ac:dyDescent="0.25">
      <c r="A393" s="28"/>
      <c r="B393" s="28"/>
      <c r="C393" s="28"/>
      <c r="D393" s="28"/>
      <c r="E393" s="28"/>
      <c r="F393" s="28"/>
      <c r="G393" s="28"/>
      <c r="H393" s="28"/>
      <c r="I393" s="28"/>
      <c r="J393" s="28"/>
      <c r="K393" s="28"/>
    </row>
    <row r="394" spans="1:11" x14ac:dyDescent="0.25">
      <c r="A394" s="139" t="s">
        <v>0</v>
      </c>
      <c r="B394" s="140"/>
      <c r="C394" s="140"/>
      <c r="D394" s="140"/>
      <c r="E394" s="140"/>
      <c r="F394" s="140"/>
      <c r="G394" s="141"/>
      <c r="H394" s="28"/>
      <c r="I394" s="116" t="s">
        <v>1</v>
      </c>
      <c r="J394" s="148" t="str">
        <f>$J$6</f>
        <v>04567</v>
      </c>
      <c r="K394" s="119"/>
    </row>
    <row r="395" spans="1:11" x14ac:dyDescent="0.25">
      <c r="A395" s="142"/>
      <c r="B395" s="143"/>
      <c r="C395" s="143"/>
      <c r="D395" s="143"/>
      <c r="E395" s="143"/>
      <c r="F395" s="143"/>
      <c r="G395" s="144"/>
      <c r="H395" s="28"/>
      <c r="I395" s="117"/>
      <c r="J395" s="120"/>
      <c r="K395" s="121"/>
    </row>
    <row r="396" spans="1:11" x14ac:dyDescent="0.25">
      <c r="A396" s="142"/>
      <c r="B396" s="143"/>
      <c r="C396" s="143"/>
      <c r="D396" s="143"/>
      <c r="E396" s="143"/>
      <c r="F396" s="143"/>
      <c r="G396" s="144"/>
      <c r="H396" s="28"/>
      <c r="I396" s="149" t="s">
        <v>312</v>
      </c>
      <c r="J396" s="150"/>
      <c r="K396" s="151"/>
    </row>
    <row r="397" spans="1:11" x14ac:dyDescent="0.25">
      <c r="A397" s="145"/>
      <c r="B397" s="146"/>
      <c r="C397" s="146"/>
      <c r="D397" s="146"/>
      <c r="E397" s="146"/>
      <c r="F397" s="146"/>
      <c r="G397" s="147"/>
      <c r="H397" s="28"/>
      <c r="I397" s="152"/>
      <c r="J397" s="153"/>
      <c r="K397" s="154"/>
    </row>
    <row r="398" spans="1:11" x14ac:dyDescent="0.25">
      <c r="A398" s="28"/>
      <c r="B398" s="28"/>
      <c r="C398" s="28"/>
      <c r="D398" s="28"/>
      <c r="E398" s="28"/>
      <c r="F398" s="28"/>
      <c r="G398" s="28"/>
      <c r="H398" s="28"/>
      <c r="I398" s="28"/>
      <c r="J398" s="28"/>
      <c r="K398" s="28"/>
    </row>
    <row r="399" spans="1:11" x14ac:dyDescent="0.25">
      <c r="A399" s="28"/>
      <c r="B399" s="28"/>
      <c r="C399" s="28"/>
      <c r="D399" s="28"/>
      <c r="E399" s="28"/>
      <c r="F399" s="28"/>
      <c r="G399" s="28"/>
      <c r="H399" s="28"/>
      <c r="I399" s="28"/>
      <c r="J399" s="28"/>
      <c r="K399" s="28"/>
    </row>
    <row r="400" spans="1:11" ht="15.75" x14ac:dyDescent="0.25">
      <c r="A400" s="101" t="s">
        <v>510</v>
      </c>
      <c r="B400" s="101"/>
      <c r="C400" s="101"/>
      <c r="D400" s="101"/>
      <c r="E400" s="101"/>
      <c r="F400" s="101"/>
      <c r="G400" s="101"/>
      <c r="H400" s="101"/>
      <c r="I400" s="101"/>
      <c r="J400" s="101"/>
      <c r="K400" s="101"/>
    </row>
    <row r="401" spans="1:11" x14ac:dyDescent="0.25">
      <c r="A401" s="102"/>
      <c r="B401" s="102"/>
      <c r="C401" s="28"/>
      <c r="D401" s="28"/>
      <c r="E401" s="28"/>
      <c r="F401" s="28"/>
      <c r="G401" s="28"/>
      <c r="H401" s="28"/>
      <c r="I401" s="28"/>
      <c r="J401" s="28"/>
      <c r="K401" s="28"/>
    </row>
    <row r="402" spans="1:11" ht="28.9" customHeight="1" x14ac:dyDescent="0.25">
      <c r="A402" s="53" t="s">
        <v>12</v>
      </c>
      <c r="B402" s="128" t="s">
        <v>13</v>
      </c>
      <c r="C402" s="129"/>
      <c r="D402" s="128" t="s">
        <v>14</v>
      </c>
      <c r="E402" s="129"/>
      <c r="F402" s="128" t="s">
        <v>15</v>
      </c>
      <c r="G402" s="129"/>
      <c r="H402" s="128" t="s">
        <v>16</v>
      </c>
      <c r="I402" s="129"/>
      <c r="J402" s="130" t="s">
        <v>17</v>
      </c>
      <c r="K402" s="130"/>
    </row>
    <row r="403" spans="1:11" ht="18.600000000000001" customHeight="1" x14ac:dyDescent="0.25">
      <c r="A403" s="53"/>
      <c r="B403" s="128" t="s">
        <v>18</v>
      </c>
      <c r="C403" s="129"/>
      <c r="D403" s="131" t="s">
        <v>18</v>
      </c>
      <c r="E403" s="132"/>
      <c r="F403" s="131" t="s">
        <v>19</v>
      </c>
      <c r="G403" s="132"/>
      <c r="H403" s="131" t="s">
        <v>18</v>
      </c>
      <c r="I403" s="132"/>
      <c r="J403" s="130" t="s">
        <v>19</v>
      </c>
      <c r="K403" s="130"/>
    </row>
    <row r="404" spans="1:11" ht="18.600000000000001" customHeight="1" x14ac:dyDescent="0.25">
      <c r="A404" s="38" t="s">
        <v>116</v>
      </c>
      <c r="B404" s="155">
        <v>300</v>
      </c>
      <c r="C404" s="156"/>
      <c r="D404" s="135" t="e">
        <f>#REF!</f>
        <v>#REF!</v>
      </c>
      <c r="E404" s="135"/>
      <c r="F404" s="158">
        <f t="shared" ref="F404:F415" si="11">0.25/100*440</f>
        <v>1.1000000000000001</v>
      </c>
      <c r="G404" s="159"/>
      <c r="H404" s="186" t="e">
        <f>#REF!</f>
        <v>#REF!</v>
      </c>
      <c r="I404" s="186"/>
      <c r="J404" s="158">
        <f t="shared" ref="J404:J414" si="12">0.25/100*425</f>
        <v>1.0625</v>
      </c>
      <c r="K404" s="159"/>
    </row>
    <row r="405" spans="1:11" ht="18.600000000000001" customHeight="1" x14ac:dyDescent="0.25">
      <c r="A405" s="38" t="s">
        <v>117</v>
      </c>
      <c r="B405" s="155">
        <v>300</v>
      </c>
      <c r="C405" s="156"/>
      <c r="D405" s="135" t="e">
        <f>#REF!</f>
        <v>#REF!</v>
      </c>
      <c r="E405" s="135"/>
      <c r="F405" s="158">
        <f t="shared" si="11"/>
        <v>1.1000000000000001</v>
      </c>
      <c r="G405" s="159"/>
      <c r="H405" s="186" t="e">
        <f>#REF!</f>
        <v>#REF!</v>
      </c>
      <c r="I405" s="186"/>
      <c r="J405" s="158">
        <f t="shared" si="12"/>
        <v>1.0625</v>
      </c>
      <c r="K405" s="159"/>
    </row>
    <row r="406" spans="1:11" ht="18.600000000000001" customHeight="1" x14ac:dyDescent="0.25">
      <c r="A406" s="38" t="s">
        <v>118</v>
      </c>
      <c r="B406" s="155">
        <v>300</v>
      </c>
      <c r="C406" s="156"/>
      <c r="D406" s="135" t="e">
        <f>#REF!</f>
        <v>#REF!</v>
      </c>
      <c r="E406" s="135"/>
      <c r="F406" s="158">
        <f t="shared" si="11"/>
        <v>1.1000000000000001</v>
      </c>
      <c r="G406" s="159"/>
      <c r="H406" s="186" t="e">
        <f>#REF!</f>
        <v>#REF!</v>
      </c>
      <c r="I406" s="186"/>
      <c r="J406" s="158">
        <f t="shared" si="12"/>
        <v>1.0625</v>
      </c>
      <c r="K406" s="159"/>
    </row>
    <row r="407" spans="1:11" ht="18.600000000000001" customHeight="1" x14ac:dyDescent="0.25">
      <c r="A407" s="38" t="s">
        <v>116</v>
      </c>
      <c r="B407" s="155">
        <v>350</v>
      </c>
      <c r="C407" s="156"/>
      <c r="D407" s="135" t="e">
        <f>#REF!</f>
        <v>#REF!</v>
      </c>
      <c r="E407" s="135"/>
      <c r="F407" s="158">
        <f t="shared" si="11"/>
        <v>1.1000000000000001</v>
      </c>
      <c r="G407" s="159"/>
      <c r="H407" s="186" t="e">
        <f>#REF!</f>
        <v>#REF!</v>
      </c>
      <c r="I407" s="186"/>
      <c r="J407" s="158">
        <f t="shared" si="12"/>
        <v>1.0625</v>
      </c>
      <c r="K407" s="159"/>
    </row>
    <row r="408" spans="1:11" ht="18.600000000000001" customHeight="1" x14ac:dyDescent="0.25">
      <c r="A408" s="38" t="s">
        <v>117</v>
      </c>
      <c r="B408" s="155">
        <v>350</v>
      </c>
      <c r="C408" s="156"/>
      <c r="D408" s="135" t="e">
        <f>#REF!</f>
        <v>#REF!</v>
      </c>
      <c r="E408" s="135"/>
      <c r="F408" s="158">
        <f t="shared" si="11"/>
        <v>1.1000000000000001</v>
      </c>
      <c r="G408" s="159"/>
      <c r="H408" s="186" t="e">
        <f>#REF!</f>
        <v>#REF!</v>
      </c>
      <c r="I408" s="186"/>
      <c r="J408" s="158">
        <f t="shared" si="12"/>
        <v>1.0625</v>
      </c>
      <c r="K408" s="159"/>
    </row>
    <row r="409" spans="1:11" ht="18.600000000000001" customHeight="1" x14ac:dyDescent="0.25">
      <c r="A409" s="38" t="s">
        <v>118</v>
      </c>
      <c r="B409" s="155">
        <v>350</v>
      </c>
      <c r="C409" s="156"/>
      <c r="D409" s="135" t="e">
        <f>#REF!</f>
        <v>#REF!</v>
      </c>
      <c r="E409" s="135"/>
      <c r="F409" s="158">
        <f t="shared" si="11"/>
        <v>1.1000000000000001</v>
      </c>
      <c r="G409" s="159"/>
      <c r="H409" s="186" t="e">
        <f>#REF!</f>
        <v>#REF!</v>
      </c>
      <c r="I409" s="186"/>
      <c r="J409" s="158">
        <f t="shared" si="12"/>
        <v>1.0625</v>
      </c>
      <c r="K409" s="159"/>
    </row>
    <row r="410" spans="1:11" ht="18.600000000000001" customHeight="1" x14ac:dyDescent="0.25">
      <c r="A410" s="38" t="s">
        <v>116</v>
      </c>
      <c r="B410" s="155">
        <v>400</v>
      </c>
      <c r="C410" s="156"/>
      <c r="D410" s="135" t="e">
        <f>#REF!</f>
        <v>#REF!</v>
      </c>
      <c r="E410" s="135"/>
      <c r="F410" s="158">
        <f t="shared" si="11"/>
        <v>1.1000000000000001</v>
      </c>
      <c r="G410" s="159"/>
      <c r="H410" s="186" t="e">
        <f>#REF!</f>
        <v>#REF!</v>
      </c>
      <c r="I410" s="186"/>
      <c r="J410" s="158">
        <f t="shared" si="12"/>
        <v>1.0625</v>
      </c>
      <c r="K410" s="159"/>
    </row>
    <row r="411" spans="1:11" ht="18.600000000000001" customHeight="1" x14ac:dyDescent="0.25">
      <c r="A411" s="38" t="s">
        <v>117</v>
      </c>
      <c r="B411" s="155">
        <v>400</v>
      </c>
      <c r="C411" s="156"/>
      <c r="D411" s="135" t="e">
        <f>#REF!</f>
        <v>#REF!</v>
      </c>
      <c r="E411" s="135"/>
      <c r="F411" s="158">
        <f t="shared" si="11"/>
        <v>1.1000000000000001</v>
      </c>
      <c r="G411" s="159"/>
      <c r="H411" s="186" t="e">
        <f>#REF!</f>
        <v>#REF!</v>
      </c>
      <c r="I411" s="186"/>
      <c r="J411" s="158">
        <f t="shared" si="12"/>
        <v>1.0625</v>
      </c>
      <c r="K411" s="159"/>
    </row>
    <row r="412" spans="1:11" ht="18.600000000000001" customHeight="1" x14ac:dyDescent="0.25">
      <c r="A412" s="38" t="s">
        <v>118</v>
      </c>
      <c r="B412" s="155">
        <v>400</v>
      </c>
      <c r="C412" s="156"/>
      <c r="D412" s="135" t="e">
        <f>#REF!</f>
        <v>#REF!</v>
      </c>
      <c r="E412" s="135"/>
      <c r="F412" s="158">
        <f t="shared" si="11"/>
        <v>1.1000000000000001</v>
      </c>
      <c r="G412" s="159"/>
      <c r="H412" s="186" t="e">
        <f>#REF!</f>
        <v>#REF!</v>
      </c>
      <c r="I412" s="186"/>
      <c r="J412" s="158">
        <f t="shared" si="12"/>
        <v>1.0625</v>
      </c>
      <c r="K412" s="159"/>
    </row>
    <row r="413" spans="1:11" ht="18.600000000000001" customHeight="1" x14ac:dyDescent="0.25">
      <c r="A413" s="38" t="s">
        <v>116</v>
      </c>
      <c r="B413" s="155">
        <v>425</v>
      </c>
      <c r="C413" s="156"/>
      <c r="D413" s="135" t="e">
        <f>#REF!</f>
        <v>#REF!</v>
      </c>
      <c r="E413" s="135"/>
      <c r="F413" s="158">
        <f t="shared" si="11"/>
        <v>1.1000000000000001</v>
      </c>
      <c r="G413" s="159"/>
      <c r="H413" s="186" t="e">
        <f>#REF!</f>
        <v>#REF!</v>
      </c>
      <c r="I413" s="186"/>
      <c r="J413" s="158">
        <f t="shared" si="12"/>
        <v>1.0625</v>
      </c>
      <c r="K413" s="159"/>
    </row>
    <row r="414" spans="1:11" ht="18.600000000000001" customHeight="1" x14ac:dyDescent="0.25">
      <c r="A414" s="38" t="s">
        <v>117</v>
      </c>
      <c r="B414" s="155">
        <v>425</v>
      </c>
      <c r="C414" s="156"/>
      <c r="D414" s="135" t="e">
        <f>#REF!</f>
        <v>#REF!</v>
      </c>
      <c r="E414" s="135"/>
      <c r="F414" s="158">
        <f t="shared" si="11"/>
        <v>1.1000000000000001</v>
      </c>
      <c r="G414" s="159"/>
      <c r="H414" s="186" t="e">
        <f>#REF!</f>
        <v>#REF!</v>
      </c>
      <c r="I414" s="186"/>
      <c r="J414" s="158">
        <f t="shared" si="12"/>
        <v>1.0625</v>
      </c>
      <c r="K414" s="159"/>
    </row>
    <row r="415" spans="1:11" ht="18.600000000000001" customHeight="1" x14ac:dyDescent="0.25">
      <c r="A415" s="38" t="s">
        <v>118</v>
      </c>
      <c r="B415" s="155">
        <v>425</v>
      </c>
      <c r="C415" s="156"/>
      <c r="D415" s="135" t="e">
        <f>#REF!</f>
        <v>#REF!</v>
      </c>
      <c r="E415" s="135"/>
      <c r="F415" s="158">
        <f t="shared" si="11"/>
        <v>1.1000000000000001</v>
      </c>
      <c r="G415" s="159"/>
      <c r="H415" s="186" t="e">
        <f>#REF!</f>
        <v>#REF!</v>
      </c>
      <c r="I415" s="186"/>
      <c r="J415" s="158">
        <f>0.25/100*425</f>
        <v>1.0625</v>
      </c>
      <c r="K415" s="159"/>
    </row>
    <row r="416" spans="1:11" x14ac:dyDescent="0.25">
      <c r="A416" s="28"/>
      <c r="B416" s="28"/>
      <c r="C416" s="28"/>
      <c r="D416" s="28"/>
      <c r="E416" s="28"/>
      <c r="F416" s="28"/>
      <c r="G416" s="28"/>
      <c r="H416" s="28"/>
      <c r="I416" s="28"/>
      <c r="J416" s="28"/>
      <c r="K416" s="28"/>
    </row>
    <row r="417" spans="1:11" x14ac:dyDescent="0.25">
      <c r="A417" s="5" t="s">
        <v>124</v>
      </c>
      <c r="B417" s="5"/>
      <c r="C417" s="5"/>
      <c r="D417" s="5" t="s">
        <v>308</v>
      </c>
      <c r="E417" s="5"/>
      <c r="F417" s="5"/>
      <c r="G417" s="28"/>
      <c r="H417" s="28"/>
      <c r="I417" s="28"/>
      <c r="J417" s="28"/>
      <c r="K417" s="28"/>
    </row>
    <row r="418" spans="1:11" ht="15.75" x14ac:dyDescent="0.25">
      <c r="A418" s="62"/>
      <c r="B418" s="63"/>
      <c r="C418" s="63"/>
      <c r="D418" s="62"/>
      <c r="E418" s="28"/>
      <c r="F418" s="28"/>
      <c r="G418" s="28"/>
      <c r="H418" s="28"/>
      <c r="I418" s="28"/>
      <c r="J418" s="28"/>
      <c r="K418" s="28"/>
    </row>
    <row r="419" spans="1:11" ht="15.75" x14ac:dyDescent="0.25">
      <c r="A419" s="101" t="s">
        <v>313</v>
      </c>
      <c r="B419" s="101"/>
      <c r="C419" s="101"/>
      <c r="D419" s="101"/>
      <c r="E419" s="101"/>
      <c r="F419" s="101"/>
      <c r="G419" s="101"/>
      <c r="H419" s="101"/>
      <c r="I419" s="101"/>
      <c r="J419" s="101"/>
      <c r="K419" s="101"/>
    </row>
    <row r="420" spans="1:11" x14ac:dyDescent="0.25">
      <c r="A420" s="28"/>
      <c r="B420" s="28"/>
      <c r="C420" s="28"/>
      <c r="D420" s="28"/>
      <c r="E420" s="28"/>
      <c r="F420" s="28"/>
      <c r="G420" s="28"/>
      <c r="H420" s="28"/>
      <c r="I420" s="28"/>
      <c r="J420" s="28"/>
      <c r="K420" s="28"/>
    </row>
    <row r="421" spans="1:11" x14ac:dyDescent="0.25">
      <c r="A421" s="102" t="s">
        <v>115</v>
      </c>
      <c r="B421" s="102"/>
      <c r="C421" s="28"/>
      <c r="D421" s="28"/>
      <c r="E421" s="28"/>
      <c r="F421" s="28"/>
      <c r="G421" s="28"/>
      <c r="H421" s="28"/>
      <c r="I421" s="28"/>
      <c r="J421" s="28"/>
      <c r="K421" s="28"/>
    </row>
    <row r="422" spans="1:11" ht="15" customHeight="1" x14ac:dyDescent="0.25">
      <c r="A422" s="103" t="s">
        <v>314</v>
      </c>
      <c r="B422" s="103"/>
      <c r="C422" s="103"/>
      <c r="D422" s="103"/>
      <c r="E422" s="103"/>
      <c r="F422" s="103"/>
      <c r="G422" s="103"/>
      <c r="H422" s="103"/>
      <c r="I422" s="103"/>
      <c r="J422" s="103"/>
      <c r="K422" s="103"/>
    </row>
    <row r="423" spans="1:11" x14ac:dyDescent="0.25">
      <c r="A423" s="103"/>
      <c r="B423" s="103"/>
      <c r="C423" s="103"/>
      <c r="D423" s="103"/>
      <c r="E423" s="103"/>
      <c r="F423" s="103"/>
      <c r="G423" s="103"/>
      <c r="H423" s="103"/>
      <c r="I423" s="103"/>
      <c r="J423" s="103"/>
      <c r="K423" s="103"/>
    </row>
    <row r="424" spans="1:11" x14ac:dyDescent="0.25">
      <c r="A424" s="103"/>
      <c r="B424" s="103"/>
      <c r="C424" s="103"/>
      <c r="D424" s="103"/>
      <c r="E424" s="103"/>
      <c r="F424" s="103"/>
      <c r="G424" s="103"/>
      <c r="H424" s="103"/>
      <c r="I424" s="103"/>
      <c r="J424" s="103"/>
      <c r="K424" s="103"/>
    </row>
    <row r="425" spans="1:11" x14ac:dyDescent="0.25">
      <c r="A425" s="103"/>
      <c r="B425" s="103"/>
      <c r="C425" s="103"/>
      <c r="D425" s="103"/>
      <c r="E425" s="103"/>
      <c r="F425" s="103"/>
      <c r="G425" s="103"/>
      <c r="H425" s="103"/>
      <c r="I425" s="103"/>
      <c r="J425" s="103"/>
      <c r="K425" s="103"/>
    </row>
    <row r="426" spans="1:11" x14ac:dyDescent="0.25">
      <c r="A426" s="103" t="s">
        <v>315</v>
      </c>
      <c r="B426" s="103"/>
      <c r="C426" s="103"/>
      <c r="D426" s="103"/>
      <c r="E426" s="103"/>
      <c r="F426" s="103"/>
      <c r="G426" s="103"/>
      <c r="H426" s="103"/>
      <c r="I426" s="103"/>
      <c r="J426" s="103"/>
      <c r="K426" s="103"/>
    </row>
    <row r="427" spans="1:11" x14ac:dyDescent="0.25">
      <c r="A427" s="28"/>
      <c r="B427" s="28"/>
      <c r="C427" s="28"/>
      <c r="D427" s="28"/>
      <c r="E427" s="28"/>
      <c r="F427" s="28"/>
      <c r="G427" s="28"/>
      <c r="H427" s="28"/>
      <c r="I427" s="28"/>
      <c r="J427" s="28"/>
      <c r="K427" s="28"/>
    </row>
    <row r="428" spans="1:11" ht="30" customHeight="1" x14ac:dyDescent="0.25">
      <c r="A428" s="53" t="s">
        <v>12</v>
      </c>
      <c r="B428" s="128" t="s">
        <v>13</v>
      </c>
      <c r="C428" s="129"/>
      <c r="D428" s="128" t="s">
        <v>14</v>
      </c>
      <c r="E428" s="129"/>
      <c r="F428" s="128" t="s">
        <v>15</v>
      </c>
      <c r="G428" s="129"/>
      <c r="H428" s="128" t="s">
        <v>16</v>
      </c>
      <c r="I428" s="129"/>
      <c r="J428" s="128" t="s">
        <v>17</v>
      </c>
      <c r="K428" s="129"/>
    </row>
    <row r="429" spans="1:11" ht="19.149999999999999" customHeight="1" x14ac:dyDescent="0.25">
      <c r="A429" s="53"/>
      <c r="B429" s="128" t="s">
        <v>18</v>
      </c>
      <c r="C429" s="129"/>
      <c r="D429" s="128" t="s">
        <v>18</v>
      </c>
      <c r="E429" s="129"/>
      <c r="F429" s="128" t="s">
        <v>19</v>
      </c>
      <c r="G429" s="129"/>
      <c r="H429" s="128" t="s">
        <v>18</v>
      </c>
      <c r="I429" s="129"/>
      <c r="J429" s="128" t="s">
        <v>19</v>
      </c>
      <c r="K429" s="129"/>
    </row>
    <row r="430" spans="1:11" ht="19.149999999999999" customHeight="1" x14ac:dyDescent="0.25">
      <c r="A430" s="38" t="s">
        <v>129</v>
      </c>
      <c r="B430" s="155">
        <v>100</v>
      </c>
      <c r="C430" s="156"/>
      <c r="D430" s="155" t="e">
        <f>#REF!</f>
        <v>#REF!</v>
      </c>
      <c r="E430" s="156"/>
      <c r="F430" s="158">
        <f>0.25*880/100</f>
        <v>2.2000000000000002</v>
      </c>
      <c r="G430" s="159"/>
      <c r="H430" s="137" t="e">
        <f>#REF!</f>
        <v>#REF!</v>
      </c>
      <c r="I430" s="138"/>
      <c r="J430" s="158">
        <f>0.25*850/100</f>
        <v>2.125</v>
      </c>
      <c r="K430" s="159"/>
    </row>
    <row r="431" spans="1:11" ht="19.149999999999999" customHeight="1" x14ac:dyDescent="0.25">
      <c r="A431" s="38" t="s">
        <v>129</v>
      </c>
      <c r="B431" s="155">
        <v>200</v>
      </c>
      <c r="C431" s="156"/>
      <c r="D431" s="155" t="e">
        <f>#REF!</f>
        <v>#REF!</v>
      </c>
      <c r="E431" s="156"/>
      <c r="F431" s="158">
        <f t="shared" ref="F431:F438" si="13">0.25*880/100</f>
        <v>2.2000000000000002</v>
      </c>
      <c r="G431" s="159"/>
      <c r="H431" s="137" t="e">
        <f>#REF!</f>
        <v>#REF!</v>
      </c>
      <c r="I431" s="138"/>
      <c r="J431" s="158">
        <f t="shared" ref="J431:J438" si="14">0.25*850/100</f>
        <v>2.125</v>
      </c>
      <c r="K431" s="159"/>
    </row>
    <row r="432" spans="1:11" ht="19.149999999999999" customHeight="1" x14ac:dyDescent="0.25">
      <c r="A432" s="38" t="s">
        <v>129</v>
      </c>
      <c r="B432" s="155">
        <v>300</v>
      </c>
      <c r="C432" s="156"/>
      <c r="D432" s="155" t="e">
        <f>#REF!</f>
        <v>#REF!</v>
      </c>
      <c r="E432" s="156"/>
      <c r="F432" s="158">
        <f t="shared" si="13"/>
        <v>2.2000000000000002</v>
      </c>
      <c r="G432" s="159"/>
      <c r="H432" s="137" t="e">
        <f>#REF!</f>
        <v>#REF!</v>
      </c>
      <c r="I432" s="138"/>
      <c r="J432" s="158">
        <f t="shared" si="14"/>
        <v>2.125</v>
      </c>
      <c r="K432" s="159"/>
    </row>
    <row r="433" spans="1:11" ht="19.149999999999999" customHeight="1" x14ac:dyDescent="0.25">
      <c r="A433" s="38" t="s">
        <v>129</v>
      </c>
      <c r="B433" s="155">
        <v>400</v>
      </c>
      <c r="C433" s="156"/>
      <c r="D433" s="155" t="e">
        <f>#REF!</f>
        <v>#REF!</v>
      </c>
      <c r="E433" s="156"/>
      <c r="F433" s="158">
        <f t="shared" si="13"/>
        <v>2.2000000000000002</v>
      </c>
      <c r="G433" s="159"/>
      <c r="H433" s="137" t="e">
        <f>#REF!</f>
        <v>#REF!</v>
      </c>
      <c r="I433" s="138"/>
      <c r="J433" s="158">
        <f t="shared" si="14"/>
        <v>2.125</v>
      </c>
      <c r="K433" s="159"/>
    </row>
    <row r="434" spans="1:11" ht="19.149999999999999" customHeight="1" x14ac:dyDescent="0.25">
      <c r="A434" s="38" t="s">
        <v>129</v>
      </c>
      <c r="B434" s="155">
        <v>500</v>
      </c>
      <c r="C434" s="156"/>
      <c r="D434" s="155" t="e">
        <f>#REF!</f>
        <v>#REF!</v>
      </c>
      <c r="E434" s="156"/>
      <c r="F434" s="158">
        <f t="shared" si="13"/>
        <v>2.2000000000000002</v>
      </c>
      <c r="G434" s="159"/>
      <c r="H434" s="137" t="e">
        <f>#REF!</f>
        <v>#REF!</v>
      </c>
      <c r="I434" s="138"/>
      <c r="J434" s="158">
        <f t="shared" si="14"/>
        <v>2.125</v>
      </c>
      <c r="K434" s="159"/>
    </row>
    <row r="435" spans="1:11" ht="19.149999999999999" customHeight="1" x14ac:dyDescent="0.25">
      <c r="A435" s="38" t="s">
        <v>129</v>
      </c>
      <c r="B435" s="155">
        <v>600</v>
      </c>
      <c r="C435" s="156"/>
      <c r="D435" s="155" t="e">
        <f>#REF!</f>
        <v>#REF!</v>
      </c>
      <c r="E435" s="156"/>
      <c r="F435" s="158">
        <f t="shared" si="13"/>
        <v>2.2000000000000002</v>
      </c>
      <c r="G435" s="159"/>
      <c r="H435" s="137" t="e">
        <f>#REF!</f>
        <v>#REF!</v>
      </c>
      <c r="I435" s="138"/>
      <c r="J435" s="158">
        <f t="shared" si="14"/>
        <v>2.125</v>
      </c>
      <c r="K435" s="159"/>
    </row>
    <row r="436" spans="1:11" ht="19.149999999999999" customHeight="1" x14ac:dyDescent="0.25">
      <c r="A436" s="38" t="s">
        <v>129</v>
      </c>
      <c r="B436" s="155">
        <v>700</v>
      </c>
      <c r="C436" s="156"/>
      <c r="D436" s="155" t="e">
        <f>#REF!</f>
        <v>#REF!</v>
      </c>
      <c r="E436" s="156"/>
      <c r="F436" s="158">
        <f t="shared" si="13"/>
        <v>2.2000000000000002</v>
      </c>
      <c r="G436" s="159"/>
      <c r="H436" s="137" t="e">
        <f>#REF!</f>
        <v>#REF!</v>
      </c>
      <c r="I436" s="138"/>
      <c r="J436" s="158">
        <f t="shared" si="14"/>
        <v>2.125</v>
      </c>
      <c r="K436" s="159"/>
    </row>
    <row r="437" spans="1:11" ht="19.149999999999999" customHeight="1" x14ac:dyDescent="0.25">
      <c r="A437" s="38" t="s">
        <v>129</v>
      </c>
      <c r="B437" s="155">
        <v>800</v>
      </c>
      <c r="C437" s="156"/>
      <c r="D437" s="155" t="e">
        <f>#REF!</f>
        <v>#REF!</v>
      </c>
      <c r="E437" s="156"/>
      <c r="F437" s="158">
        <f t="shared" si="13"/>
        <v>2.2000000000000002</v>
      </c>
      <c r="G437" s="159"/>
      <c r="H437" s="137" t="e">
        <f>#REF!</f>
        <v>#REF!</v>
      </c>
      <c r="I437" s="138"/>
      <c r="J437" s="158">
        <f t="shared" si="14"/>
        <v>2.125</v>
      </c>
      <c r="K437" s="159"/>
    </row>
    <row r="438" spans="1:11" ht="19.149999999999999" customHeight="1" x14ac:dyDescent="0.25">
      <c r="A438" s="38" t="s">
        <v>129</v>
      </c>
      <c r="B438" s="155">
        <v>850</v>
      </c>
      <c r="C438" s="156"/>
      <c r="D438" s="155" t="e">
        <f>#REF!</f>
        <v>#REF!</v>
      </c>
      <c r="E438" s="156"/>
      <c r="F438" s="158">
        <f t="shared" si="13"/>
        <v>2.2000000000000002</v>
      </c>
      <c r="G438" s="159"/>
      <c r="H438" s="137" t="e">
        <f>#REF!</f>
        <v>#REF!</v>
      </c>
      <c r="I438" s="138"/>
      <c r="J438" s="158">
        <f t="shared" si="14"/>
        <v>2.125</v>
      </c>
      <c r="K438" s="159"/>
    </row>
    <row r="439" spans="1:11" x14ac:dyDescent="0.25">
      <c r="A439" s="5" t="s">
        <v>124</v>
      </c>
      <c r="B439" s="5"/>
      <c r="C439" s="5"/>
      <c r="D439" s="5" t="s">
        <v>308</v>
      </c>
      <c r="E439" s="5"/>
      <c r="F439" s="5"/>
      <c r="G439" s="5"/>
      <c r="H439" s="5"/>
      <c r="I439" s="5"/>
      <c r="J439" s="5"/>
      <c r="K439" s="5"/>
    </row>
    <row r="440" spans="1:11" x14ac:dyDescent="0.25">
      <c r="A440" s="107" t="s">
        <v>0</v>
      </c>
      <c r="B440" s="108"/>
      <c r="C440" s="108"/>
      <c r="D440" s="108"/>
      <c r="E440" s="108"/>
      <c r="F440" s="108"/>
      <c r="G440" s="109"/>
      <c r="H440" s="28"/>
      <c r="I440" s="116" t="s">
        <v>1</v>
      </c>
      <c r="J440" s="148" t="str">
        <f>$J$6</f>
        <v>04567</v>
      </c>
      <c r="K440" s="119"/>
    </row>
    <row r="441" spans="1:11" x14ac:dyDescent="0.25">
      <c r="A441" s="110"/>
      <c r="B441" s="111"/>
      <c r="C441" s="111"/>
      <c r="D441" s="111"/>
      <c r="E441" s="111"/>
      <c r="F441" s="111"/>
      <c r="G441" s="112"/>
      <c r="H441" s="28"/>
      <c r="I441" s="117"/>
      <c r="J441" s="120"/>
      <c r="K441" s="121"/>
    </row>
    <row r="442" spans="1:11" x14ac:dyDescent="0.25">
      <c r="A442" s="110"/>
      <c r="B442" s="111"/>
      <c r="C442" s="111"/>
      <c r="D442" s="111"/>
      <c r="E442" s="111"/>
      <c r="F442" s="111"/>
      <c r="G442" s="112"/>
      <c r="H442" s="28"/>
      <c r="I442" s="122" t="s">
        <v>316</v>
      </c>
      <c r="J442" s="123"/>
      <c r="K442" s="124"/>
    </row>
    <row r="443" spans="1:11" x14ac:dyDescent="0.25">
      <c r="A443" s="113"/>
      <c r="B443" s="114"/>
      <c r="C443" s="114"/>
      <c r="D443" s="114"/>
      <c r="E443" s="114"/>
      <c r="F443" s="114"/>
      <c r="G443" s="115"/>
      <c r="H443" s="28"/>
      <c r="I443" s="125"/>
      <c r="J443" s="126"/>
      <c r="K443" s="127"/>
    </row>
    <row r="444" spans="1:11" x14ac:dyDescent="0.25">
      <c r="A444" s="28"/>
      <c r="B444" s="28"/>
      <c r="C444" s="28"/>
      <c r="D444" s="28"/>
      <c r="E444" s="28"/>
      <c r="F444" s="28"/>
      <c r="G444" s="28"/>
      <c r="H444" s="28"/>
      <c r="I444" s="28"/>
      <c r="J444" s="28"/>
      <c r="K444" s="28"/>
    </row>
    <row r="445" spans="1:11" ht="15.75" x14ac:dyDescent="0.25">
      <c r="A445" s="101" t="s">
        <v>317</v>
      </c>
      <c r="B445" s="101"/>
      <c r="C445" s="101"/>
      <c r="D445" s="101"/>
      <c r="E445" s="101"/>
      <c r="F445" s="101"/>
      <c r="G445" s="101"/>
      <c r="H445" s="101"/>
      <c r="I445" s="101"/>
      <c r="J445" s="101"/>
      <c r="K445" s="101"/>
    </row>
    <row r="446" spans="1:11" x14ac:dyDescent="0.25">
      <c r="A446" s="102" t="s">
        <v>115</v>
      </c>
      <c r="B446" s="102"/>
      <c r="C446" s="28"/>
      <c r="D446" s="28"/>
      <c r="E446" s="28"/>
      <c r="F446" s="28"/>
      <c r="G446" s="28"/>
      <c r="H446" s="28"/>
      <c r="I446" s="28"/>
      <c r="J446" s="28"/>
      <c r="K446" s="28"/>
    </row>
    <row r="447" spans="1:11" x14ac:dyDescent="0.25">
      <c r="A447" s="28"/>
      <c r="B447" s="28"/>
      <c r="C447" s="28"/>
      <c r="D447" s="28"/>
      <c r="E447" s="28"/>
      <c r="F447" s="28"/>
      <c r="G447" s="28"/>
      <c r="H447" s="28"/>
      <c r="I447" s="28"/>
      <c r="J447" s="28"/>
      <c r="K447" s="28"/>
    </row>
    <row r="448" spans="1:11" ht="15" customHeight="1" x14ac:dyDescent="0.25">
      <c r="A448" s="157" t="s">
        <v>318</v>
      </c>
      <c r="B448" s="157"/>
      <c r="C448" s="157"/>
      <c r="D448" s="157"/>
      <c r="E448" s="157"/>
      <c r="F448" s="157"/>
      <c r="G448" s="157"/>
      <c r="H448" s="157"/>
      <c r="I448" s="157"/>
      <c r="J448" s="157"/>
      <c r="K448" s="157"/>
    </row>
    <row r="449" spans="1:11" x14ac:dyDescent="0.25">
      <c r="A449" s="157"/>
      <c r="B449" s="157"/>
      <c r="C449" s="157"/>
      <c r="D449" s="157"/>
      <c r="E449" s="157"/>
      <c r="F449" s="157"/>
      <c r="G449" s="157"/>
      <c r="H449" s="157"/>
      <c r="I449" s="157"/>
      <c r="J449" s="157"/>
      <c r="K449" s="157"/>
    </row>
    <row r="450" spans="1:11" x14ac:dyDescent="0.25">
      <c r="A450" s="157"/>
      <c r="B450" s="157"/>
      <c r="C450" s="157"/>
      <c r="D450" s="157"/>
      <c r="E450" s="157"/>
      <c r="F450" s="157"/>
      <c r="G450" s="157"/>
      <c r="H450" s="157"/>
      <c r="I450" s="157"/>
      <c r="J450" s="157"/>
      <c r="K450" s="157"/>
    </row>
    <row r="451" spans="1:11" x14ac:dyDescent="0.25">
      <c r="A451" s="157"/>
      <c r="B451" s="157"/>
      <c r="C451" s="157"/>
      <c r="D451" s="157"/>
      <c r="E451" s="157"/>
      <c r="F451" s="157"/>
      <c r="G451" s="157"/>
      <c r="H451" s="157"/>
      <c r="I451" s="157"/>
      <c r="J451" s="157"/>
      <c r="K451" s="157"/>
    </row>
    <row r="452" spans="1:11" x14ac:dyDescent="0.25">
      <c r="A452" s="157"/>
      <c r="B452" s="157"/>
      <c r="C452" s="157"/>
      <c r="D452" s="157"/>
      <c r="E452" s="157"/>
      <c r="F452" s="157"/>
      <c r="G452" s="157"/>
      <c r="H452" s="157"/>
      <c r="I452" s="157"/>
      <c r="J452" s="157"/>
      <c r="K452" s="157"/>
    </row>
    <row r="453" spans="1:11" x14ac:dyDescent="0.25">
      <c r="A453" s="28"/>
      <c r="B453" s="28"/>
      <c r="C453" s="28"/>
      <c r="D453" s="28"/>
      <c r="E453" s="28"/>
      <c r="F453" s="28"/>
      <c r="G453" s="28"/>
      <c r="H453" s="28"/>
      <c r="I453" s="28"/>
      <c r="J453" s="28"/>
      <c r="K453" s="28"/>
    </row>
    <row r="454" spans="1:11" ht="31.15" customHeight="1" x14ac:dyDescent="0.25">
      <c r="A454" s="48" t="s">
        <v>12</v>
      </c>
      <c r="B454" s="160" t="s">
        <v>13</v>
      </c>
      <c r="C454" s="160"/>
      <c r="D454" s="160" t="s">
        <v>14</v>
      </c>
      <c r="E454" s="160"/>
      <c r="F454" s="160" t="s">
        <v>15</v>
      </c>
      <c r="G454" s="160"/>
      <c r="H454" s="160" t="s">
        <v>16</v>
      </c>
      <c r="I454" s="160"/>
      <c r="J454" s="160" t="s">
        <v>17</v>
      </c>
      <c r="K454" s="160"/>
    </row>
    <row r="455" spans="1:11" ht="19.149999999999999" customHeight="1" x14ac:dyDescent="0.25">
      <c r="A455" s="48"/>
      <c r="B455" s="160" t="s">
        <v>18</v>
      </c>
      <c r="C455" s="160"/>
      <c r="D455" s="160" t="s">
        <v>18</v>
      </c>
      <c r="E455" s="160"/>
      <c r="F455" s="160" t="s">
        <v>19</v>
      </c>
      <c r="G455" s="160"/>
      <c r="H455" s="160" t="s">
        <v>18</v>
      </c>
      <c r="I455" s="160"/>
      <c r="J455" s="160" t="s">
        <v>19</v>
      </c>
      <c r="K455" s="160"/>
    </row>
    <row r="456" spans="1:11" ht="19.149999999999999" customHeight="1" x14ac:dyDescent="0.25">
      <c r="A456" s="51" t="s">
        <v>116</v>
      </c>
      <c r="B456" s="161">
        <v>25</v>
      </c>
      <c r="C456" s="161"/>
      <c r="D456" s="135" t="e">
        <f>#REF!</f>
        <v>#REF!</v>
      </c>
      <c r="E456" s="135"/>
      <c r="F456" s="136">
        <f t="shared" ref="F456:F465" si="15">0.25*440/100</f>
        <v>1.1000000000000001</v>
      </c>
      <c r="G456" s="136"/>
      <c r="H456" s="186" t="e">
        <f>#REF!</f>
        <v>#REF!</v>
      </c>
      <c r="I456" s="186"/>
      <c r="J456" s="158">
        <f t="shared" ref="J456:J465" si="16">0.25/100*425</f>
        <v>1.0625</v>
      </c>
      <c r="K456" s="159"/>
    </row>
    <row r="457" spans="1:11" ht="19.149999999999999" customHeight="1" x14ac:dyDescent="0.25">
      <c r="A457" s="51" t="s">
        <v>116</v>
      </c>
      <c r="B457" s="161">
        <v>50</v>
      </c>
      <c r="C457" s="161"/>
      <c r="D457" s="135" t="e">
        <f>#REF!</f>
        <v>#REF!</v>
      </c>
      <c r="E457" s="135"/>
      <c r="F457" s="136">
        <f t="shared" si="15"/>
        <v>1.1000000000000001</v>
      </c>
      <c r="G457" s="136"/>
      <c r="H457" s="186" t="e">
        <f>#REF!</f>
        <v>#REF!</v>
      </c>
      <c r="I457" s="186"/>
      <c r="J457" s="158">
        <f t="shared" si="16"/>
        <v>1.0625</v>
      </c>
      <c r="K457" s="159"/>
    </row>
    <row r="458" spans="1:11" ht="19.149999999999999" customHeight="1" x14ac:dyDescent="0.25">
      <c r="A458" s="51" t="s">
        <v>116</v>
      </c>
      <c r="B458" s="161">
        <v>100</v>
      </c>
      <c r="C458" s="161"/>
      <c r="D458" s="135" t="e">
        <f>#REF!</f>
        <v>#REF!</v>
      </c>
      <c r="E458" s="135"/>
      <c r="F458" s="136">
        <f t="shared" si="15"/>
        <v>1.1000000000000001</v>
      </c>
      <c r="G458" s="136"/>
      <c r="H458" s="186" t="e">
        <f>#REF!</f>
        <v>#REF!</v>
      </c>
      <c r="I458" s="186"/>
      <c r="J458" s="158">
        <f t="shared" si="16"/>
        <v>1.0625</v>
      </c>
      <c r="K458" s="159"/>
    </row>
    <row r="459" spans="1:11" ht="19.149999999999999" customHeight="1" x14ac:dyDescent="0.25">
      <c r="A459" s="51" t="s">
        <v>116</v>
      </c>
      <c r="B459" s="161">
        <v>150</v>
      </c>
      <c r="C459" s="161"/>
      <c r="D459" s="135" t="e">
        <f>#REF!</f>
        <v>#REF!</v>
      </c>
      <c r="E459" s="135"/>
      <c r="F459" s="136">
        <f t="shared" si="15"/>
        <v>1.1000000000000001</v>
      </c>
      <c r="G459" s="136"/>
      <c r="H459" s="186" t="e">
        <f>#REF!</f>
        <v>#REF!</v>
      </c>
      <c r="I459" s="186"/>
      <c r="J459" s="158">
        <f t="shared" si="16"/>
        <v>1.0625</v>
      </c>
      <c r="K459" s="159"/>
    </row>
    <row r="460" spans="1:11" ht="19.149999999999999" customHeight="1" x14ac:dyDescent="0.25">
      <c r="A460" s="51" t="s">
        <v>116</v>
      </c>
      <c r="B460" s="161">
        <v>200</v>
      </c>
      <c r="C460" s="161"/>
      <c r="D460" s="135" t="e">
        <f>#REF!</f>
        <v>#REF!</v>
      </c>
      <c r="E460" s="135"/>
      <c r="F460" s="136">
        <f t="shared" si="15"/>
        <v>1.1000000000000001</v>
      </c>
      <c r="G460" s="136"/>
      <c r="H460" s="186" t="e">
        <f>#REF!</f>
        <v>#REF!</v>
      </c>
      <c r="I460" s="186"/>
      <c r="J460" s="158">
        <f t="shared" si="16"/>
        <v>1.0625</v>
      </c>
      <c r="K460" s="159"/>
    </row>
    <row r="461" spans="1:11" ht="19.149999999999999" customHeight="1" x14ac:dyDescent="0.25">
      <c r="A461" s="51" t="s">
        <v>116</v>
      </c>
      <c r="B461" s="161">
        <v>250</v>
      </c>
      <c r="C461" s="161"/>
      <c r="D461" s="135" t="e">
        <f>#REF!</f>
        <v>#REF!</v>
      </c>
      <c r="E461" s="135"/>
      <c r="F461" s="136">
        <f t="shared" si="15"/>
        <v>1.1000000000000001</v>
      </c>
      <c r="G461" s="136"/>
      <c r="H461" s="186" t="e">
        <f>#REF!</f>
        <v>#REF!</v>
      </c>
      <c r="I461" s="186"/>
      <c r="J461" s="158">
        <f t="shared" si="16"/>
        <v>1.0625</v>
      </c>
      <c r="K461" s="159"/>
    </row>
    <row r="462" spans="1:11" ht="19.149999999999999" customHeight="1" x14ac:dyDescent="0.25">
      <c r="A462" s="51" t="s">
        <v>116</v>
      </c>
      <c r="B462" s="161">
        <v>300</v>
      </c>
      <c r="C462" s="161"/>
      <c r="D462" s="135" t="e">
        <f>#REF!</f>
        <v>#REF!</v>
      </c>
      <c r="E462" s="135"/>
      <c r="F462" s="136">
        <f t="shared" si="15"/>
        <v>1.1000000000000001</v>
      </c>
      <c r="G462" s="136"/>
      <c r="H462" s="186" t="e">
        <f>#REF!</f>
        <v>#REF!</v>
      </c>
      <c r="I462" s="186"/>
      <c r="J462" s="158">
        <f t="shared" si="16"/>
        <v>1.0625</v>
      </c>
      <c r="K462" s="159"/>
    </row>
    <row r="463" spans="1:11" ht="19.149999999999999" customHeight="1" x14ac:dyDescent="0.25">
      <c r="A463" s="51" t="s">
        <v>116</v>
      </c>
      <c r="B463" s="161">
        <v>350</v>
      </c>
      <c r="C463" s="161"/>
      <c r="D463" s="135" t="e">
        <f>#REF!</f>
        <v>#REF!</v>
      </c>
      <c r="E463" s="135"/>
      <c r="F463" s="136">
        <f t="shared" si="15"/>
        <v>1.1000000000000001</v>
      </c>
      <c r="G463" s="136"/>
      <c r="H463" s="186" t="e">
        <f>#REF!</f>
        <v>#REF!</v>
      </c>
      <c r="I463" s="186"/>
      <c r="J463" s="158">
        <f t="shared" si="16"/>
        <v>1.0625</v>
      </c>
      <c r="K463" s="159"/>
    </row>
    <row r="464" spans="1:11" ht="19.149999999999999" customHeight="1" x14ac:dyDescent="0.25">
      <c r="A464" s="51" t="s">
        <v>116</v>
      </c>
      <c r="B464" s="161">
        <v>400</v>
      </c>
      <c r="C464" s="161"/>
      <c r="D464" s="135" t="e">
        <f>#REF!</f>
        <v>#REF!</v>
      </c>
      <c r="E464" s="135"/>
      <c r="F464" s="136">
        <f t="shared" si="15"/>
        <v>1.1000000000000001</v>
      </c>
      <c r="G464" s="136"/>
      <c r="H464" s="186" t="e">
        <f>#REF!</f>
        <v>#REF!</v>
      </c>
      <c r="I464" s="186"/>
      <c r="J464" s="158">
        <f t="shared" si="16"/>
        <v>1.0625</v>
      </c>
      <c r="K464" s="159"/>
    </row>
    <row r="465" spans="1:11" ht="19.149999999999999" customHeight="1" x14ac:dyDescent="0.25">
      <c r="A465" s="51" t="s">
        <v>116</v>
      </c>
      <c r="B465" s="161">
        <v>425</v>
      </c>
      <c r="C465" s="161"/>
      <c r="D465" s="135" t="e">
        <f>#REF!</f>
        <v>#REF!</v>
      </c>
      <c r="E465" s="135"/>
      <c r="F465" s="136">
        <f t="shared" si="15"/>
        <v>1.1000000000000001</v>
      </c>
      <c r="G465" s="136"/>
      <c r="H465" s="186" t="e">
        <f>#REF!</f>
        <v>#REF!</v>
      </c>
      <c r="I465" s="186"/>
      <c r="J465" s="158">
        <f t="shared" si="16"/>
        <v>1.0625</v>
      </c>
      <c r="K465" s="159"/>
    </row>
    <row r="466" spans="1:11" ht="19.149999999999999" customHeight="1" x14ac:dyDescent="0.25">
      <c r="A466" s="64"/>
      <c r="B466" s="65"/>
      <c r="C466" s="65"/>
      <c r="D466" s="66"/>
      <c r="E466" s="66"/>
      <c r="F466" s="67"/>
      <c r="G466" s="67"/>
      <c r="H466" s="68"/>
      <c r="I466" s="68"/>
      <c r="J466" s="69"/>
      <c r="K466" s="69"/>
    </row>
    <row r="467" spans="1:11" x14ac:dyDescent="0.25">
      <c r="A467" s="5" t="s">
        <v>124</v>
      </c>
      <c r="B467" s="5"/>
      <c r="C467" s="5"/>
      <c r="D467" s="5" t="s">
        <v>308</v>
      </c>
      <c r="E467" s="5"/>
      <c r="F467" s="5"/>
      <c r="G467" s="5"/>
      <c r="H467" s="5"/>
      <c r="I467" s="5"/>
      <c r="J467" s="5"/>
      <c r="K467" s="5"/>
    </row>
    <row r="468" spans="1:11" x14ac:dyDescent="0.25">
      <c r="A468" s="28"/>
      <c r="B468" s="28"/>
      <c r="C468" s="28"/>
      <c r="D468" s="28"/>
      <c r="E468" s="28"/>
      <c r="F468" s="28"/>
      <c r="G468" s="28"/>
      <c r="H468" s="28"/>
      <c r="I468" s="28"/>
      <c r="J468" s="28"/>
      <c r="K468" s="28"/>
    </row>
    <row r="469" spans="1:11" x14ac:dyDescent="0.25">
      <c r="A469" s="70"/>
      <c r="B469" s="70"/>
      <c r="C469" s="70"/>
      <c r="D469" s="70"/>
      <c r="E469" s="70"/>
      <c r="F469" s="70"/>
      <c r="G469" s="70"/>
      <c r="H469" s="70"/>
      <c r="I469" s="70"/>
      <c r="J469" s="70"/>
      <c r="K469" s="70"/>
    </row>
    <row r="470" spans="1:11" x14ac:dyDescent="0.25">
      <c r="A470" s="70"/>
      <c r="B470" s="70"/>
      <c r="C470" s="70"/>
      <c r="D470" s="70"/>
      <c r="E470" s="70"/>
      <c r="F470" s="70"/>
      <c r="G470" s="70"/>
      <c r="H470" s="70"/>
      <c r="I470" s="70"/>
      <c r="J470" s="70"/>
      <c r="K470" s="70"/>
    </row>
    <row r="471" spans="1:11" x14ac:dyDescent="0.25">
      <c r="A471" s="70"/>
      <c r="B471" s="70"/>
      <c r="C471" s="70"/>
      <c r="D471" s="70"/>
      <c r="E471" s="70"/>
      <c r="F471" s="70"/>
      <c r="G471" s="70"/>
      <c r="H471" s="70"/>
      <c r="I471" s="70"/>
      <c r="J471" s="70"/>
      <c r="K471" s="70"/>
    </row>
    <row r="472" spans="1:11" x14ac:dyDescent="0.25">
      <c r="A472" s="70"/>
      <c r="B472" s="70"/>
      <c r="C472" s="70"/>
      <c r="D472" s="70"/>
      <c r="E472" s="70"/>
      <c r="F472" s="70"/>
      <c r="G472" s="70"/>
      <c r="H472" s="70"/>
      <c r="I472" s="70"/>
      <c r="J472" s="70"/>
      <c r="K472" s="70"/>
    </row>
    <row r="473" spans="1:11" x14ac:dyDescent="0.25">
      <c r="A473" s="70"/>
      <c r="B473" s="70"/>
      <c r="C473" s="70"/>
      <c r="D473" s="70"/>
      <c r="E473" s="70"/>
      <c r="F473" s="70"/>
      <c r="G473" s="70"/>
      <c r="H473" s="70"/>
      <c r="I473" s="70"/>
      <c r="J473" s="70"/>
      <c r="K473" s="70"/>
    </row>
    <row r="474" spans="1:11" x14ac:dyDescent="0.25">
      <c r="A474" s="70"/>
      <c r="B474" s="70"/>
      <c r="C474" s="70"/>
      <c r="D474" s="70"/>
      <c r="E474" s="70"/>
      <c r="F474" s="70"/>
      <c r="G474" s="70"/>
      <c r="H474" s="70"/>
      <c r="I474" s="70"/>
      <c r="J474" s="70"/>
      <c r="K474" s="70"/>
    </row>
    <row r="475" spans="1:11" x14ac:dyDescent="0.25">
      <c r="A475" s="70"/>
      <c r="B475" s="70"/>
      <c r="C475" s="70"/>
      <c r="D475" s="70"/>
      <c r="E475" s="70"/>
      <c r="F475" s="70"/>
      <c r="G475" s="70"/>
      <c r="H475" s="70"/>
      <c r="I475" s="70"/>
      <c r="J475" s="70"/>
      <c r="K475" s="70"/>
    </row>
    <row r="476" spans="1:11" x14ac:dyDescent="0.25">
      <c r="A476" s="70"/>
      <c r="B476" s="70"/>
      <c r="C476" s="70"/>
      <c r="D476" s="70"/>
      <c r="E476" s="70"/>
      <c r="F476" s="70"/>
      <c r="G476" s="70"/>
      <c r="H476" s="70"/>
      <c r="I476" s="70"/>
      <c r="J476" s="70"/>
      <c r="K476" s="70"/>
    </row>
    <row r="477" spans="1:11" x14ac:dyDescent="0.25">
      <c r="A477" s="70"/>
      <c r="B477" s="70"/>
      <c r="C477" s="70"/>
      <c r="D477" s="70"/>
      <c r="E477" s="70"/>
      <c r="F477" s="70"/>
      <c r="G477" s="70"/>
      <c r="H477" s="70"/>
      <c r="I477" s="70"/>
      <c r="J477" s="70"/>
      <c r="K477" s="70"/>
    </row>
    <row r="478" spans="1:11" x14ac:dyDescent="0.25">
      <c r="A478" s="70"/>
      <c r="B478" s="70"/>
      <c r="C478" s="70"/>
      <c r="D478" s="70"/>
      <c r="E478" s="70"/>
      <c r="F478" s="70"/>
      <c r="G478" s="70"/>
      <c r="H478" s="70"/>
      <c r="I478" s="70"/>
      <c r="J478" s="70"/>
      <c r="K478" s="70"/>
    </row>
    <row r="479" spans="1:11" x14ac:dyDescent="0.25">
      <c r="A479" s="70"/>
      <c r="B479" s="70"/>
      <c r="C479" s="70"/>
      <c r="D479" s="70"/>
      <c r="E479" s="70"/>
      <c r="F479" s="70"/>
      <c r="G479" s="70"/>
      <c r="H479" s="70"/>
      <c r="I479" s="70"/>
      <c r="J479" s="70"/>
      <c r="K479" s="70"/>
    </row>
    <row r="480" spans="1:11" x14ac:dyDescent="0.25">
      <c r="A480" s="70"/>
      <c r="B480" s="70"/>
      <c r="C480" s="70"/>
      <c r="D480" s="70"/>
      <c r="E480" s="70"/>
      <c r="F480" s="70"/>
      <c r="G480" s="70"/>
      <c r="H480" s="70"/>
      <c r="I480" s="70"/>
      <c r="J480" s="70"/>
      <c r="K480" s="70"/>
    </row>
    <row r="481" spans="1:11" x14ac:dyDescent="0.25">
      <c r="A481" s="70"/>
      <c r="B481" s="70"/>
      <c r="C481" s="70"/>
      <c r="D481" s="70"/>
      <c r="E481" s="70"/>
      <c r="F481" s="70"/>
      <c r="G481" s="70"/>
      <c r="H481" s="70"/>
      <c r="I481" s="70"/>
      <c r="J481" s="70"/>
      <c r="K481" s="70"/>
    </row>
    <row r="482" spans="1:11" x14ac:dyDescent="0.25">
      <c r="A482" s="70"/>
      <c r="B482" s="70"/>
      <c r="C482" s="70"/>
      <c r="D482" s="70"/>
      <c r="E482" s="70"/>
      <c r="F482" s="70"/>
      <c r="G482" s="70"/>
      <c r="H482" s="70"/>
      <c r="I482" s="70"/>
      <c r="J482" s="70"/>
      <c r="K482" s="70"/>
    </row>
    <row r="483" spans="1:11" x14ac:dyDescent="0.25">
      <c r="A483" s="70"/>
      <c r="B483" s="70"/>
      <c r="C483" s="70"/>
      <c r="D483" s="70"/>
      <c r="E483" s="70"/>
      <c r="F483" s="70"/>
      <c r="G483" s="70"/>
      <c r="H483" s="70"/>
      <c r="I483" s="70"/>
      <c r="J483" s="70"/>
      <c r="K483" s="70"/>
    </row>
    <row r="484" spans="1:11" x14ac:dyDescent="0.25">
      <c r="A484" s="70"/>
      <c r="B484" s="70"/>
      <c r="C484" s="70"/>
      <c r="D484" s="70"/>
      <c r="E484" s="70"/>
      <c r="F484" s="70"/>
      <c r="G484" s="70"/>
      <c r="H484" s="70"/>
      <c r="I484" s="70"/>
      <c r="J484" s="70"/>
      <c r="K484" s="70"/>
    </row>
    <row r="485" spans="1:11" x14ac:dyDescent="0.25">
      <c r="A485" s="70"/>
      <c r="B485" s="70"/>
      <c r="C485" s="70"/>
      <c r="D485" s="70"/>
      <c r="E485" s="70"/>
      <c r="F485" s="70"/>
      <c r="G485" s="70"/>
      <c r="H485" s="70"/>
      <c r="I485" s="70"/>
      <c r="J485" s="70"/>
      <c r="K485" s="70"/>
    </row>
    <row r="486" spans="1:11" x14ac:dyDescent="0.25">
      <c r="A486" s="70"/>
      <c r="B486" s="70"/>
      <c r="C486" s="70"/>
      <c r="D486" s="70"/>
      <c r="E486" s="70"/>
      <c r="F486" s="70"/>
      <c r="G486" s="70"/>
      <c r="H486" s="70"/>
      <c r="I486" s="70"/>
      <c r="J486" s="70"/>
      <c r="K486" s="70"/>
    </row>
    <row r="487" spans="1:11" x14ac:dyDescent="0.25">
      <c r="A487" s="70"/>
      <c r="B487" s="70"/>
      <c r="C487" s="70"/>
      <c r="D487" s="70"/>
      <c r="E487" s="70"/>
      <c r="F487" s="70"/>
      <c r="G487" s="70"/>
      <c r="H487" s="70"/>
      <c r="I487" s="70"/>
      <c r="J487" s="70"/>
      <c r="K487" s="70"/>
    </row>
    <row r="488" spans="1:11" x14ac:dyDescent="0.25">
      <c r="A488" s="70"/>
      <c r="B488" s="70"/>
      <c r="C488" s="70"/>
      <c r="D488" s="70"/>
      <c r="E488" s="70"/>
      <c r="F488" s="70"/>
      <c r="G488" s="70"/>
      <c r="H488" s="70"/>
      <c r="I488" s="70"/>
      <c r="J488" s="70"/>
      <c r="K488" s="70"/>
    </row>
    <row r="489" spans="1:11" x14ac:dyDescent="0.25">
      <c r="A489" s="107" t="s">
        <v>0</v>
      </c>
      <c r="B489" s="108"/>
      <c r="C489" s="108"/>
      <c r="D489" s="108"/>
      <c r="E489" s="108"/>
      <c r="F489" s="108"/>
      <c r="G489" s="109"/>
      <c r="H489" s="28"/>
      <c r="I489" s="116" t="s">
        <v>1</v>
      </c>
      <c r="J489" s="148" t="str">
        <f>$J$6</f>
        <v>04567</v>
      </c>
      <c r="K489" s="119"/>
    </row>
    <row r="490" spans="1:11" x14ac:dyDescent="0.25">
      <c r="A490" s="110"/>
      <c r="B490" s="111"/>
      <c r="C490" s="111"/>
      <c r="D490" s="111"/>
      <c r="E490" s="111"/>
      <c r="F490" s="111"/>
      <c r="G490" s="112"/>
      <c r="H490" s="28"/>
      <c r="I490" s="117"/>
      <c r="J490" s="120"/>
      <c r="K490" s="121"/>
    </row>
    <row r="491" spans="1:11" x14ac:dyDescent="0.25">
      <c r="A491" s="110"/>
      <c r="B491" s="111"/>
      <c r="C491" s="111"/>
      <c r="D491" s="111"/>
      <c r="E491" s="111"/>
      <c r="F491" s="111"/>
      <c r="G491" s="112"/>
      <c r="H491" s="28"/>
      <c r="I491" s="122" t="s">
        <v>319</v>
      </c>
      <c r="J491" s="123"/>
      <c r="K491" s="124"/>
    </row>
    <row r="492" spans="1:11" x14ac:dyDescent="0.25">
      <c r="A492" s="113"/>
      <c r="B492" s="114"/>
      <c r="C492" s="114"/>
      <c r="D492" s="114"/>
      <c r="E492" s="114"/>
      <c r="F492" s="114"/>
      <c r="G492" s="115"/>
      <c r="H492" s="28"/>
      <c r="I492" s="125"/>
      <c r="J492" s="126"/>
      <c r="K492" s="127"/>
    </row>
    <row r="493" spans="1:11" x14ac:dyDescent="0.25">
      <c r="A493" s="28"/>
      <c r="B493" s="28"/>
      <c r="C493" s="28"/>
      <c r="D493" s="28"/>
      <c r="E493" s="28"/>
      <c r="F493" s="28"/>
      <c r="G493" s="28"/>
      <c r="H493" s="28"/>
      <c r="I493" s="28"/>
      <c r="J493" s="28"/>
      <c r="K493" s="28"/>
    </row>
    <row r="494" spans="1:11" ht="15.75" x14ac:dyDescent="0.25">
      <c r="A494" s="101" t="s">
        <v>320</v>
      </c>
      <c r="B494" s="101"/>
      <c r="C494" s="101"/>
      <c r="D494" s="101"/>
      <c r="E494" s="101"/>
      <c r="F494" s="101"/>
      <c r="G494" s="101"/>
      <c r="H494" s="101"/>
      <c r="I494" s="101"/>
      <c r="J494" s="101"/>
      <c r="K494" s="101"/>
    </row>
    <row r="495" spans="1:11" x14ac:dyDescent="0.25">
      <c r="A495" s="102" t="s">
        <v>115</v>
      </c>
      <c r="B495" s="102"/>
      <c r="C495" s="28"/>
      <c r="D495" s="28"/>
      <c r="E495" s="28"/>
      <c r="F495" s="28"/>
      <c r="G495" s="28"/>
      <c r="H495" s="28"/>
      <c r="I495" s="28"/>
      <c r="J495" s="28"/>
      <c r="K495" s="28"/>
    </row>
    <row r="496" spans="1:11" x14ac:dyDescent="0.25">
      <c r="A496" s="28"/>
      <c r="B496" s="28"/>
      <c r="C496" s="28"/>
      <c r="D496" s="28"/>
      <c r="E496" s="28"/>
      <c r="F496" s="28"/>
      <c r="G496" s="28"/>
      <c r="H496" s="28"/>
      <c r="I496" s="28"/>
      <c r="J496" s="28"/>
      <c r="K496" s="28"/>
    </row>
    <row r="497" spans="1:11" ht="15" customHeight="1" x14ac:dyDescent="0.25">
      <c r="A497" s="157" t="s">
        <v>321</v>
      </c>
      <c r="B497" s="157"/>
      <c r="C497" s="157"/>
      <c r="D497" s="157"/>
      <c r="E497" s="157"/>
      <c r="F497" s="157"/>
      <c r="G497" s="157"/>
      <c r="H497" s="157"/>
      <c r="I497" s="157"/>
      <c r="J497" s="157"/>
      <c r="K497" s="157"/>
    </row>
    <row r="498" spans="1:11" x14ac:dyDescent="0.25">
      <c r="A498" s="157"/>
      <c r="B498" s="157"/>
      <c r="C498" s="157"/>
      <c r="D498" s="157"/>
      <c r="E498" s="157"/>
      <c r="F498" s="157"/>
      <c r="G498" s="157"/>
      <c r="H498" s="157"/>
      <c r="I498" s="157"/>
      <c r="J498" s="157"/>
      <c r="K498" s="157"/>
    </row>
    <row r="499" spans="1:11" x14ac:dyDescent="0.25">
      <c r="A499" s="157"/>
      <c r="B499" s="157"/>
      <c r="C499" s="157"/>
      <c r="D499" s="157"/>
      <c r="E499" s="157"/>
      <c r="F499" s="157"/>
      <c r="G499" s="157"/>
      <c r="H499" s="157"/>
      <c r="I499" s="157"/>
      <c r="J499" s="157"/>
      <c r="K499" s="157"/>
    </row>
    <row r="500" spans="1:11" x14ac:dyDescent="0.25">
      <c r="A500" s="157"/>
      <c r="B500" s="157"/>
      <c r="C500" s="157"/>
      <c r="D500" s="157"/>
      <c r="E500" s="157"/>
      <c r="F500" s="157"/>
      <c r="G500" s="157"/>
      <c r="H500" s="157"/>
      <c r="I500" s="157"/>
      <c r="J500" s="157"/>
      <c r="K500" s="157"/>
    </row>
    <row r="501" spans="1:11" x14ac:dyDescent="0.25">
      <c r="A501" s="54"/>
      <c r="B501" s="54"/>
      <c r="C501" s="54"/>
      <c r="D501" s="54"/>
      <c r="E501" s="54"/>
      <c r="F501" s="54"/>
      <c r="G501" s="54"/>
      <c r="H501" s="54"/>
      <c r="I501" s="54"/>
      <c r="J501" s="54"/>
      <c r="K501" s="54"/>
    </row>
    <row r="502" spans="1:11" x14ac:dyDescent="0.25">
      <c r="A502" s="28"/>
      <c r="B502" s="28"/>
      <c r="C502" s="28"/>
      <c r="D502" s="28"/>
      <c r="E502" s="28"/>
      <c r="F502" s="28"/>
      <c r="G502" s="28"/>
      <c r="H502" s="28"/>
      <c r="I502" s="28"/>
      <c r="J502" s="28"/>
      <c r="K502" s="28"/>
    </row>
    <row r="503" spans="1:11" ht="27" customHeight="1" x14ac:dyDescent="0.25">
      <c r="A503" s="160" t="s">
        <v>12</v>
      </c>
      <c r="B503" s="160"/>
      <c r="C503" s="160" t="s">
        <v>152</v>
      </c>
      <c r="D503" s="160"/>
      <c r="E503" s="160"/>
      <c r="F503" s="160" t="s">
        <v>151</v>
      </c>
      <c r="G503" s="160"/>
      <c r="H503" s="160"/>
      <c r="I503" s="160" t="s">
        <v>150</v>
      </c>
      <c r="J503" s="160"/>
      <c r="K503" s="160"/>
    </row>
    <row r="504" spans="1:11" ht="19.149999999999999" customHeight="1" x14ac:dyDescent="0.25">
      <c r="A504" s="160"/>
      <c r="B504" s="160"/>
      <c r="C504" s="160" t="s">
        <v>153</v>
      </c>
      <c r="D504" s="160"/>
      <c r="E504" s="160"/>
      <c r="F504" s="160" t="s">
        <v>153</v>
      </c>
      <c r="G504" s="160"/>
      <c r="H504" s="160"/>
      <c r="I504" s="160" t="s">
        <v>154</v>
      </c>
      <c r="J504" s="160"/>
      <c r="K504" s="160"/>
    </row>
    <row r="505" spans="1:11" ht="19.149999999999999" customHeight="1" x14ac:dyDescent="0.25">
      <c r="A505" s="170" t="s">
        <v>116</v>
      </c>
      <c r="B505" s="170"/>
      <c r="C505" s="169" t="e">
        <f>VLOOKUP($D$28,AFX!A:AB,20,0)</f>
        <v>#N/A</v>
      </c>
      <c r="D505" s="169"/>
      <c r="E505" s="169"/>
      <c r="F505" s="170"/>
      <c r="G505" s="170"/>
      <c r="H505" s="170"/>
      <c r="I505" s="171" t="e">
        <f>0.5/100*VLOOKUP('3 Ph AFX'!$D$28,AFX!A:Q,17,0)</f>
        <v>#N/A</v>
      </c>
      <c r="J505" s="172"/>
      <c r="K505" s="173"/>
    </row>
    <row r="506" spans="1:11" ht="19.149999999999999" customHeight="1" x14ac:dyDescent="0.25">
      <c r="A506" s="170" t="s">
        <v>117</v>
      </c>
      <c r="B506" s="170"/>
      <c r="C506" s="169" t="e">
        <f>VLOOKUP($D$28,AFX!A:AB,20,0)</f>
        <v>#N/A</v>
      </c>
      <c r="D506" s="169"/>
      <c r="E506" s="169"/>
      <c r="F506" s="170"/>
      <c r="G506" s="170"/>
      <c r="H506" s="170"/>
      <c r="I506" s="171" t="e">
        <f>0.5/100*VLOOKUP('3 Ph AFX'!$D$28,AFX!A:Q,17,0)</f>
        <v>#N/A</v>
      </c>
      <c r="J506" s="172"/>
      <c r="K506" s="173"/>
    </row>
    <row r="507" spans="1:11" ht="19.149999999999999" customHeight="1" x14ac:dyDescent="0.25">
      <c r="A507" s="170" t="s">
        <v>118</v>
      </c>
      <c r="B507" s="170"/>
      <c r="C507" s="169" t="e">
        <f>VLOOKUP($D$28,AFX!A:AB,20,0)</f>
        <v>#N/A</v>
      </c>
      <c r="D507" s="169"/>
      <c r="E507" s="169"/>
      <c r="F507" s="170"/>
      <c r="G507" s="170"/>
      <c r="H507" s="170"/>
      <c r="I507" s="171" t="e">
        <f>0.5/100*VLOOKUP('3 Ph AFX'!$D$28,AFX!A:Q,17,0)</f>
        <v>#N/A</v>
      </c>
      <c r="J507" s="172"/>
      <c r="K507" s="173"/>
    </row>
    <row r="508" spans="1:11" ht="19.149999999999999" customHeight="1" x14ac:dyDescent="0.25">
      <c r="A508" s="170" t="s">
        <v>116</v>
      </c>
      <c r="B508" s="170"/>
      <c r="C508" s="169" t="e">
        <f>VLOOKUP($D$28,AFX!A:AB,21,0)</f>
        <v>#N/A</v>
      </c>
      <c r="D508" s="169"/>
      <c r="E508" s="169"/>
      <c r="F508" s="170"/>
      <c r="G508" s="170"/>
      <c r="H508" s="170"/>
      <c r="I508" s="171" t="e">
        <f>0.5/100*VLOOKUP('3 Ph AFX'!$D$28,AFX!A:Q,17,0)</f>
        <v>#N/A</v>
      </c>
      <c r="J508" s="172"/>
      <c r="K508" s="173"/>
    </row>
    <row r="509" spans="1:11" ht="19.149999999999999" customHeight="1" x14ac:dyDescent="0.25">
      <c r="A509" s="170" t="s">
        <v>117</v>
      </c>
      <c r="B509" s="170"/>
      <c r="C509" s="169" t="e">
        <f>VLOOKUP($D$28,AFX!A:AB,21,0)</f>
        <v>#N/A</v>
      </c>
      <c r="D509" s="169"/>
      <c r="E509" s="169"/>
      <c r="F509" s="170"/>
      <c r="G509" s="170"/>
      <c r="H509" s="170"/>
      <c r="I509" s="171" t="e">
        <f>0.5/100*VLOOKUP('3 Ph AFX'!$D$28,AFX!A:Q,17,0)</f>
        <v>#N/A</v>
      </c>
      <c r="J509" s="172"/>
      <c r="K509" s="173"/>
    </row>
    <row r="510" spans="1:11" ht="19.149999999999999" customHeight="1" x14ac:dyDescent="0.25">
      <c r="A510" s="170" t="s">
        <v>118</v>
      </c>
      <c r="B510" s="170"/>
      <c r="C510" s="169" t="e">
        <f>VLOOKUP($D$28,AFX!A:AB,21,0)</f>
        <v>#N/A</v>
      </c>
      <c r="D510" s="169"/>
      <c r="E510" s="169"/>
      <c r="F510" s="170"/>
      <c r="G510" s="170"/>
      <c r="H510" s="170"/>
      <c r="I510" s="171" t="e">
        <f>0.5/100*VLOOKUP('3 Ph AFX'!$D$28,AFX!A:Q,17,0)</f>
        <v>#N/A</v>
      </c>
      <c r="J510" s="172"/>
      <c r="K510" s="173"/>
    </row>
    <row r="511" spans="1:11" ht="19.149999999999999" customHeight="1" x14ac:dyDescent="0.25">
      <c r="A511" s="170" t="s">
        <v>116</v>
      </c>
      <c r="B511" s="170"/>
      <c r="C511" s="169" t="e">
        <f>VLOOKUP($D$28,AFX!A:AB,22,0)</f>
        <v>#N/A</v>
      </c>
      <c r="D511" s="169"/>
      <c r="E511" s="169"/>
      <c r="F511" s="170"/>
      <c r="G511" s="170"/>
      <c r="H511" s="170"/>
      <c r="I511" s="171" t="e">
        <f>0.5/100*VLOOKUP('3 Ph AFX'!$D$28,AFX!A:Q,17,0)</f>
        <v>#N/A</v>
      </c>
      <c r="J511" s="172"/>
      <c r="K511" s="173"/>
    </row>
    <row r="512" spans="1:11" ht="19.149999999999999" customHeight="1" x14ac:dyDescent="0.25">
      <c r="A512" s="170" t="s">
        <v>117</v>
      </c>
      <c r="B512" s="170"/>
      <c r="C512" s="169" t="e">
        <f>VLOOKUP($D$28,AFX!A:AB,22,0)</f>
        <v>#N/A</v>
      </c>
      <c r="D512" s="169"/>
      <c r="E512" s="169"/>
      <c r="F512" s="170"/>
      <c r="G512" s="170"/>
      <c r="H512" s="170"/>
      <c r="I512" s="171" t="e">
        <f>0.5/100*VLOOKUP('3 Ph AFX'!$D$28,AFX!A:Q,17,0)</f>
        <v>#N/A</v>
      </c>
      <c r="J512" s="172"/>
      <c r="K512" s="173"/>
    </row>
    <row r="513" spans="1:11" ht="19.149999999999999" customHeight="1" x14ac:dyDescent="0.25">
      <c r="A513" s="170" t="s">
        <v>118</v>
      </c>
      <c r="B513" s="170"/>
      <c r="C513" s="169" t="e">
        <f>VLOOKUP($D$28,AFX!A:AB,22,0)</f>
        <v>#N/A</v>
      </c>
      <c r="D513" s="169"/>
      <c r="E513" s="169"/>
      <c r="F513" s="170"/>
      <c r="G513" s="170"/>
      <c r="H513" s="170"/>
      <c r="I513" s="171" t="e">
        <f>0.5/100*VLOOKUP('3 Ph AFX'!$D$28,AFX!A:Q,17,0)</f>
        <v>#N/A</v>
      </c>
      <c r="J513" s="172"/>
      <c r="K513" s="173"/>
    </row>
    <row r="514" spans="1:11" ht="19.149999999999999" customHeight="1" x14ac:dyDescent="0.25">
      <c r="A514" s="170" t="s">
        <v>116</v>
      </c>
      <c r="B514" s="170"/>
      <c r="C514" s="169" t="e">
        <f>VLOOKUP($D$28,AFX!A:AB,23,0)</f>
        <v>#N/A</v>
      </c>
      <c r="D514" s="169"/>
      <c r="E514" s="169"/>
      <c r="F514" s="170"/>
      <c r="G514" s="170"/>
      <c r="H514" s="170"/>
      <c r="I514" s="171" t="e">
        <f>0.5/100*VLOOKUP('3 Ph AFX'!$D$28,AFX!A:Q,17,0)</f>
        <v>#N/A</v>
      </c>
      <c r="J514" s="172"/>
      <c r="K514" s="173"/>
    </row>
    <row r="515" spans="1:11" ht="19.149999999999999" customHeight="1" x14ac:dyDescent="0.25">
      <c r="A515" s="170" t="s">
        <v>117</v>
      </c>
      <c r="B515" s="170"/>
      <c r="C515" s="169" t="e">
        <f>VLOOKUP($D$28,AFX!A:AB,23,0)</f>
        <v>#N/A</v>
      </c>
      <c r="D515" s="169"/>
      <c r="E515" s="169"/>
      <c r="F515" s="170"/>
      <c r="G515" s="170"/>
      <c r="H515" s="170"/>
      <c r="I515" s="171" t="e">
        <f>0.5/100*VLOOKUP('3 Ph AFX'!$D$28,AFX!A:Q,17,0)</f>
        <v>#N/A</v>
      </c>
      <c r="J515" s="172"/>
      <c r="K515" s="173"/>
    </row>
    <row r="516" spans="1:11" ht="19.149999999999999" customHeight="1" x14ac:dyDescent="0.25">
      <c r="A516" s="170" t="s">
        <v>118</v>
      </c>
      <c r="B516" s="170"/>
      <c r="C516" s="169" t="e">
        <f>VLOOKUP($D$28,AFX!A:AB,23,0)</f>
        <v>#N/A</v>
      </c>
      <c r="D516" s="169"/>
      <c r="E516" s="169"/>
      <c r="F516" s="170"/>
      <c r="G516" s="170"/>
      <c r="H516" s="170"/>
      <c r="I516" s="171" t="e">
        <f>0.5/100*VLOOKUP('3 Ph AFX'!$D$28,AFX!A:Q,17,0)</f>
        <v>#N/A</v>
      </c>
      <c r="J516" s="172"/>
      <c r="K516" s="173"/>
    </row>
    <row r="517" spans="1:11" ht="19.149999999999999" customHeight="1" x14ac:dyDescent="0.25">
      <c r="A517" s="170" t="s">
        <v>116</v>
      </c>
      <c r="B517" s="170"/>
      <c r="C517" s="169" t="e">
        <f>VLOOKUP($D$28,AFX!A:AB,24,0)</f>
        <v>#N/A</v>
      </c>
      <c r="D517" s="169"/>
      <c r="E517" s="169"/>
      <c r="F517" s="170"/>
      <c r="G517" s="170"/>
      <c r="H517" s="170"/>
      <c r="I517" s="171" t="e">
        <f>0.5/100*VLOOKUP('3 Ph AFX'!$D$28,AFX!A:Q,17,0)</f>
        <v>#N/A</v>
      </c>
      <c r="J517" s="172"/>
      <c r="K517" s="173"/>
    </row>
    <row r="518" spans="1:11" ht="19.149999999999999" customHeight="1" x14ac:dyDescent="0.25">
      <c r="A518" s="170" t="s">
        <v>117</v>
      </c>
      <c r="B518" s="170"/>
      <c r="C518" s="169" t="e">
        <f>VLOOKUP($D$28,AFX!A:AB,24,0)</f>
        <v>#N/A</v>
      </c>
      <c r="D518" s="169"/>
      <c r="E518" s="169"/>
      <c r="F518" s="170"/>
      <c r="G518" s="170"/>
      <c r="H518" s="170"/>
      <c r="I518" s="171" t="e">
        <f>0.5/100*VLOOKUP('3 Ph AFX'!$D$28,AFX!A:Q,17,0)</f>
        <v>#N/A</v>
      </c>
      <c r="J518" s="172"/>
      <c r="K518" s="173"/>
    </row>
    <row r="519" spans="1:11" ht="19.149999999999999" customHeight="1" x14ac:dyDescent="0.25">
      <c r="A519" s="170" t="s">
        <v>118</v>
      </c>
      <c r="B519" s="170"/>
      <c r="C519" s="169" t="e">
        <f>VLOOKUP($D$28,AFX!A:AB,24,0)</f>
        <v>#N/A</v>
      </c>
      <c r="D519" s="169"/>
      <c r="E519" s="169"/>
      <c r="F519" s="170"/>
      <c r="G519" s="170"/>
      <c r="H519" s="170"/>
      <c r="I519" s="171" t="e">
        <f>0.5/100*VLOOKUP('3 Ph AFX'!$D$28,AFX!A:Q,17,0)</f>
        <v>#N/A</v>
      </c>
      <c r="J519" s="172"/>
      <c r="K519" s="173"/>
    </row>
    <row r="520" spans="1:11" ht="19.149999999999999" customHeight="1" x14ac:dyDescent="0.25">
      <c r="A520" s="170" t="s">
        <v>116</v>
      </c>
      <c r="B520" s="170"/>
      <c r="C520" s="169" t="e">
        <f>VLOOKUP($D$28,AFX!A:AB,25,0)</f>
        <v>#N/A</v>
      </c>
      <c r="D520" s="169"/>
      <c r="E520" s="169"/>
      <c r="F520" s="170"/>
      <c r="G520" s="170"/>
      <c r="H520" s="170"/>
      <c r="I520" s="171" t="e">
        <f>0.5/100*VLOOKUP('3 Ph AFX'!$D$28,AFX!A:Q,17,0)</f>
        <v>#N/A</v>
      </c>
      <c r="J520" s="172"/>
      <c r="K520" s="173"/>
    </row>
    <row r="521" spans="1:11" ht="19.149999999999999" customHeight="1" x14ac:dyDescent="0.25">
      <c r="A521" s="170" t="s">
        <v>117</v>
      </c>
      <c r="B521" s="170"/>
      <c r="C521" s="169" t="e">
        <f>VLOOKUP($D$28,AFX!A:AB,25,0)</f>
        <v>#N/A</v>
      </c>
      <c r="D521" s="169"/>
      <c r="E521" s="169"/>
      <c r="F521" s="170"/>
      <c r="G521" s="170"/>
      <c r="H521" s="170"/>
      <c r="I521" s="171" t="e">
        <f>0.5/100*VLOOKUP('3 Ph AFX'!$D$28,AFX!A:Q,17,0)</f>
        <v>#N/A</v>
      </c>
      <c r="J521" s="172"/>
      <c r="K521" s="173"/>
    </row>
    <row r="522" spans="1:11" ht="19.149999999999999" customHeight="1" x14ac:dyDescent="0.25">
      <c r="A522" s="170" t="s">
        <v>118</v>
      </c>
      <c r="B522" s="170"/>
      <c r="C522" s="169" t="e">
        <f>VLOOKUP($D$28,AFX!A:AB,25,0)</f>
        <v>#N/A</v>
      </c>
      <c r="D522" s="169"/>
      <c r="E522" s="169"/>
      <c r="F522" s="170"/>
      <c r="G522" s="170"/>
      <c r="H522" s="170"/>
      <c r="I522" s="171" t="e">
        <f>0.5/100*VLOOKUP('3 Ph AFX'!$D$28,AFX!A:Q,17,0)</f>
        <v>#N/A</v>
      </c>
      <c r="J522" s="172"/>
      <c r="K522" s="173"/>
    </row>
    <row r="523" spans="1:11" x14ac:dyDescent="0.25">
      <c r="A523" s="28"/>
      <c r="B523" s="28"/>
      <c r="C523" s="28"/>
      <c r="D523" s="28"/>
      <c r="E523" s="28"/>
      <c r="F523" s="28"/>
      <c r="G523" s="28"/>
      <c r="H523" s="28"/>
      <c r="I523" s="28"/>
      <c r="J523" s="28"/>
      <c r="K523" s="28"/>
    </row>
    <row r="524" spans="1:11" ht="15.75" x14ac:dyDescent="0.25">
      <c r="A524" s="101" t="s">
        <v>155</v>
      </c>
      <c r="B524" s="101"/>
      <c r="C524" s="101"/>
      <c r="D524" s="101"/>
      <c r="E524" s="101"/>
      <c r="F524" s="101"/>
      <c r="G524" s="101"/>
      <c r="H524" s="101"/>
      <c r="I524" s="101"/>
      <c r="J524" s="101"/>
      <c r="K524" s="101"/>
    </row>
    <row r="525" spans="1:11" x14ac:dyDescent="0.25">
      <c r="A525" s="28"/>
      <c r="B525" s="28"/>
      <c r="C525" s="28"/>
      <c r="D525" s="28"/>
      <c r="E525" s="28"/>
      <c r="F525" s="28"/>
      <c r="G525" s="28"/>
      <c r="H525" s="28"/>
      <c r="I525" s="28"/>
      <c r="J525" s="28"/>
      <c r="K525" s="28"/>
    </row>
    <row r="526" spans="1:11" ht="14.45" customHeight="1" x14ac:dyDescent="0.25">
      <c r="A526" s="160" t="s">
        <v>12</v>
      </c>
      <c r="B526" s="160"/>
      <c r="C526" s="160" t="s">
        <v>152</v>
      </c>
      <c r="D526" s="160"/>
      <c r="E526" s="160"/>
      <c r="F526" s="160" t="s">
        <v>151</v>
      </c>
      <c r="G526" s="160"/>
      <c r="H526" s="160"/>
      <c r="I526" s="160" t="s">
        <v>150</v>
      </c>
      <c r="J526" s="160"/>
      <c r="K526" s="160"/>
    </row>
    <row r="527" spans="1:11" x14ac:dyDescent="0.25">
      <c r="A527" s="160"/>
      <c r="B527" s="160"/>
      <c r="C527" s="160" t="s">
        <v>153</v>
      </c>
      <c r="D527" s="160"/>
      <c r="E527" s="160"/>
      <c r="F527" s="160" t="s">
        <v>153</v>
      </c>
      <c r="G527" s="160"/>
      <c r="H527" s="160"/>
      <c r="I527" s="160" t="s">
        <v>154</v>
      </c>
      <c r="J527" s="160"/>
      <c r="K527" s="160"/>
    </row>
    <row r="528" spans="1:11" x14ac:dyDescent="0.25">
      <c r="A528" s="170" t="s">
        <v>116</v>
      </c>
      <c r="B528" s="170"/>
      <c r="C528" s="169" t="e">
        <f>VLOOKUP($D$28,AFX!A:AB,19,0)</f>
        <v>#N/A</v>
      </c>
      <c r="D528" s="169"/>
      <c r="E528" s="169"/>
      <c r="F528" s="170"/>
      <c r="G528" s="170"/>
      <c r="H528" s="170"/>
      <c r="I528" s="171" t="e">
        <f>0.5/100*VLOOKUP('3 Ph AFX'!$D$28,AFX!A:Z,18,0)</f>
        <v>#N/A</v>
      </c>
      <c r="J528" s="172"/>
      <c r="K528" s="173"/>
    </row>
    <row r="529" spans="1:11" x14ac:dyDescent="0.25">
      <c r="A529" s="28"/>
      <c r="B529" s="28"/>
      <c r="C529" s="28"/>
      <c r="D529" s="28"/>
      <c r="E529" s="28"/>
      <c r="F529" s="28"/>
      <c r="G529" s="28"/>
      <c r="H529" s="28"/>
      <c r="I529" s="28"/>
      <c r="J529" s="28"/>
      <c r="K529" s="28"/>
    </row>
    <row r="530" spans="1:11" ht="15.75" x14ac:dyDescent="0.25">
      <c r="A530" s="8" t="s">
        <v>124</v>
      </c>
      <c r="B530" s="28"/>
      <c r="C530" s="28" t="s">
        <v>322</v>
      </c>
      <c r="D530" s="28"/>
      <c r="E530" s="28"/>
      <c r="F530" s="28"/>
      <c r="G530" s="28"/>
      <c r="H530" s="28"/>
      <c r="I530" s="28"/>
      <c r="J530" s="28"/>
      <c r="K530" s="28"/>
    </row>
    <row r="531" spans="1:11" x14ac:dyDescent="0.25">
      <c r="A531" s="28"/>
      <c r="B531" s="28"/>
      <c r="C531" s="28"/>
      <c r="D531" s="28"/>
      <c r="E531" s="28" t="s">
        <v>323</v>
      </c>
      <c r="F531" s="28"/>
      <c r="G531" s="28"/>
      <c r="H531" s="28"/>
      <c r="I531" s="28"/>
      <c r="J531" s="28"/>
      <c r="K531" s="28"/>
    </row>
    <row r="532" spans="1:11" x14ac:dyDescent="0.25">
      <c r="A532" s="28"/>
      <c r="B532" s="28"/>
      <c r="C532" s="28"/>
      <c r="D532" s="28"/>
      <c r="E532" s="28"/>
      <c r="F532" s="28"/>
      <c r="G532" s="28"/>
      <c r="H532" s="28"/>
      <c r="I532" s="28"/>
      <c r="J532" s="28"/>
      <c r="K532" s="28"/>
    </row>
    <row r="533" spans="1:11" x14ac:dyDescent="0.25">
      <c r="A533" s="28"/>
      <c r="B533" s="28"/>
      <c r="C533" s="28"/>
      <c r="D533" s="28"/>
      <c r="E533" s="28"/>
      <c r="F533" s="28"/>
      <c r="G533" s="28"/>
      <c r="H533" s="28"/>
      <c r="I533" s="28"/>
      <c r="J533" s="28"/>
      <c r="K533" s="28"/>
    </row>
    <row r="534" spans="1:11" x14ac:dyDescent="0.25">
      <c r="A534" s="28"/>
      <c r="B534" s="28"/>
      <c r="C534" s="28"/>
      <c r="D534" s="28"/>
      <c r="E534" s="28"/>
      <c r="F534" s="28"/>
      <c r="G534" s="28"/>
      <c r="H534" s="28"/>
      <c r="I534" s="28"/>
      <c r="J534" s="28"/>
      <c r="K534" s="28"/>
    </row>
    <row r="535" spans="1:11" x14ac:dyDescent="0.25">
      <c r="A535" s="28"/>
      <c r="B535" s="28"/>
      <c r="C535" s="28"/>
      <c r="D535" s="28"/>
      <c r="E535" s="28"/>
      <c r="F535" s="28"/>
      <c r="G535" s="28"/>
      <c r="H535" s="28"/>
      <c r="I535" s="28"/>
      <c r="J535" s="28"/>
      <c r="K535" s="28"/>
    </row>
    <row r="536" spans="1:11" x14ac:dyDescent="0.25">
      <c r="A536" s="153" t="s">
        <v>158</v>
      </c>
      <c r="B536" s="153"/>
      <c r="C536" s="153"/>
      <c r="D536" s="153"/>
      <c r="E536" s="153"/>
      <c r="F536" s="153"/>
      <c r="G536" s="153"/>
      <c r="H536" s="153"/>
      <c r="I536" s="153"/>
      <c r="J536" s="153"/>
      <c r="K536" s="153"/>
    </row>
  </sheetData>
  <mergeCells count="1068">
    <mergeCell ref="B92:C92"/>
    <mergeCell ref="B93:C93"/>
    <mergeCell ref="B94:C94"/>
    <mergeCell ref="B95:C95"/>
    <mergeCell ref="B96:C96"/>
    <mergeCell ref="B97:C97"/>
    <mergeCell ref="B86:C86"/>
    <mergeCell ref="B87:C87"/>
    <mergeCell ref="B88:C88"/>
    <mergeCell ref="B89:C89"/>
    <mergeCell ref="B90:C90"/>
    <mergeCell ref="B91:C91"/>
    <mergeCell ref="B176:C176"/>
    <mergeCell ref="D176:E176"/>
    <mergeCell ref="F176:G176"/>
    <mergeCell ref="B172:C172"/>
    <mergeCell ref="D172:E172"/>
    <mergeCell ref="F172:G172"/>
    <mergeCell ref="A163:K167"/>
    <mergeCell ref="B169:C169"/>
    <mergeCell ref="D169:E169"/>
    <mergeCell ref="F169:G169"/>
    <mergeCell ref="H169:I169"/>
    <mergeCell ref="B118:C118"/>
    <mergeCell ref="B99:C99"/>
    <mergeCell ref="B100:C100"/>
    <mergeCell ref="B124:C124"/>
    <mergeCell ref="H176:I176"/>
    <mergeCell ref="J176:K176"/>
    <mergeCell ref="B170:C170"/>
    <mergeCell ref="D170:E170"/>
    <mergeCell ref="F170:G170"/>
    <mergeCell ref="A536:K536"/>
    <mergeCell ref="F521:H521"/>
    <mergeCell ref="I521:K521"/>
    <mergeCell ref="A518:B518"/>
    <mergeCell ref="C518:E518"/>
    <mergeCell ref="F518:H518"/>
    <mergeCell ref="I518:K518"/>
    <mergeCell ref="A519:B519"/>
    <mergeCell ref="C519:E519"/>
    <mergeCell ref="F519:H519"/>
    <mergeCell ref="I519:K519"/>
    <mergeCell ref="A516:B516"/>
    <mergeCell ref="C516:E516"/>
    <mergeCell ref="F516:H516"/>
    <mergeCell ref="I516:K516"/>
    <mergeCell ref="A517:B517"/>
    <mergeCell ref="B125:C125"/>
    <mergeCell ref="B126:C126"/>
    <mergeCell ref="B216:C216"/>
    <mergeCell ref="D216:E216"/>
    <mergeCell ref="F216:G216"/>
    <mergeCell ref="B180:C180"/>
    <mergeCell ref="D180:E180"/>
    <mergeCell ref="F180:G180"/>
    <mergeCell ref="C517:E517"/>
    <mergeCell ref="F517:H517"/>
    <mergeCell ref="I517:K517"/>
    <mergeCell ref="A514:B514"/>
    <mergeCell ref="C514:E514"/>
    <mergeCell ref="F514:H514"/>
    <mergeCell ref="I514:K514"/>
    <mergeCell ref="A515:B515"/>
    <mergeCell ref="B80:C80"/>
    <mergeCell ref="B81:C81"/>
    <mergeCell ref="B82:C82"/>
    <mergeCell ref="B83:C83"/>
    <mergeCell ref="B84:C84"/>
    <mergeCell ref="B85:C85"/>
    <mergeCell ref="A527:B527"/>
    <mergeCell ref="C527:E527"/>
    <mergeCell ref="F527:H527"/>
    <mergeCell ref="I527:K527"/>
    <mergeCell ref="A528:B528"/>
    <mergeCell ref="C528:E528"/>
    <mergeCell ref="F528:H528"/>
    <mergeCell ref="I528:K528"/>
    <mergeCell ref="A522:B522"/>
    <mergeCell ref="C522:E522"/>
    <mergeCell ref="F522:H522"/>
    <mergeCell ref="I522:K522"/>
    <mergeCell ref="A524:K524"/>
    <mergeCell ref="A526:B526"/>
    <mergeCell ref="C526:E526"/>
    <mergeCell ref="F526:H526"/>
    <mergeCell ref="I526:K526"/>
    <mergeCell ref="A520:B520"/>
    <mergeCell ref="C520:E520"/>
    <mergeCell ref="F520:H520"/>
    <mergeCell ref="I520:K520"/>
    <mergeCell ref="A521:B521"/>
    <mergeCell ref="C521:E521"/>
    <mergeCell ref="F90:G90"/>
    <mergeCell ref="F91:G91"/>
    <mergeCell ref="F92:G92"/>
    <mergeCell ref="C515:E515"/>
    <mergeCell ref="F515:H515"/>
    <mergeCell ref="I515:K515"/>
    <mergeCell ref="A512:B512"/>
    <mergeCell ref="C512:E512"/>
    <mergeCell ref="F512:H512"/>
    <mergeCell ref="I512:K512"/>
    <mergeCell ref="A513:B513"/>
    <mergeCell ref="C513:E513"/>
    <mergeCell ref="F513:H513"/>
    <mergeCell ref="I513:K513"/>
    <mergeCell ref="A510:B510"/>
    <mergeCell ref="C510:E510"/>
    <mergeCell ref="F510:H510"/>
    <mergeCell ref="I510:K510"/>
    <mergeCell ref="A511:B511"/>
    <mergeCell ref="C511:E511"/>
    <mergeCell ref="F511:H511"/>
    <mergeCell ref="I511:K511"/>
    <mergeCell ref="A508:B508"/>
    <mergeCell ref="C508:E508"/>
    <mergeCell ref="F508:H508"/>
    <mergeCell ref="I508:K508"/>
    <mergeCell ref="A509:B509"/>
    <mergeCell ref="C509:E509"/>
    <mergeCell ref="F509:H509"/>
    <mergeCell ref="I509:K509"/>
    <mergeCell ref="A506:B506"/>
    <mergeCell ref="C506:E506"/>
    <mergeCell ref="F506:H506"/>
    <mergeCell ref="I506:K506"/>
    <mergeCell ref="A507:B507"/>
    <mergeCell ref="C507:E507"/>
    <mergeCell ref="F507:H507"/>
    <mergeCell ref="I507:K507"/>
    <mergeCell ref="A504:B504"/>
    <mergeCell ref="C504:E504"/>
    <mergeCell ref="F504:H504"/>
    <mergeCell ref="I504:K504"/>
    <mergeCell ref="A505:B505"/>
    <mergeCell ref="C505:E505"/>
    <mergeCell ref="F505:H505"/>
    <mergeCell ref="I505:K505"/>
    <mergeCell ref="A494:K494"/>
    <mergeCell ref="A495:B495"/>
    <mergeCell ref="A497:K500"/>
    <mergeCell ref="A503:B503"/>
    <mergeCell ref="C503:E503"/>
    <mergeCell ref="F503:H503"/>
    <mergeCell ref="I503:K503"/>
    <mergeCell ref="B465:C465"/>
    <mergeCell ref="D465:E465"/>
    <mergeCell ref="F465:G465"/>
    <mergeCell ref="H465:I465"/>
    <mergeCell ref="J465:K465"/>
    <mergeCell ref="A489:G492"/>
    <mergeCell ref="I489:I490"/>
    <mergeCell ref="J489:K490"/>
    <mergeCell ref="I491:K492"/>
    <mergeCell ref="B463:C463"/>
    <mergeCell ref="D463:E463"/>
    <mergeCell ref="F463:G463"/>
    <mergeCell ref="H463:I463"/>
    <mergeCell ref="J463:K463"/>
    <mergeCell ref="B464:C464"/>
    <mergeCell ref="D464:E464"/>
    <mergeCell ref="F464:G464"/>
    <mergeCell ref="H464:I464"/>
    <mergeCell ref="J464:K464"/>
    <mergeCell ref="B461:C461"/>
    <mergeCell ref="D461:E461"/>
    <mergeCell ref="F461:G461"/>
    <mergeCell ref="H461:I461"/>
    <mergeCell ref="J461:K461"/>
    <mergeCell ref="B462:C462"/>
    <mergeCell ref="D462:E462"/>
    <mergeCell ref="F462:G462"/>
    <mergeCell ref="H462:I462"/>
    <mergeCell ref="J462:K462"/>
    <mergeCell ref="B459:C459"/>
    <mergeCell ref="D459:E459"/>
    <mergeCell ref="F459:G459"/>
    <mergeCell ref="H459:I459"/>
    <mergeCell ref="J459:K459"/>
    <mergeCell ref="B460:C460"/>
    <mergeCell ref="D460:E460"/>
    <mergeCell ref="F460:G460"/>
    <mergeCell ref="H460:I460"/>
    <mergeCell ref="J460:K460"/>
    <mergeCell ref="B457:C457"/>
    <mergeCell ref="D457:E457"/>
    <mergeCell ref="F457:G457"/>
    <mergeCell ref="H457:I457"/>
    <mergeCell ref="J457:K457"/>
    <mergeCell ref="B458:C458"/>
    <mergeCell ref="D458:E458"/>
    <mergeCell ref="F458:G458"/>
    <mergeCell ref="H458:I458"/>
    <mergeCell ref="J458:K458"/>
    <mergeCell ref="B455:C455"/>
    <mergeCell ref="D455:E455"/>
    <mergeCell ref="F455:G455"/>
    <mergeCell ref="H455:I455"/>
    <mergeCell ref="J455:K455"/>
    <mergeCell ref="B456:C456"/>
    <mergeCell ref="D456:E456"/>
    <mergeCell ref="F456:G456"/>
    <mergeCell ref="H456:I456"/>
    <mergeCell ref="J456:K456"/>
    <mergeCell ref="A448:K452"/>
    <mergeCell ref="B454:C454"/>
    <mergeCell ref="D454:E454"/>
    <mergeCell ref="F454:G454"/>
    <mergeCell ref="H454:I454"/>
    <mergeCell ref="J454:K454"/>
    <mergeCell ref="A440:G443"/>
    <mergeCell ref="I440:I441"/>
    <mergeCell ref="J440:K441"/>
    <mergeCell ref="I442:K443"/>
    <mergeCell ref="A445:K445"/>
    <mergeCell ref="A446:B446"/>
    <mergeCell ref="B437:C437"/>
    <mergeCell ref="D437:E437"/>
    <mergeCell ref="F437:G437"/>
    <mergeCell ref="H437:I437"/>
    <mergeCell ref="J437:K437"/>
    <mergeCell ref="B438:C438"/>
    <mergeCell ref="D438:E438"/>
    <mergeCell ref="F438:G438"/>
    <mergeCell ref="H438:I438"/>
    <mergeCell ref="J438:K438"/>
    <mergeCell ref="B435:C435"/>
    <mergeCell ref="D435:E435"/>
    <mergeCell ref="F435:G435"/>
    <mergeCell ref="H435:I435"/>
    <mergeCell ref="J435:K435"/>
    <mergeCell ref="B436:C436"/>
    <mergeCell ref="D436:E436"/>
    <mergeCell ref="F436:G436"/>
    <mergeCell ref="H436:I436"/>
    <mergeCell ref="J436:K436"/>
    <mergeCell ref="B433:C433"/>
    <mergeCell ref="D433:E433"/>
    <mergeCell ref="F433:G433"/>
    <mergeCell ref="H433:I433"/>
    <mergeCell ref="J433:K433"/>
    <mergeCell ref="B434:C434"/>
    <mergeCell ref="D434:E434"/>
    <mergeCell ref="F434:G434"/>
    <mergeCell ref="H434:I434"/>
    <mergeCell ref="J434:K434"/>
    <mergeCell ref="B431:C431"/>
    <mergeCell ref="D431:E431"/>
    <mergeCell ref="F431:G431"/>
    <mergeCell ref="H431:I431"/>
    <mergeCell ref="J431:K431"/>
    <mergeCell ref="B432:C432"/>
    <mergeCell ref="D432:E432"/>
    <mergeCell ref="F432:G432"/>
    <mergeCell ref="H432:I432"/>
    <mergeCell ref="J432:K432"/>
    <mergeCell ref="B429:C429"/>
    <mergeCell ref="D429:E429"/>
    <mergeCell ref="F429:G429"/>
    <mergeCell ref="H429:I429"/>
    <mergeCell ref="J429:K429"/>
    <mergeCell ref="B430:C430"/>
    <mergeCell ref="D430:E430"/>
    <mergeCell ref="F430:G430"/>
    <mergeCell ref="H430:I430"/>
    <mergeCell ref="J430:K430"/>
    <mergeCell ref="A426:K426"/>
    <mergeCell ref="B428:C428"/>
    <mergeCell ref="D428:E428"/>
    <mergeCell ref="F428:G428"/>
    <mergeCell ref="H428:I428"/>
    <mergeCell ref="J428:K428"/>
    <mergeCell ref="D415:E415"/>
    <mergeCell ref="H415:I415"/>
    <mergeCell ref="J415:K415"/>
    <mergeCell ref="A419:K419"/>
    <mergeCell ref="A421:B421"/>
    <mergeCell ref="A422:K425"/>
    <mergeCell ref="H412:I412"/>
    <mergeCell ref="J412:K412"/>
    <mergeCell ref="D413:E413"/>
    <mergeCell ref="H413:I413"/>
    <mergeCell ref="J413:K413"/>
    <mergeCell ref="D414:E414"/>
    <mergeCell ref="H414:I414"/>
    <mergeCell ref="J414:K414"/>
    <mergeCell ref="B413:C413"/>
    <mergeCell ref="B414:C414"/>
    <mergeCell ref="B415:C415"/>
    <mergeCell ref="F413:G413"/>
    <mergeCell ref="F414:G414"/>
    <mergeCell ref="F415:G415"/>
    <mergeCell ref="J409:K409"/>
    <mergeCell ref="D410:E410"/>
    <mergeCell ref="H410:I410"/>
    <mergeCell ref="J410:K410"/>
    <mergeCell ref="D411:E411"/>
    <mergeCell ref="H411:I411"/>
    <mergeCell ref="J411:K411"/>
    <mergeCell ref="D412:E412"/>
    <mergeCell ref="D407:E407"/>
    <mergeCell ref="H407:I407"/>
    <mergeCell ref="J407:K407"/>
    <mergeCell ref="D408:E408"/>
    <mergeCell ref="H408:I408"/>
    <mergeCell ref="J408:K408"/>
    <mergeCell ref="D409:E409"/>
    <mergeCell ref="H409:I409"/>
    <mergeCell ref="B407:C407"/>
    <mergeCell ref="B408:C408"/>
    <mergeCell ref="B409:C409"/>
    <mergeCell ref="B410:C410"/>
    <mergeCell ref="B411:C411"/>
    <mergeCell ref="B412:C412"/>
    <mergeCell ref="F407:G407"/>
    <mergeCell ref="F408:G408"/>
    <mergeCell ref="F409:G409"/>
    <mergeCell ref="F410:G410"/>
    <mergeCell ref="F411:G411"/>
    <mergeCell ref="F412:G412"/>
    <mergeCell ref="D405:E405"/>
    <mergeCell ref="H405:I405"/>
    <mergeCell ref="J405:K405"/>
    <mergeCell ref="D406:E406"/>
    <mergeCell ref="H406:I406"/>
    <mergeCell ref="J406:K406"/>
    <mergeCell ref="B403:C403"/>
    <mergeCell ref="D403:E403"/>
    <mergeCell ref="F403:G403"/>
    <mergeCell ref="H403:I403"/>
    <mergeCell ref="J403:K403"/>
    <mergeCell ref="D404:E404"/>
    <mergeCell ref="H404:I404"/>
    <mergeCell ref="J404:K404"/>
    <mergeCell ref="A401:B401"/>
    <mergeCell ref="B402:C402"/>
    <mergeCell ref="D402:E402"/>
    <mergeCell ref="F402:G402"/>
    <mergeCell ref="H402:I402"/>
    <mergeCell ref="J402:K402"/>
    <mergeCell ref="B404:C404"/>
    <mergeCell ref="B405:C405"/>
    <mergeCell ref="B406:C406"/>
    <mergeCell ref="F404:G404"/>
    <mergeCell ref="F405:G405"/>
    <mergeCell ref="F406:G406"/>
    <mergeCell ref="J386:K386"/>
    <mergeCell ref="A394:G397"/>
    <mergeCell ref="I394:I395"/>
    <mergeCell ref="J394:K395"/>
    <mergeCell ref="I396:K397"/>
    <mergeCell ref="A400:K400"/>
    <mergeCell ref="D384:E384"/>
    <mergeCell ref="H384:I384"/>
    <mergeCell ref="J384:K384"/>
    <mergeCell ref="D385:E385"/>
    <mergeCell ref="H385:I385"/>
    <mergeCell ref="J385:K385"/>
    <mergeCell ref="D386:E386"/>
    <mergeCell ref="H386:I386"/>
    <mergeCell ref="D382:E382"/>
    <mergeCell ref="H382:I382"/>
    <mergeCell ref="J382:K382"/>
    <mergeCell ref="D383:E383"/>
    <mergeCell ref="H383:I383"/>
    <mergeCell ref="J383:K383"/>
    <mergeCell ref="B386:C386"/>
    <mergeCell ref="B385:C385"/>
    <mergeCell ref="B384:C384"/>
    <mergeCell ref="B383:C383"/>
    <mergeCell ref="B382:C382"/>
    <mergeCell ref="F386:G386"/>
    <mergeCell ref="F385:G385"/>
    <mergeCell ref="F384:G384"/>
    <mergeCell ref="F383:G383"/>
    <mergeCell ref="F382:G382"/>
    <mergeCell ref="H379:I379"/>
    <mergeCell ref="J379:K379"/>
    <mergeCell ref="D380:E380"/>
    <mergeCell ref="H380:I380"/>
    <mergeCell ref="J380:K380"/>
    <mergeCell ref="D381:E381"/>
    <mergeCell ref="H381:I381"/>
    <mergeCell ref="J381:K381"/>
    <mergeCell ref="J376:K376"/>
    <mergeCell ref="D377:E377"/>
    <mergeCell ref="H377:I377"/>
    <mergeCell ref="J377:K377"/>
    <mergeCell ref="D378:E378"/>
    <mergeCell ref="H378:I378"/>
    <mergeCell ref="J378:K378"/>
    <mergeCell ref="D379:E379"/>
    <mergeCell ref="B381:C381"/>
    <mergeCell ref="B380:C380"/>
    <mergeCell ref="B379:C379"/>
    <mergeCell ref="B378:C378"/>
    <mergeCell ref="B377:C377"/>
    <mergeCell ref="B376:C376"/>
    <mergeCell ref="F378:G378"/>
    <mergeCell ref="F377:G377"/>
    <mergeCell ref="F376:G376"/>
    <mergeCell ref="F381:G381"/>
    <mergeCell ref="F380:G380"/>
    <mergeCell ref="F379:G379"/>
    <mergeCell ref="D374:E374"/>
    <mergeCell ref="H374:I374"/>
    <mergeCell ref="J374:K374"/>
    <mergeCell ref="D375:E375"/>
    <mergeCell ref="H375:I375"/>
    <mergeCell ref="J375:K375"/>
    <mergeCell ref="D376:E376"/>
    <mergeCell ref="H376:I376"/>
    <mergeCell ref="H371:I371"/>
    <mergeCell ref="J371:K371"/>
    <mergeCell ref="D372:E372"/>
    <mergeCell ref="H372:I372"/>
    <mergeCell ref="J372:K372"/>
    <mergeCell ref="D373:E373"/>
    <mergeCell ref="H373:I373"/>
    <mergeCell ref="J373:K373"/>
    <mergeCell ref="B375:C375"/>
    <mergeCell ref="B374:C374"/>
    <mergeCell ref="B373:C373"/>
    <mergeCell ref="B372:C372"/>
    <mergeCell ref="B371:C371"/>
    <mergeCell ref="F375:G375"/>
    <mergeCell ref="F374:G374"/>
    <mergeCell ref="F373:G373"/>
    <mergeCell ref="F372:G372"/>
    <mergeCell ref="F371:G371"/>
    <mergeCell ref="J368:K368"/>
    <mergeCell ref="D369:E369"/>
    <mergeCell ref="H369:I369"/>
    <mergeCell ref="J369:K369"/>
    <mergeCell ref="D370:E370"/>
    <mergeCell ref="H370:I370"/>
    <mergeCell ref="J370:K370"/>
    <mergeCell ref="D371:E371"/>
    <mergeCell ref="D366:E366"/>
    <mergeCell ref="H366:I366"/>
    <mergeCell ref="J366:K366"/>
    <mergeCell ref="D367:E367"/>
    <mergeCell ref="H367:I367"/>
    <mergeCell ref="J367:K367"/>
    <mergeCell ref="D368:E368"/>
    <mergeCell ref="H368:I368"/>
    <mergeCell ref="B370:C370"/>
    <mergeCell ref="B369:C369"/>
    <mergeCell ref="B368:C368"/>
    <mergeCell ref="B367:C367"/>
    <mergeCell ref="B366:C366"/>
    <mergeCell ref="F370:G370"/>
    <mergeCell ref="F369:G369"/>
    <mergeCell ref="F368:G368"/>
    <mergeCell ref="F367:G367"/>
    <mergeCell ref="F366:G366"/>
    <mergeCell ref="D364:E364"/>
    <mergeCell ref="H364:I364"/>
    <mergeCell ref="J364:K364"/>
    <mergeCell ref="D365:E365"/>
    <mergeCell ref="H365:I365"/>
    <mergeCell ref="J365:K365"/>
    <mergeCell ref="B362:C362"/>
    <mergeCell ref="D362:E362"/>
    <mergeCell ref="F362:G362"/>
    <mergeCell ref="H362:I362"/>
    <mergeCell ref="J362:K362"/>
    <mergeCell ref="D363:E363"/>
    <mergeCell ref="H363:I363"/>
    <mergeCell ref="J363:K363"/>
    <mergeCell ref="A353:K353"/>
    <mergeCell ref="A354:B354"/>
    <mergeCell ref="A355:K359"/>
    <mergeCell ref="A360:K360"/>
    <mergeCell ref="B361:C361"/>
    <mergeCell ref="D361:E361"/>
    <mergeCell ref="F361:G361"/>
    <mergeCell ref="H361:I361"/>
    <mergeCell ref="J361:K361"/>
    <mergeCell ref="B365:C365"/>
    <mergeCell ref="B364:C364"/>
    <mergeCell ref="B363:C363"/>
    <mergeCell ref="F365:G365"/>
    <mergeCell ref="F364:G364"/>
    <mergeCell ref="F363:G363"/>
    <mergeCell ref="A342:B342"/>
    <mergeCell ref="C342:D342"/>
    <mergeCell ref="E342:F342"/>
    <mergeCell ref="G342:H342"/>
    <mergeCell ref="I342:K342"/>
    <mergeCell ref="A347:G350"/>
    <mergeCell ref="I347:I348"/>
    <mergeCell ref="J347:K348"/>
    <mergeCell ref="I349:K350"/>
    <mergeCell ref="A340:B340"/>
    <mergeCell ref="C340:D340"/>
    <mergeCell ref="E340:F340"/>
    <mergeCell ref="G340:H340"/>
    <mergeCell ref="I340:K340"/>
    <mergeCell ref="A341:B341"/>
    <mergeCell ref="C341:D341"/>
    <mergeCell ref="E341:F341"/>
    <mergeCell ref="G341:H341"/>
    <mergeCell ref="I341:K341"/>
    <mergeCell ref="A338:B338"/>
    <mergeCell ref="C338:D338"/>
    <mergeCell ref="E338:F338"/>
    <mergeCell ref="G338:H338"/>
    <mergeCell ref="I338:K338"/>
    <mergeCell ref="A339:B339"/>
    <mergeCell ref="C339:D339"/>
    <mergeCell ref="E339:F339"/>
    <mergeCell ref="G339:H339"/>
    <mergeCell ref="I339:K339"/>
    <mergeCell ref="A336:B336"/>
    <mergeCell ref="C336:D336"/>
    <mergeCell ref="E336:F336"/>
    <mergeCell ref="G336:H336"/>
    <mergeCell ref="I336:K336"/>
    <mergeCell ref="A337:B337"/>
    <mergeCell ref="C337:D337"/>
    <mergeCell ref="E337:F337"/>
    <mergeCell ref="G337:H337"/>
    <mergeCell ref="I337:K337"/>
    <mergeCell ref="A326:K326"/>
    <mergeCell ref="A327:B327"/>
    <mergeCell ref="A329:K331"/>
    <mergeCell ref="A332:K333"/>
    <mergeCell ref="A335:B335"/>
    <mergeCell ref="C335:D335"/>
    <mergeCell ref="E335:F335"/>
    <mergeCell ref="G335:H335"/>
    <mergeCell ref="I335:K335"/>
    <mergeCell ref="A319:B319"/>
    <mergeCell ref="C319:D319"/>
    <mergeCell ref="E319:F319"/>
    <mergeCell ref="G319:H319"/>
    <mergeCell ref="I319:K319"/>
    <mergeCell ref="A323:K324"/>
    <mergeCell ref="A317:B317"/>
    <mergeCell ref="C317:D317"/>
    <mergeCell ref="E317:F317"/>
    <mergeCell ref="G317:H317"/>
    <mergeCell ref="I317:K317"/>
    <mergeCell ref="A318:B318"/>
    <mergeCell ref="C318:D318"/>
    <mergeCell ref="E318:F318"/>
    <mergeCell ref="G318:H318"/>
    <mergeCell ref="I318:K318"/>
    <mergeCell ref="A315:B315"/>
    <mergeCell ref="C315:D315"/>
    <mergeCell ref="E315:F315"/>
    <mergeCell ref="G315:H315"/>
    <mergeCell ref="I315:K315"/>
    <mergeCell ref="A316:B316"/>
    <mergeCell ref="C316:D316"/>
    <mergeCell ref="E316:F316"/>
    <mergeCell ref="G316:H316"/>
    <mergeCell ref="I316:K316"/>
    <mergeCell ref="A313:B313"/>
    <mergeCell ref="C313:D313"/>
    <mergeCell ref="E313:F313"/>
    <mergeCell ref="G313:H313"/>
    <mergeCell ref="I313:K313"/>
    <mergeCell ref="A314:B314"/>
    <mergeCell ref="C314:D314"/>
    <mergeCell ref="E314:F314"/>
    <mergeCell ref="G314:H314"/>
    <mergeCell ref="I314:K314"/>
    <mergeCell ref="A306:K308"/>
    <mergeCell ref="A309:K310"/>
    <mergeCell ref="A312:B312"/>
    <mergeCell ref="C312:D312"/>
    <mergeCell ref="E312:F312"/>
    <mergeCell ref="G312:H312"/>
    <mergeCell ref="I312:K312"/>
    <mergeCell ref="A298:G301"/>
    <mergeCell ref="I298:I299"/>
    <mergeCell ref="J298:K299"/>
    <mergeCell ref="I300:K301"/>
    <mergeCell ref="A303:K303"/>
    <mergeCell ref="A304:B304"/>
    <mergeCell ref="A288:B288"/>
    <mergeCell ref="C288:E288"/>
    <mergeCell ref="F288:H288"/>
    <mergeCell ref="I288:K288"/>
    <mergeCell ref="A289:B289"/>
    <mergeCell ref="C289:E289"/>
    <mergeCell ref="F289:H289"/>
    <mergeCell ref="I289:K289"/>
    <mergeCell ref="A283:B283"/>
    <mergeCell ref="C283:E283"/>
    <mergeCell ref="F283:H283"/>
    <mergeCell ref="I283:K283"/>
    <mergeCell ref="A285:K285"/>
    <mergeCell ref="A287:B287"/>
    <mergeCell ref="C287:E287"/>
    <mergeCell ref="F287:H287"/>
    <mergeCell ref="I287:K287"/>
    <mergeCell ref="A281:B281"/>
    <mergeCell ref="C281:E281"/>
    <mergeCell ref="F281:H281"/>
    <mergeCell ref="I281:K281"/>
    <mergeCell ref="A282:B282"/>
    <mergeCell ref="C282:E282"/>
    <mergeCell ref="F282:H282"/>
    <mergeCell ref="I282:K282"/>
    <mergeCell ref="A279:B279"/>
    <mergeCell ref="C279:E279"/>
    <mergeCell ref="F279:H279"/>
    <mergeCell ref="I279:K279"/>
    <mergeCell ref="A280:B280"/>
    <mergeCell ref="C280:E280"/>
    <mergeCell ref="F280:H280"/>
    <mergeCell ref="I280:K280"/>
    <mergeCell ref="A277:B277"/>
    <mergeCell ref="C277:E277"/>
    <mergeCell ref="F277:H277"/>
    <mergeCell ref="I277:K277"/>
    <mergeCell ref="A278:B278"/>
    <mergeCell ref="C278:E278"/>
    <mergeCell ref="F278:H278"/>
    <mergeCell ref="I278:K278"/>
    <mergeCell ref="A275:B275"/>
    <mergeCell ref="C275:E275"/>
    <mergeCell ref="F275:H275"/>
    <mergeCell ref="I275:K275"/>
    <mergeCell ref="A276:B276"/>
    <mergeCell ref="C276:E276"/>
    <mergeCell ref="F276:H276"/>
    <mergeCell ref="I276:K276"/>
    <mergeCell ref="A273:B273"/>
    <mergeCell ref="C273:E273"/>
    <mergeCell ref="F273:H273"/>
    <mergeCell ref="I273:K273"/>
    <mergeCell ref="A274:B274"/>
    <mergeCell ref="C274:E274"/>
    <mergeCell ref="F274:H274"/>
    <mergeCell ref="I274:K274"/>
    <mergeCell ref="A271:B271"/>
    <mergeCell ref="C271:E271"/>
    <mergeCell ref="F271:H271"/>
    <mergeCell ref="I271:K271"/>
    <mergeCell ref="A272:B272"/>
    <mergeCell ref="C272:E272"/>
    <mergeCell ref="F272:H272"/>
    <mergeCell ref="I272:K272"/>
    <mergeCell ref="A269:B269"/>
    <mergeCell ref="C269:E269"/>
    <mergeCell ref="F269:H269"/>
    <mergeCell ref="I269:K269"/>
    <mergeCell ref="A270:B270"/>
    <mergeCell ref="C270:E270"/>
    <mergeCell ref="F270:H270"/>
    <mergeCell ref="I270:K270"/>
    <mergeCell ref="A267:B267"/>
    <mergeCell ref="C267:E267"/>
    <mergeCell ref="F267:H267"/>
    <mergeCell ref="I267:K267"/>
    <mergeCell ref="A268:B268"/>
    <mergeCell ref="C268:E268"/>
    <mergeCell ref="F268:H268"/>
    <mergeCell ref="I268:K268"/>
    <mergeCell ref="A265:B265"/>
    <mergeCell ref="C265:E265"/>
    <mergeCell ref="F265:H265"/>
    <mergeCell ref="I265:K265"/>
    <mergeCell ref="A266:B266"/>
    <mergeCell ref="C266:E266"/>
    <mergeCell ref="F266:H266"/>
    <mergeCell ref="I266:K266"/>
    <mergeCell ref="A255:K255"/>
    <mergeCell ref="A256:B256"/>
    <mergeCell ref="A258:K262"/>
    <mergeCell ref="A264:B264"/>
    <mergeCell ref="C264:E264"/>
    <mergeCell ref="F264:H264"/>
    <mergeCell ref="I264:K264"/>
    <mergeCell ref="J230:K230"/>
    <mergeCell ref="H231:I231"/>
    <mergeCell ref="J231:K231"/>
    <mergeCell ref="A250:G253"/>
    <mergeCell ref="I250:I251"/>
    <mergeCell ref="J250:K251"/>
    <mergeCell ref="I252:K253"/>
    <mergeCell ref="H228:I228"/>
    <mergeCell ref="J228:K228"/>
    <mergeCell ref="B229:C231"/>
    <mergeCell ref="F229:G231"/>
    <mergeCell ref="H229:I229"/>
    <mergeCell ref="J229:K229"/>
    <mergeCell ref="H230:I230"/>
    <mergeCell ref="H225:I225"/>
    <mergeCell ref="J225:K225"/>
    <mergeCell ref="B226:C228"/>
    <mergeCell ref="F226:G228"/>
    <mergeCell ref="H226:I226"/>
    <mergeCell ref="J226:K226"/>
    <mergeCell ref="H227:I227"/>
    <mergeCell ref="J227:K227"/>
    <mergeCell ref="D223:E225"/>
    <mergeCell ref="D226:E228"/>
    <mergeCell ref="D229:E231"/>
    <mergeCell ref="J222:K222"/>
    <mergeCell ref="B223:C225"/>
    <mergeCell ref="F223:G225"/>
    <mergeCell ref="H223:I223"/>
    <mergeCell ref="J223:K223"/>
    <mergeCell ref="H224:I224"/>
    <mergeCell ref="J224:K224"/>
    <mergeCell ref="B220:C222"/>
    <mergeCell ref="F220:G222"/>
    <mergeCell ref="H220:I220"/>
    <mergeCell ref="J220:K220"/>
    <mergeCell ref="H221:I221"/>
    <mergeCell ref="J221:K221"/>
    <mergeCell ref="H222:I222"/>
    <mergeCell ref="H218:I218"/>
    <mergeCell ref="J218:K218"/>
    <mergeCell ref="H219:I219"/>
    <mergeCell ref="J219:K219"/>
    <mergeCell ref="D220:E222"/>
    <mergeCell ref="D217:E219"/>
    <mergeCell ref="H216:I216"/>
    <mergeCell ref="J216:K216"/>
    <mergeCell ref="B217:C219"/>
    <mergeCell ref="F217:G219"/>
    <mergeCell ref="H217:I217"/>
    <mergeCell ref="J217:K217"/>
    <mergeCell ref="A206:K206"/>
    <mergeCell ref="A207:B207"/>
    <mergeCell ref="A209:K213"/>
    <mergeCell ref="B215:C215"/>
    <mergeCell ref="D215:E215"/>
    <mergeCell ref="F215:G215"/>
    <mergeCell ref="H215:I215"/>
    <mergeCell ref="J215:K215"/>
    <mergeCell ref="B182:C182"/>
    <mergeCell ref="D182:E182"/>
    <mergeCell ref="F182:G182"/>
    <mergeCell ref="H182:I182"/>
    <mergeCell ref="J182:K182"/>
    <mergeCell ref="A201:G204"/>
    <mergeCell ref="I201:I202"/>
    <mergeCell ref="J201:K202"/>
    <mergeCell ref="I203:K204"/>
    <mergeCell ref="H180:I180"/>
    <mergeCell ref="J180:K180"/>
    <mergeCell ref="B181:C181"/>
    <mergeCell ref="D181:E181"/>
    <mergeCell ref="F181:G181"/>
    <mergeCell ref="H181:I181"/>
    <mergeCell ref="J181:K181"/>
    <mergeCell ref="B178:C178"/>
    <mergeCell ref="D178:E178"/>
    <mergeCell ref="F178:G178"/>
    <mergeCell ref="H178:I178"/>
    <mergeCell ref="J178:K178"/>
    <mergeCell ref="B179:C179"/>
    <mergeCell ref="D179:E179"/>
    <mergeCell ref="F179:G179"/>
    <mergeCell ref="H179:I179"/>
    <mergeCell ref="J179:K179"/>
    <mergeCell ref="B177:C177"/>
    <mergeCell ref="D177:E177"/>
    <mergeCell ref="F177:G177"/>
    <mergeCell ref="H177:I177"/>
    <mergeCell ref="J177:K177"/>
    <mergeCell ref="B174:C174"/>
    <mergeCell ref="D174:E174"/>
    <mergeCell ref="F174:G174"/>
    <mergeCell ref="H174:I174"/>
    <mergeCell ref="J174:K174"/>
    <mergeCell ref="B175:C175"/>
    <mergeCell ref="D175:E175"/>
    <mergeCell ref="F175:G175"/>
    <mergeCell ref="H175:I175"/>
    <mergeCell ref="J175:K175"/>
    <mergeCell ref="H172:I172"/>
    <mergeCell ref="J172:K172"/>
    <mergeCell ref="B173:C173"/>
    <mergeCell ref="D173:E173"/>
    <mergeCell ref="F173:G173"/>
    <mergeCell ref="H173:I173"/>
    <mergeCell ref="J173:K173"/>
    <mergeCell ref="H170:I170"/>
    <mergeCell ref="J170:K170"/>
    <mergeCell ref="B171:C171"/>
    <mergeCell ref="D171:E171"/>
    <mergeCell ref="F171:G171"/>
    <mergeCell ref="H171:I171"/>
    <mergeCell ref="J171:K171"/>
    <mergeCell ref="J169:K169"/>
    <mergeCell ref="A155:G158"/>
    <mergeCell ref="I155:I156"/>
    <mergeCell ref="J155:K156"/>
    <mergeCell ref="I157:K158"/>
    <mergeCell ref="A160:K160"/>
    <mergeCell ref="A161:B161"/>
    <mergeCell ref="B150:C150"/>
    <mergeCell ref="D150:E150"/>
    <mergeCell ref="F150:G150"/>
    <mergeCell ref="H150:I150"/>
    <mergeCell ref="J150:K150"/>
    <mergeCell ref="B151:C151"/>
    <mergeCell ref="D151:E151"/>
    <mergeCell ref="F151:G151"/>
    <mergeCell ref="H151:I151"/>
    <mergeCell ref="J151:K151"/>
    <mergeCell ref="B148:C148"/>
    <mergeCell ref="D148:E148"/>
    <mergeCell ref="F148:G148"/>
    <mergeCell ref="H148:I148"/>
    <mergeCell ref="J148:K148"/>
    <mergeCell ref="B149:C149"/>
    <mergeCell ref="D149:E149"/>
    <mergeCell ref="F149:G149"/>
    <mergeCell ref="H149:I149"/>
    <mergeCell ref="J149:K149"/>
    <mergeCell ref="B146:C146"/>
    <mergeCell ref="D146:E146"/>
    <mergeCell ref="F146:G146"/>
    <mergeCell ref="H146:I146"/>
    <mergeCell ref="J146:K146"/>
    <mergeCell ref="B147:C147"/>
    <mergeCell ref="D147:E147"/>
    <mergeCell ref="F147:G147"/>
    <mergeCell ref="H147:I147"/>
    <mergeCell ref="J147:K147"/>
    <mergeCell ref="B144:C144"/>
    <mergeCell ref="D144:E144"/>
    <mergeCell ref="F144:G144"/>
    <mergeCell ref="H144:I144"/>
    <mergeCell ref="J144:K144"/>
    <mergeCell ref="B145:C145"/>
    <mergeCell ref="D145:E145"/>
    <mergeCell ref="F145:G145"/>
    <mergeCell ref="H145:I145"/>
    <mergeCell ref="J145:K145"/>
    <mergeCell ref="B142:C142"/>
    <mergeCell ref="D142:E142"/>
    <mergeCell ref="F142:G142"/>
    <mergeCell ref="H142:I142"/>
    <mergeCell ref="J142:K142"/>
    <mergeCell ref="B143:C143"/>
    <mergeCell ref="D143:E143"/>
    <mergeCell ref="F143:G143"/>
    <mergeCell ref="H143:I143"/>
    <mergeCell ref="J143:K143"/>
    <mergeCell ref="D129:E129"/>
    <mergeCell ref="H129:I129"/>
    <mergeCell ref="J129:K129"/>
    <mergeCell ref="A133:K133"/>
    <mergeCell ref="A135:B135"/>
    <mergeCell ref="A136:K140"/>
    <mergeCell ref="H126:I126"/>
    <mergeCell ref="J126:K126"/>
    <mergeCell ref="D127:E127"/>
    <mergeCell ref="H127:I127"/>
    <mergeCell ref="J127:K127"/>
    <mergeCell ref="D128:E128"/>
    <mergeCell ref="H128:I128"/>
    <mergeCell ref="J128:K128"/>
    <mergeCell ref="J123:K123"/>
    <mergeCell ref="D124:E124"/>
    <mergeCell ref="H124:I124"/>
    <mergeCell ref="J124:K124"/>
    <mergeCell ref="D125:E125"/>
    <mergeCell ref="H125:I125"/>
    <mergeCell ref="J125:K125"/>
    <mergeCell ref="D126:E126"/>
    <mergeCell ref="F125:G125"/>
    <mergeCell ref="F126:G126"/>
    <mergeCell ref="F127:G127"/>
    <mergeCell ref="F128:G128"/>
    <mergeCell ref="F129:G129"/>
    <mergeCell ref="B127:C127"/>
    <mergeCell ref="B128:C128"/>
    <mergeCell ref="B129:C129"/>
    <mergeCell ref="F123:G123"/>
    <mergeCell ref="F124:G124"/>
    <mergeCell ref="D121:E121"/>
    <mergeCell ref="H121:I121"/>
    <mergeCell ref="J121:K121"/>
    <mergeCell ref="D122:E122"/>
    <mergeCell ref="H122:I122"/>
    <mergeCell ref="J122:K122"/>
    <mergeCell ref="D123:E123"/>
    <mergeCell ref="H123:I123"/>
    <mergeCell ref="D119:E119"/>
    <mergeCell ref="H119:I119"/>
    <mergeCell ref="J119:K119"/>
    <mergeCell ref="D120:E120"/>
    <mergeCell ref="H120:I120"/>
    <mergeCell ref="J120:K120"/>
    <mergeCell ref="B117:C117"/>
    <mergeCell ref="D117:E117"/>
    <mergeCell ref="F117:G117"/>
    <mergeCell ref="H117:I117"/>
    <mergeCell ref="J117:K117"/>
    <mergeCell ref="D118:E118"/>
    <mergeCell ref="H118:I118"/>
    <mergeCell ref="J118:K118"/>
    <mergeCell ref="B119:C119"/>
    <mergeCell ref="B120:C120"/>
    <mergeCell ref="F118:G118"/>
    <mergeCell ref="F119:G119"/>
    <mergeCell ref="F120:G120"/>
    <mergeCell ref="F121:G121"/>
    <mergeCell ref="F122:G122"/>
    <mergeCell ref="B121:C121"/>
    <mergeCell ref="B122:C122"/>
    <mergeCell ref="B123:C123"/>
    <mergeCell ref="H116:I116"/>
    <mergeCell ref="J116:K116"/>
    <mergeCell ref="J100:K100"/>
    <mergeCell ref="A108:G111"/>
    <mergeCell ref="I108:I109"/>
    <mergeCell ref="J108:K109"/>
    <mergeCell ref="I110:K111"/>
    <mergeCell ref="A114:K114"/>
    <mergeCell ref="D98:E98"/>
    <mergeCell ref="H98:I98"/>
    <mergeCell ref="J98:K98"/>
    <mergeCell ref="D99:E99"/>
    <mergeCell ref="H99:I99"/>
    <mergeCell ref="J99:K99"/>
    <mergeCell ref="D100:E100"/>
    <mergeCell ref="H100:I100"/>
    <mergeCell ref="D96:E96"/>
    <mergeCell ref="H96:I96"/>
    <mergeCell ref="J96:K96"/>
    <mergeCell ref="D97:E97"/>
    <mergeCell ref="H97:I97"/>
    <mergeCell ref="J97:K97"/>
    <mergeCell ref="F96:G96"/>
    <mergeCell ref="F97:G97"/>
    <mergeCell ref="A115:B115"/>
    <mergeCell ref="B116:C116"/>
    <mergeCell ref="D116:E116"/>
    <mergeCell ref="F116:G116"/>
    <mergeCell ref="F98:G98"/>
    <mergeCell ref="F99:G99"/>
    <mergeCell ref="F100:G100"/>
    <mergeCell ref="B98:C98"/>
    <mergeCell ref="H93:I93"/>
    <mergeCell ref="J93:K93"/>
    <mergeCell ref="D94:E94"/>
    <mergeCell ref="H94:I94"/>
    <mergeCell ref="J94:K94"/>
    <mergeCell ref="D95:E95"/>
    <mergeCell ref="H95:I95"/>
    <mergeCell ref="J95:K95"/>
    <mergeCell ref="J90:K90"/>
    <mergeCell ref="D91:E91"/>
    <mergeCell ref="H91:I91"/>
    <mergeCell ref="J91:K91"/>
    <mergeCell ref="D92:E92"/>
    <mergeCell ref="H92:I92"/>
    <mergeCell ref="J92:K92"/>
    <mergeCell ref="D93:E93"/>
    <mergeCell ref="D88:E88"/>
    <mergeCell ref="H88:I88"/>
    <mergeCell ref="J88:K88"/>
    <mergeCell ref="D89:E89"/>
    <mergeCell ref="H89:I89"/>
    <mergeCell ref="J89:K89"/>
    <mergeCell ref="D90:E90"/>
    <mergeCell ref="H90:I90"/>
    <mergeCell ref="F93:G93"/>
    <mergeCell ref="F94:G94"/>
    <mergeCell ref="F95:G95"/>
    <mergeCell ref="F88:G88"/>
    <mergeCell ref="F89:G89"/>
    <mergeCell ref="H85:I85"/>
    <mergeCell ref="J85:K85"/>
    <mergeCell ref="D86:E86"/>
    <mergeCell ref="H86:I86"/>
    <mergeCell ref="J86:K86"/>
    <mergeCell ref="D87:E87"/>
    <mergeCell ref="H87:I87"/>
    <mergeCell ref="J87:K87"/>
    <mergeCell ref="J82:K82"/>
    <mergeCell ref="D83:E83"/>
    <mergeCell ref="H83:I83"/>
    <mergeCell ref="J83:K83"/>
    <mergeCell ref="D84:E84"/>
    <mergeCell ref="H84:I84"/>
    <mergeCell ref="J84:K84"/>
    <mergeCell ref="D85:E85"/>
    <mergeCell ref="D80:E80"/>
    <mergeCell ref="H80:I80"/>
    <mergeCell ref="J80:K80"/>
    <mergeCell ref="D81:E81"/>
    <mergeCell ref="H81:I81"/>
    <mergeCell ref="J81:K81"/>
    <mergeCell ref="D82:E82"/>
    <mergeCell ref="H82:I82"/>
    <mergeCell ref="F80:G80"/>
    <mergeCell ref="F81:G81"/>
    <mergeCell ref="F82:G82"/>
    <mergeCell ref="F83:G83"/>
    <mergeCell ref="F84:G84"/>
    <mergeCell ref="F85:G85"/>
    <mergeCell ref="F86:G86"/>
    <mergeCell ref="F87:G87"/>
    <mergeCell ref="H78:I78"/>
    <mergeCell ref="J78:K78"/>
    <mergeCell ref="D79:E79"/>
    <mergeCell ref="H79:I79"/>
    <mergeCell ref="J79:K79"/>
    <mergeCell ref="B76:C76"/>
    <mergeCell ref="D76:E76"/>
    <mergeCell ref="F76:G76"/>
    <mergeCell ref="H76:I76"/>
    <mergeCell ref="J76:K76"/>
    <mergeCell ref="D77:E77"/>
    <mergeCell ref="H77:I77"/>
    <mergeCell ref="J77:K77"/>
    <mergeCell ref="A67:K67"/>
    <mergeCell ref="A68:B68"/>
    <mergeCell ref="A69:K73"/>
    <mergeCell ref="A74:K74"/>
    <mergeCell ref="B75:C75"/>
    <mergeCell ref="D75:E75"/>
    <mergeCell ref="F75:G75"/>
    <mergeCell ref="H75:I75"/>
    <mergeCell ref="J75:K75"/>
    <mergeCell ref="F77:G77"/>
    <mergeCell ref="F78:G78"/>
    <mergeCell ref="F79:G79"/>
    <mergeCell ref="D78:E78"/>
    <mergeCell ref="B77:C77"/>
    <mergeCell ref="B78:C78"/>
    <mergeCell ref="B79:C79"/>
    <mergeCell ref="A25:B25"/>
    <mergeCell ref="A26:B26"/>
    <mergeCell ref="A27:B27"/>
    <mergeCell ref="A28:B28"/>
    <mergeCell ref="A29:B29"/>
    <mergeCell ref="A30:B30"/>
    <mergeCell ref="A1:K2"/>
    <mergeCell ref="A6:B7"/>
    <mergeCell ref="C6:E6"/>
    <mergeCell ref="G6:I6"/>
    <mergeCell ref="A16:K16"/>
    <mergeCell ref="A24:B24"/>
    <mergeCell ref="A53:K53"/>
    <mergeCell ref="A54:K54"/>
    <mergeCell ref="A55:K55"/>
    <mergeCell ref="A57:K57"/>
    <mergeCell ref="A61:G64"/>
    <mergeCell ref="I61:I62"/>
    <mergeCell ref="J61:K62"/>
    <mergeCell ref="I63:K64"/>
    <mergeCell ref="A37:B37"/>
    <mergeCell ref="A38:B38"/>
    <mergeCell ref="A42:B42"/>
    <mergeCell ref="A44:K44"/>
    <mergeCell ref="A46:K46"/>
    <mergeCell ref="A48:K50"/>
    <mergeCell ref="A32:B32"/>
    <mergeCell ref="A33:B33"/>
    <mergeCell ref="A34:B34"/>
    <mergeCell ref="D34:E34"/>
    <mergeCell ref="A35:B35"/>
    <mergeCell ref="A36:B36"/>
  </mergeCells>
  <conditionalFormatting sqref="H77:I100">
    <cfRule type="cellIs" dxfId="10" priority="3" operator="lessThan">
      <formula>100</formula>
    </cfRule>
  </conditionalFormatting>
  <conditionalFormatting sqref="H118:I129">
    <cfRule type="cellIs" dxfId="9" priority="2" operator="lessThan">
      <formula>100</formula>
    </cfRule>
  </conditionalFormatting>
  <conditionalFormatting sqref="H171:I182">
    <cfRule type="cellIs" dxfId="8" priority="1" operator="lessThan">
      <formula>100</formula>
    </cfRule>
  </conditionalFormatting>
  <pageMargins left="0.39370078740157483" right="0.39370078740157483" top="0.23622047244094491" bottom="0.23622047244094491" header="0.31496062992125984" footer="0.31496062992125984"/>
  <pageSetup paperSize="9" orientation="portrait" r:id="rId1"/>
  <rowBreaks count="10" manualBreakCount="10">
    <brk id="60" max="16383" man="1"/>
    <brk id="107" max="16383" man="1"/>
    <brk id="154" max="16383" man="1"/>
    <brk id="200" max="16383" man="1"/>
    <brk id="249" max="16383" man="1"/>
    <brk id="297" max="16383" man="1"/>
    <brk id="346" max="16383" man="1"/>
    <brk id="393" max="16383" man="1"/>
    <brk id="439" max="16383" man="1"/>
    <brk id="488" max="16383" man="1"/>
  </rowBreaks>
  <ignoredErrors>
    <ignoredError sqref="H144:H151" formula="1"/>
  </ignoredErrors>
  <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B3D4FB-4DE1-47CF-9593-A40C56898A1F}">
  <dimension ref="A1:K315"/>
  <sheetViews>
    <sheetView view="pageLayout" zoomScale="120" zoomScaleNormal="100" zoomScalePageLayoutView="120" workbookViewId="0">
      <selection activeCell="B189" sqref="B189"/>
    </sheetView>
  </sheetViews>
  <sheetFormatPr defaultRowHeight="15" x14ac:dyDescent="0.25"/>
  <cols>
    <col min="1" max="10" width="8.28515625" style="20" customWidth="1"/>
    <col min="11" max="16384" width="9.140625" style="20"/>
  </cols>
  <sheetData>
    <row r="1" spans="1:11" x14ac:dyDescent="0.25">
      <c r="A1" s="86" t="s">
        <v>0</v>
      </c>
      <c r="B1" s="87"/>
      <c r="C1" s="87"/>
      <c r="D1" s="87"/>
      <c r="E1" s="87"/>
      <c r="F1" s="87"/>
      <c r="G1" s="87"/>
      <c r="H1" s="87"/>
      <c r="I1" s="87"/>
      <c r="J1" s="87"/>
      <c r="K1" s="88"/>
    </row>
    <row r="2" spans="1:11" x14ac:dyDescent="0.25">
      <c r="A2" s="89"/>
      <c r="B2" s="90"/>
      <c r="C2" s="90"/>
      <c r="D2" s="90"/>
      <c r="E2" s="90"/>
      <c r="F2" s="90"/>
      <c r="G2" s="90"/>
      <c r="H2" s="90"/>
      <c r="I2" s="90"/>
      <c r="J2" s="90"/>
      <c r="K2" s="91"/>
    </row>
    <row r="3" spans="1:11" ht="7.15" customHeight="1" x14ac:dyDescent="0.25">
      <c r="A3" s="21"/>
      <c r="B3" s="57"/>
      <c r="C3" s="57"/>
      <c r="D3" s="57"/>
      <c r="E3" s="57"/>
      <c r="F3" s="57"/>
      <c r="G3" s="57"/>
      <c r="H3" s="57"/>
      <c r="I3" s="57"/>
      <c r="J3" s="57"/>
      <c r="K3" s="22"/>
    </row>
    <row r="4" spans="1:11" ht="15.6" customHeight="1" x14ac:dyDescent="0.25">
      <c r="A4" s="23" t="s">
        <v>159</v>
      </c>
      <c r="B4" s="58"/>
      <c r="C4" s="58" t="s">
        <v>111</v>
      </c>
      <c r="D4" s="58"/>
      <c r="E4" s="58"/>
      <c r="F4" s="59"/>
      <c r="G4" s="59"/>
      <c r="H4" s="59"/>
      <c r="I4" s="59"/>
      <c r="J4" s="59"/>
      <c r="K4" s="24"/>
    </row>
    <row r="5" spans="1:11" ht="7.9" customHeight="1" x14ac:dyDescent="0.25">
      <c r="A5" s="23"/>
      <c r="B5" s="58"/>
      <c r="C5" s="58"/>
      <c r="D5" s="58"/>
      <c r="E5" s="58"/>
      <c r="F5" s="59"/>
      <c r="G5" s="59"/>
      <c r="H5" s="59"/>
      <c r="I5" s="59"/>
      <c r="J5" s="59"/>
      <c r="K5" s="24"/>
    </row>
    <row r="6" spans="1:11" ht="15.75" x14ac:dyDescent="0.25">
      <c r="A6" s="92" t="s">
        <v>37</v>
      </c>
      <c r="B6" s="93"/>
      <c r="C6" s="96">
        <v>44175</v>
      </c>
      <c r="D6" s="96"/>
      <c r="E6" s="96"/>
      <c r="F6" s="59"/>
      <c r="G6" s="97" t="s">
        <v>2</v>
      </c>
      <c r="H6" s="97"/>
      <c r="I6" s="97"/>
      <c r="J6" s="60" t="s">
        <v>195</v>
      </c>
      <c r="K6" s="24"/>
    </row>
    <row r="7" spans="1:11" ht="7.9" customHeight="1" x14ac:dyDescent="0.25">
      <c r="A7" s="94"/>
      <c r="B7" s="95"/>
      <c r="C7" s="25"/>
      <c r="D7" s="25"/>
      <c r="E7" s="25"/>
      <c r="F7" s="26"/>
      <c r="G7" s="26"/>
      <c r="H7" s="26"/>
      <c r="I7" s="26"/>
      <c r="J7" s="26"/>
      <c r="K7" s="27"/>
    </row>
    <row r="8" spans="1:11" ht="7.9" customHeight="1" x14ac:dyDescent="0.25">
      <c r="A8" s="28"/>
      <c r="B8" s="28"/>
      <c r="C8" s="28"/>
      <c r="D8" s="28"/>
      <c r="E8" s="28"/>
      <c r="F8" s="28"/>
      <c r="G8" s="28"/>
      <c r="H8" s="28"/>
      <c r="I8" s="28"/>
      <c r="J8" s="28"/>
      <c r="K8" s="28"/>
    </row>
    <row r="9" spans="1:11" x14ac:dyDescent="0.25">
      <c r="A9" s="28"/>
      <c r="B9" s="28"/>
      <c r="C9" s="28"/>
      <c r="D9" s="28"/>
      <c r="E9" s="28"/>
      <c r="F9" s="29" t="s">
        <v>3</v>
      </c>
      <c r="G9" s="30"/>
      <c r="H9" s="30"/>
      <c r="I9" s="28"/>
      <c r="J9" s="31" t="s">
        <v>324</v>
      </c>
      <c r="K9" s="31"/>
    </row>
    <row r="10" spans="1:11" x14ac:dyDescent="0.25">
      <c r="A10" s="28"/>
      <c r="B10" s="28"/>
      <c r="C10" s="28"/>
      <c r="D10" s="28"/>
      <c r="E10" s="28"/>
      <c r="F10" s="29" t="s">
        <v>4</v>
      </c>
      <c r="G10" s="30"/>
      <c r="H10" s="30"/>
      <c r="I10" s="28"/>
      <c r="J10" s="31"/>
      <c r="K10" s="31"/>
    </row>
    <row r="11" spans="1:11" x14ac:dyDescent="0.25">
      <c r="A11" s="28"/>
      <c r="B11" s="28"/>
      <c r="C11" s="28"/>
      <c r="D11" s="28"/>
      <c r="E11" s="28"/>
      <c r="F11" s="29" t="s">
        <v>5</v>
      </c>
      <c r="G11" s="30"/>
      <c r="H11" s="30"/>
      <c r="I11" s="28"/>
      <c r="J11" s="31" t="s">
        <v>9</v>
      </c>
      <c r="K11" s="31"/>
    </row>
    <row r="12" spans="1:11" x14ac:dyDescent="0.25">
      <c r="A12" s="28"/>
      <c r="B12" s="28"/>
      <c r="C12" s="28"/>
      <c r="D12" s="28"/>
      <c r="E12" s="28"/>
      <c r="F12" s="29" t="s">
        <v>6</v>
      </c>
      <c r="G12" s="30"/>
      <c r="H12" s="30"/>
      <c r="I12" s="28"/>
      <c r="J12" s="31"/>
      <c r="K12" s="31"/>
    </row>
    <row r="13" spans="1:11" x14ac:dyDescent="0.25">
      <c r="A13" s="28"/>
      <c r="B13" s="28"/>
      <c r="C13" s="28"/>
      <c r="D13" s="28"/>
      <c r="E13" s="28"/>
      <c r="F13" s="29" t="s">
        <v>7</v>
      </c>
      <c r="G13" s="30"/>
      <c r="H13" s="30"/>
      <c r="I13" s="28"/>
      <c r="J13" s="31"/>
      <c r="K13" s="31"/>
    </row>
    <row r="14" spans="1:11" x14ac:dyDescent="0.25">
      <c r="A14" s="28"/>
      <c r="B14" s="28"/>
      <c r="C14" s="28"/>
      <c r="D14" s="28"/>
      <c r="E14" s="28"/>
      <c r="F14" s="29" t="s">
        <v>8</v>
      </c>
      <c r="G14" s="30"/>
      <c r="H14" s="30"/>
      <c r="I14" s="28"/>
      <c r="J14" s="31" t="s">
        <v>39</v>
      </c>
      <c r="K14" s="31"/>
    </row>
    <row r="15" spans="1:11" ht="7.15" customHeight="1" thickBot="1" x14ac:dyDescent="0.3">
      <c r="A15" s="32"/>
      <c r="B15" s="32"/>
      <c r="C15" s="32"/>
      <c r="D15" s="32"/>
      <c r="E15" s="32"/>
      <c r="F15" s="32"/>
      <c r="G15" s="32"/>
      <c r="H15" s="32"/>
      <c r="I15" s="32"/>
      <c r="J15" s="32"/>
      <c r="K15" s="32"/>
    </row>
    <row r="16" spans="1:11" x14ac:dyDescent="0.25">
      <c r="A16" s="98"/>
      <c r="B16" s="98"/>
      <c r="C16" s="98"/>
      <c r="D16" s="98"/>
      <c r="E16" s="98"/>
      <c r="F16" s="98"/>
      <c r="G16" s="98"/>
      <c r="H16" s="98"/>
      <c r="I16" s="98"/>
      <c r="J16" s="98"/>
      <c r="K16" s="98"/>
    </row>
    <row r="17" spans="1:11" x14ac:dyDescent="0.25">
      <c r="A17" s="33" t="s">
        <v>11</v>
      </c>
      <c r="B17" s="33"/>
      <c r="C17" s="33"/>
      <c r="D17" s="33" t="s">
        <v>111</v>
      </c>
      <c r="E17" s="33"/>
      <c r="F17" s="33"/>
      <c r="G17" s="33"/>
      <c r="H17" s="33"/>
      <c r="I17" s="33"/>
      <c r="J17" s="33"/>
      <c r="K17" s="33"/>
    </row>
    <row r="18" spans="1:11" x14ac:dyDescent="0.25">
      <c r="A18" s="33"/>
      <c r="B18" s="33"/>
      <c r="C18" s="33"/>
      <c r="D18" s="34" t="s">
        <v>3</v>
      </c>
      <c r="E18" s="33"/>
      <c r="F18" s="33"/>
      <c r="G18" s="33"/>
      <c r="H18" s="33"/>
      <c r="I18" s="33"/>
      <c r="J18" s="33"/>
      <c r="K18" s="33"/>
    </row>
    <row r="19" spans="1:11" x14ac:dyDescent="0.25">
      <c r="A19" s="33"/>
      <c r="B19" s="33"/>
      <c r="C19" s="33"/>
      <c r="D19" s="34" t="s">
        <v>4</v>
      </c>
      <c r="E19" s="33"/>
      <c r="F19" s="33"/>
      <c r="G19" s="33"/>
      <c r="H19" s="33"/>
      <c r="I19" s="33"/>
      <c r="J19" s="33"/>
      <c r="K19" s="33"/>
    </row>
    <row r="20" spans="1:11" x14ac:dyDescent="0.25">
      <c r="A20" s="33"/>
      <c r="B20" s="33"/>
      <c r="C20" s="33"/>
      <c r="D20" s="34" t="s">
        <v>5</v>
      </c>
      <c r="E20" s="33"/>
      <c r="F20" s="33"/>
      <c r="G20" s="33"/>
      <c r="H20" s="33"/>
      <c r="I20" s="33"/>
      <c r="J20" s="33"/>
      <c r="K20" s="33"/>
    </row>
    <row r="21" spans="1:11" x14ac:dyDescent="0.25">
      <c r="A21" s="33"/>
      <c r="B21" s="33"/>
      <c r="C21" s="33"/>
      <c r="D21" s="34" t="s">
        <v>6</v>
      </c>
      <c r="E21" s="33"/>
      <c r="F21" s="33"/>
      <c r="G21" s="33"/>
      <c r="H21" s="33"/>
      <c r="I21" s="33"/>
      <c r="J21" s="33"/>
      <c r="K21" s="33"/>
    </row>
    <row r="22" spans="1:11" x14ac:dyDescent="0.25">
      <c r="A22" s="33"/>
      <c r="B22" s="33"/>
      <c r="C22" s="33"/>
      <c r="D22" s="34" t="s">
        <v>7</v>
      </c>
      <c r="E22" s="33"/>
      <c r="F22" s="33"/>
      <c r="G22" s="33"/>
      <c r="H22" s="33"/>
      <c r="I22" s="33"/>
      <c r="J22" s="33"/>
      <c r="K22" s="33"/>
    </row>
    <row r="23" spans="1:11" x14ac:dyDescent="0.25">
      <c r="A23" s="33"/>
      <c r="B23" s="33"/>
      <c r="C23" s="33"/>
      <c r="D23" s="29"/>
      <c r="E23" s="33"/>
      <c r="F23" s="33"/>
      <c r="G23" s="33"/>
      <c r="H23" s="33"/>
      <c r="I23" s="33"/>
      <c r="J23" s="33"/>
      <c r="K23" s="33"/>
    </row>
    <row r="24" spans="1:11" x14ac:dyDescent="0.25">
      <c r="A24" s="85" t="s">
        <v>20</v>
      </c>
      <c r="B24" s="85"/>
      <c r="C24" s="33"/>
      <c r="D24" s="55">
        <v>78546978</v>
      </c>
      <c r="E24" s="33"/>
      <c r="F24" s="33"/>
      <c r="G24" s="33"/>
      <c r="H24" s="33"/>
      <c r="I24" s="33"/>
      <c r="J24" s="33"/>
      <c r="K24" s="33"/>
    </row>
    <row r="25" spans="1:11" x14ac:dyDescent="0.25">
      <c r="A25" s="85" t="s">
        <v>31</v>
      </c>
      <c r="B25" s="85"/>
      <c r="C25" s="33"/>
      <c r="D25" s="33" t="s">
        <v>109</v>
      </c>
      <c r="E25" s="33" t="s">
        <v>193</v>
      </c>
      <c r="F25" s="33"/>
      <c r="G25" s="33"/>
      <c r="H25" s="33"/>
      <c r="I25" s="33"/>
      <c r="J25" s="33"/>
      <c r="K25" s="33"/>
    </row>
    <row r="26" spans="1:11" x14ac:dyDescent="0.25">
      <c r="A26" s="85"/>
      <c r="B26" s="85"/>
      <c r="C26" s="33"/>
      <c r="D26" s="33"/>
      <c r="E26" s="33"/>
      <c r="F26" s="33"/>
      <c r="G26" s="33"/>
      <c r="H26" s="33"/>
      <c r="I26" s="33"/>
      <c r="J26" s="33"/>
      <c r="K26" s="33"/>
    </row>
    <row r="27" spans="1:11" x14ac:dyDescent="0.25">
      <c r="A27" s="85" t="s">
        <v>21</v>
      </c>
      <c r="B27" s="85"/>
      <c r="C27" s="28"/>
      <c r="D27" s="33" t="s">
        <v>32</v>
      </c>
      <c r="E27" s="33"/>
      <c r="F27" s="33"/>
      <c r="G27" s="33"/>
      <c r="H27" s="33"/>
      <c r="I27" s="33"/>
      <c r="J27" s="33"/>
      <c r="K27" s="33"/>
    </row>
    <row r="28" spans="1:11" x14ac:dyDescent="0.25">
      <c r="A28" s="85" t="s">
        <v>22</v>
      </c>
      <c r="B28" s="85"/>
      <c r="C28" s="28"/>
      <c r="D28" s="55" t="str">
        <f>IF(Checks!C28="0","",Checks!C28)</f>
        <v/>
      </c>
      <c r="E28" s="55"/>
      <c r="F28" s="35"/>
      <c r="G28" s="33"/>
      <c r="H28" s="33"/>
      <c r="I28" s="33"/>
      <c r="J28" s="33"/>
      <c r="K28" s="33"/>
    </row>
    <row r="29" spans="1:11" x14ac:dyDescent="0.25">
      <c r="A29" s="85" t="s">
        <v>23</v>
      </c>
      <c r="B29" s="85"/>
      <c r="C29" s="28"/>
      <c r="D29" s="33" t="s">
        <v>33</v>
      </c>
      <c r="E29" s="33"/>
      <c r="F29" s="33"/>
      <c r="G29" s="33"/>
      <c r="H29" s="33"/>
      <c r="I29" s="33"/>
      <c r="J29" s="33"/>
      <c r="K29" s="33"/>
    </row>
    <row r="30" spans="1:11" x14ac:dyDescent="0.25">
      <c r="A30" s="85" t="s">
        <v>24</v>
      </c>
      <c r="B30" s="85"/>
      <c r="C30" s="28"/>
      <c r="D30" s="55">
        <v>1243</v>
      </c>
      <c r="E30" s="33"/>
      <c r="F30" s="33"/>
      <c r="G30" s="33"/>
      <c r="H30" s="33"/>
      <c r="I30" s="33"/>
      <c r="J30" s="33"/>
      <c r="K30" s="33"/>
    </row>
    <row r="31" spans="1:11" x14ac:dyDescent="0.25">
      <c r="A31" s="55"/>
      <c r="B31" s="55"/>
      <c r="C31" s="28"/>
      <c r="D31" s="55"/>
      <c r="E31" s="33"/>
      <c r="F31" s="33"/>
      <c r="G31" s="33"/>
      <c r="H31" s="33"/>
      <c r="I31" s="33"/>
      <c r="J31" s="33"/>
      <c r="K31" s="33"/>
    </row>
    <row r="32" spans="1:11" x14ac:dyDescent="0.25">
      <c r="A32" s="85" t="s">
        <v>30</v>
      </c>
      <c r="B32" s="85"/>
      <c r="C32" s="28"/>
      <c r="D32" s="33" t="s">
        <v>110</v>
      </c>
      <c r="E32" s="33"/>
      <c r="F32" s="33"/>
      <c r="G32" s="33"/>
      <c r="H32" s="33"/>
      <c r="I32" s="33"/>
      <c r="J32" s="33"/>
      <c r="K32" s="33"/>
    </row>
    <row r="33" spans="1:11" x14ac:dyDescent="0.25">
      <c r="A33" s="85"/>
      <c r="B33" s="85"/>
      <c r="C33" s="28"/>
      <c r="D33" s="33"/>
      <c r="E33" s="33"/>
      <c r="F33" s="33"/>
      <c r="G33" s="33"/>
      <c r="H33" s="33"/>
      <c r="I33" s="33"/>
      <c r="J33" s="33"/>
      <c r="K33" s="33"/>
    </row>
    <row r="34" spans="1:11" x14ac:dyDescent="0.25">
      <c r="A34" s="85" t="s">
        <v>25</v>
      </c>
      <c r="B34" s="85"/>
      <c r="C34" s="28"/>
      <c r="D34" s="100">
        <v>44175</v>
      </c>
      <c r="E34" s="100"/>
      <c r="F34" s="33"/>
      <c r="G34" s="33"/>
      <c r="H34" s="33"/>
      <c r="I34" s="33"/>
      <c r="J34" s="33"/>
      <c r="K34" s="33"/>
    </row>
    <row r="35" spans="1:11" x14ac:dyDescent="0.25">
      <c r="A35" s="85" t="s">
        <v>26</v>
      </c>
      <c r="B35" s="85"/>
      <c r="C35" s="28"/>
      <c r="D35" s="33" t="e">
        <f>IF(A236&gt;20,'Test Equ'!B40,'Test Equ'!B39)</f>
        <v>#N/A</v>
      </c>
      <c r="E35" s="33"/>
      <c r="F35" s="33"/>
      <c r="G35" s="33"/>
      <c r="H35" s="33"/>
      <c r="I35" s="33"/>
      <c r="J35" s="33"/>
      <c r="K35" s="33"/>
    </row>
    <row r="36" spans="1:11" x14ac:dyDescent="0.25">
      <c r="A36" s="85" t="s">
        <v>27</v>
      </c>
      <c r="B36" s="85"/>
      <c r="C36" s="28"/>
      <c r="D36" s="33" t="s">
        <v>34</v>
      </c>
      <c r="E36" s="33"/>
      <c r="F36" s="33"/>
      <c r="G36" s="33"/>
      <c r="H36" s="33"/>
      <c r="I36" s="33"/>
      <c r="J36" s="33"/>
      <c r="K36" s="33"/>
    </row>
    <row r="37" spans="1:11" x14ac:dyDescent="0.25">
      <c r="A37" s="85" t="s">
        <v>28</v>
      </c>
      <c r="B37" s="85"/>
      <c r="C37" s="28"/>
      <c r="D37" s="33" t="s">
        <v>35</v>
      </c>
      <c r="E37" s="33"/>
      <c r="F37" s="33"/>
      <c r="G37" s="33"/>
      <c r="H37" s="33"/>
      <c r="I37" s="33"/>
      <c r="J37" s="33"/>
      <c r="K37" s="33"/>
    </row>
    <row r="38" spans="1:11" x14ac:dyDescent="0.25">
      <c r="A38" s="85" t="s">
        <v>29</v>
      </c>
      <c r="B38" s="85"/>
      <c r="C38" s="28"/>
      <c r="D38" s="33" t="e">
        <f>VLOOKUP(D28,'2Ph data'!A:D,4,0)</f>
        <v>#N/A</v>
      </c>
      <c r="E38" s="33"/>
      <c r="F38" s="33"/>
      <c r="G38" s="33"/>
      <c r="H38" s="33"/>
      <c r="I38" s="33"/>
      <c r="J38" s="33"/>
      <c r="K38" s="33"/>
    </row>
    <row r="39" spans="1:11" ht="7.9" customHeight="1" x14ac:dyDescent="0.25">
      <c r="A39" s="33"/>
      <c r="B39" s="33"/>
      <c r="C39" s="33"/>
      <c r="D39" s="33"/>
      <c r="E39" s="33"/>
      <c r="F39" s="33"/>
      <c r="G39" s="33"/>
      <c r="H39" s="33"/>
      <c r="I39" s="33"/>
      <c r="J39" s="33"/>
      <c r="K39" s="33"/>
    </row>
    <row r="40" spans="1:11" x14ac:dyDescent="0.25">
      <c r="A40" s="33" t="s">
        <v>45</v>
      </c>
      <c r="B40" s="33"/>
      <c r="C40" s="33"/>
      <c r="D40" s="33"/>
      <c r="E40" s="33"/>
      <c r="F40" s="33"/>
      <c r="G40" s="33"/>
      <c r="H40" s="33"/>
      <c r="I40" s="33"/>
      <c r="J40" s="33"/>
      <c r="K40" s="33"/>
    </row>
    <row r="41" spans="1:11" ht="7.9" customHeight="1" x14ac:dyDescent="0.25">
      <c r="A41" s="33"/>
      <c r="B41" s="33"/>
      <c r="C41" s="33"/>
      <c r="D41" s="33"/>
      <c r="E41" s="33"/>
      <c r="F41" s="33"/>
      <c r="G41" s="33"/>
      <c r="H41" s="33"/>
      <c r="I41" s="33"/>
      <c r="J41" s="33"/>
      <c r="K41" s="33"/>
    </row>
    <row r="42" spans="1:11" x14ac:dyDescent="0.25">
      <c r="A42" s="85" t="s">
        <v>43</v>
      </c>
      <c r="B42" s="85"/>
      <c r="C42" s="33" t="e">
        <f>VLOOKUP(K267,'Test Equ'!A:B,2,0)</f>
        <v>#N/A</v>
      </c>
      <c r="D42" s="33"/>
      <c r="E42" s="33"/>
      <c r="F42" s="33"/>
      <c r="G42" s="33"/>
      <c r="H42" s="33"/>
      <c r="I42" s="33"/>
      <c r="J42" s="33"/>
      <c r="K42" s="33"/>
    </row>
    <row r="43" spans="1:11" x14ac:dyDescent="0.25">
      <c r="A43" s="33"/>
      <c r="B43" s="33"/>
      <c r="C43" s="33" t="e">
        <f>IF(K268="LMX","",VLOOKUP(K268,'Test Equ'!A:B,2,0))</f>
        <v>#N/A</v>
      </c>
      <c r="D43" s="33"/>
      <c r="E43" s="33"/>
      <c r="F43" s="33"/>
      <c r="G43" s="33"/>
      <c r="H43" s="33"/>
      <c r="I43" s="33"/>
      <c r="J43" s="33"/>
      <c r="K43" s="33"/>
    </row>
    <row r="44" spans="1:11" ht="7.9" customHeight="1" x14ac:dyDescent="0.25">
      <c r="A44" s="33"/>
      <c r="B44" s="33"/>
      <c r="C44" s="33"/>
      <c r="D44" s="33"/>
      <c r="E44" s="33"/>
      <c r="F44" s="33"/>
      <c r="G44" s="33"/>
      <c r="H44" s="33"/>
      <c r="I44" s="33"/>
      <c r="J44" s="33"/>
      <c r="K44" s="33"/>
    </row>
    <row r="45" spans="1:11" x14ac:dyDescent="0.25">
      <c r="A45" s="85" t="s">
        <v>92</v>
      </c>
      <c r="B45" s="85"/>
      <c r="C45" s="85"/>
      <c r="D45" s="85"/>
      <c r="E45" s="85"/>
      <c r="F45" s="85"/>
      <c r="G45" s="85"/>
      <c r="H45" s="85"/>
      <c r="I45" s="85"/>
      <c r="J45" s="85"/>
      <c r="K45" s="85"/>
    </row>
    <row r="46" spans="1:11" ht="7.9" customHeight="1" x14ac:dyDescent="0.25">
      <c r="A46" s="33"/>
      <c r="B46" s="33"/>
      <c r="C46" s="33"/>
      <c r="D46" s="33"/>
      <c r="E46" s="33"/>
      <c r="F46" s="33"/>
      <c r="G46" s="33"/>
      <c r="H46" s="33"/>
      <c r="I46" s="33"/>
      <c r="J46" s="33"/>
      <c r="K46" s="33"/>
    </row>
    <row r="47" spans="1:11" x14ac:dyDescent="0.25">
      <c r="A47" s="85" t="s">
        <v>93</v>
      </c>
      <c r="B47" s="85"/>
      <c r="C47" s="85"/>
      <c r="D47" s="85"/>
      <c r="E47" s="85"/>
      <c r="F47" s="85"/>
      <c r="G47" s="85"/>
      <c r="H47" s="85"/>
      <c r="I47" s="85"/>
      <c r="J47" s="85"/>
      <c r="K47" s="85"/>
    </row>
    <row r="48" spans="1:11" ht="7.9" customHeight="1" x14ac:dyDescent="0.25">
      <c r="A48" s="33"/>
      <c r="B48" s="33"/>
      <c r="C48" s="33"/>
      <c r="D48" s="33"/>
      <c r="E48" s="33"/>
      <c r="F48" s="33"/>
      <c r="G48" s="33"/>
      <c r="H48" s="33"/>
      <c r="I48" s="33"/>
      <c r="J48" s="33"/>
      <c r="K48" s="33"/>
    </row>
    <row r="49" spans="1:11" x14ac:dyDescent="0.25">
      <c r="A49" s="99" t="s">
        <v>94</v>
      </c>
      <c r="B49" s="99"/>
      <c r="C49" s="99"/>
      <c r="D49" s="99"/>
      <c r="E49" s="99"/>
      <c r="F49" s="99"/>
      <c r="G49" s="99"/>
      <c r="H49" s="99"/>
      <c r="I49" s="99"/>
      <c r="J49" s="99"/>
      <c r="K49" s="99"/>
    </row>
    <row r="50" spans="1:11" x14ac:dyDescent="0.25">
      <c r="A50" s="99"/>
      <c r="B50" s="99"/>
      <c r="C50" s="99"/>
      <c r="D50" s="99"/>
      <c r="E50" s="99"/>
      <c r="F50" s="99"/>
      <c r="G50" s="99"/>
      <c r="H50" s="99"/>
      <c r="I50" s="99"/>
      <c r="J50" s="99"/>
      <c r="K50" s="99"/>
    </row>
    <row r="51" spans="1:11" x14ac:dyDescent="0.25">
      <c r="A51" s="99"/>
      <c r="B51" s="99"/>
      <c r="C51" s="99"/>
      <c r="D51" s="99"/>
      <c r="E51" s="99"/>
      <c r="F51" s="99"/>
      <c r="G51" s="99"/>
      <c r="H51" s="99"/>
      <c r="I51" s="99"/>
      <c r="J51" s="99"/>
      <c r="K51" s="99"/>
    </row>
    <row r="52" spans="1:11" ht="7.9" customHeight="1" x14ac:dyDescent="0.25">
      <c r="A52" s="33"/>
      <c r="B52" s="33"/>
      <c r="C52" s="33"/>
      <c r="D52" s="33"/>
      <c r="E52" s="33"/>
      <c r="F52" s="33"/>
      <c r="G52" s="33"/>
      <c r="H52" s="33"/>
      <c r="I52" s="33"/>
      <c r="J52" s="33"/>
      <c r="K52" s="33"/>
    </row>
    <row r="53" spans="1:11" x14ac:dyDescent="0.25">
      <c r="A53" s="33" t="s">
        <v>95</v>
      </c>
      <c r="B53" s="33"/>
      <c r="C53" s="33"/>
      <c r="D53" s="33"/>
      <c r="E53" s="33"/>
      <c r="F53" s="33"/>
      <c r="G53" s="33"/>
      <c r="H53" s="33"/>
      <c r="I53" s="33"/>
      <c r="J53" s="33"/>
      <c r="K53" s="33"/>
    </row>
    <row r="54" spans="1:11" x14ac:dyDescent="0.25">
      <c r="A54" s="85"/>
      <c r="B54" s="85"/>
      <c r="C54" s="85"/>
      <c r="D54" s="85"/>
      <c r="E54" s="85"/>
      <c r="F54" s="85"/>
      <c r="G54" s="85"/>
      <c r="H54" s="85"/>
      <c r="I54" s="85"/>
      <c r="J54" s="85"/>
      <c r="K54" s="85"/>
    </row>
    <row r="55" spans="1:11" x14ac:dyDescent="0.25">
      <c r="A55" s="85"/>
      <c r="B55" s="85"/>
      <c r="C55" s="85"/>
      <c r="D55" s="85"/>
      <c r="E55" s="85"/>
      <c r="F55" s="85"/>
      <c r="G55" s="85"/>
      <c r="H55" s="85"/>
      <c r="I55" s="85"/>
      <c r="J55" s="85"/>
      <c r="K55" s="85"/>
    </row>
    <row r="56" spans="1:11" x14ac:dyDescent="0.25">
      <c r="A56" s="85"/>
      <c r="B56" s="85"/>
      <c r="C56" s="85"/>
      <c r="D56" s="85"/>
      <c r="E56" s="85"/>
      <c r="F56" s="85"/>
      <c r="G56" s="85"/>
      <c r="H56" s="85"/>
      <c r="I56" s="85"/>
      <c r="J56" s="85"/>
      <c r="K56" s="85"/>
    </row>
    <row r="57" spans="1:11" x14ac:dyDescent="0.25">
      <c r="A57" s="85"/>
      <c r="B57" s="85"/>
      <c r="C57" s="85"/>
      <c r="D57" s="85"/>
      <c r="E57" s="85"/>
      <c r="F57" s="85"/>
      <c r="G57" s="85"/>
      <c r="H57" s="85"/>
      <c r="I57" s="85"/>
      <c r="J57" s="85"/>
      <c r="K57" s="85"/>
    </row>
    <row r="58" spans="1:11" x14ac:dyDescent="0.25">
      <c r="A58" s="33"/>
      <c r="B58" s="33"/>
      <c r="C58" s="33"/>
      <c r="D58" s="33"/>
      <c r="E58" s="33"/>
      <c r="F58" s="33"/>
      <c r="G58" s="33"/>
      <c r="H58" s="33"/>
      <c r="I58" s="33"/>
      <c r="J58" s="33"/>
      <c r="K58" s="33"/>
    </row>
    <row r="59" spans="1:11" x14ac:dyDescent="0.25">
      <c r="A59" s="33" t="s">
        <v>108</v>
      </c>
      <c r="B59" s="33"/>
      <c r="C59" s="33" t="s">
        <v>39</v>
      </c>
      <c r="D59" s="33"/>
      <c r="E59" s="33"/>
      <c r="F59" s="33"/>
      <c r="G59" s="33"/>
      <c r="H59" s="33"/>
      <c r="I59" s="33"/>
      <c r="J59" s="36"/>
      <c r="K59" s="36"/>
    </row>
    <row r="60" spans="1:11" x14ac:dyDescent="0.25">
      <c r="A60" s="37"/>
      <c r="B60" s="37"/>
      <c r="C60" s="37"/>
      <c r="D60" s="37"/>
      <c r="E60" s="37"/>
      <c r="F60" s="37"/>
      <c r="G60" s="37"/>
      <c r="H60" s="37"/>
      <c r="I60" s="37"/>
      <c r="J60" s="37"/>
      <c r="K60" s="37"/>
    </row>
    <row r="61" spans="1:11" x14ac:dyDescent="0.25">
      <c r="A61" s="139" t="s">
        <v>0</v>
      </c>
      <c r="B61" s="140"/>
      <c r="C61" s="140"/>
      <c r="D61" s="140"/>
      <c r="E61" s="140"/>
      <c r="F61" s="140"/>
      <c r="G61" s="141"/>
      <c r="H61" s="28"/>
      <c r="I61" s="116" t="s">
        <v>1</v>
      </c>
      <c r="J61" s="148" t="str">
        <f>$J$6</f>
        <v>04567</v>
      </c>
      <c r="K61" s="119"/>
    </row>
    <row r="62" spans="1:11" x14ac:dyDescent="0.25">
      <c r="A62" s="142"/>
      <c r="B62" s="143"/>
      <c r="C62" s="143"/>
      <c r="D62" s="143"/>
      <c r="E62" s="143"/>
      <c r="F62" s="143"/>
      <c r="G62" s="144"/>
      <c r="H62" s="28"/>
      <c r="I62" s="117"/>
      <c r="J62" s="120"/>
      <c r="K62" s="121"/>
    </row>
    <row r="63" spans="1:11" x14ac:dyDescent="0.25">
      <c r="A63" s="142"/>
      <c r="B63" s="143"/>
      <c r="C63" s="143"/>
      <c r="D63" s="143"/>
      <c r="E63" s="143"/>
      <c r="F63" s="143"/>
      <c r="G63" s="144"/>
      <c r="H63" s="28"/>
      <c r="I63" s="149" t="s">
        <v>326</v>
      </c>
      <c r="J63" s="150"/>
      <c r="K63" s="151"/>
    </row>
    <row r="64" spans="1:11" x14ac:dyDescent="0.25">
      <c r="A64" s="145"/>
      <c r="B64" s="146"/>
      <c r="C64" s="146"/>
      <c r="D64" s="146"/>
      <c r="E64" s="146"/>
      <c r="F64" s="146"/>
      <c r="G64" s="147"/>
      <c r="H64" s="28"/>
      <c r="I64" s="152"/>
      <c r="J64" s="153"/>
      <c r="K64" s="154"/>
    </row>
    <row r="65" spans="1:11" x14ac:dyDescent="0.25">
      <c r="A65" s="28"/>
      <c r="B65" s="28"/>
      <c r="C65" s="28"/>
      <c r="D65" s="28"/>
      <c r="E65" s="28"/>
      <c r="F65" s="28"/>
      <c r="G65" s="28"/>
      <c r="H65" s="28"/>
      <c r="I65" s="28"/>
      <c r="J65" s="28"/>
      <c r="K65" s="28"/>
    </row>
    <row r="66" spans="1:11" x14ac:dyDescent="0.25">
      <c r="A66" s="28"/>
      <c r="B66" s="28"/>
      <c r="C66" s="28"/>
      <c r="D66" s="28"/>
      <c r="E66" s="28"/>
      <c r="F66" s="28"/>
      <c r="G66" s="28"/>
      <c r="H66" s="28"/>
      <c r="I66" s="28"/>
      <c r="J66" s="28"/>
      <c r="K66" s="28"/>
    </row>
    <row r="67" spans="1:11" ht="15.75" x14ac:dyDescent="0.25">
      <c r="A67" s="101" t="s">
        <v>126</v>
      </c>
      <c r="B67" s="101"/>
      <c r="C67" s="101"/>
      <c r="D67" s="101"/>
      <c r="E67" s="101"/>
      <c r="F67" s="101"/>
      <c r="G67" s="101"/>
      <c r="H67" s="101"/>
      <c r="I67" s="101"/>
      <c r="J67" s="101"/>
      <c r="K67" s="101"/>
    </row>
    <row r="68" spans="1:11" x14ac:dyDescent="0.25">
      <c r="A68" s="102" t="s">
        <v>115</v>
      </c>
      <c r="B68" s="102"/>
      <c r="C68" s="28"/>
      <c r="D68" s="28"/>
      <c r="E68" s="28"/>
      <c r="F68" s="28"/>
      <c r="G68" s="28"/>
      <c r="H68" s="28"/>
      <c r="I68" s="28"/>
      <c r="J68" s="28"/>
      <c r="K68" s="28"/>
    </row>
    <row r="69" spans="1:11" x14ac:dyDescent="0.25">
      <c r="A69" s="28"/>
      <c r="B69" s="28"/>
      <c r="C69" s="28"/>
      <c r="D69" s="28"/>
      <c r="E69" s="28"/>
      <c r="F69" s="28"/>
      <c r="G69" s="28"/>
      <c r="H69" s="28"/>
      <c r="I69" s="28"/>
      <c r="J69" s="28"/>
      <c r="K69" s="28"/>
    </row>
    <row r="70" spans="1:11" ht="15.6" customHeight="1" x14ac:dyDescent="0.25">
      <c r="A70" s="157" t="s">
        <v>127</v>
      </c>
      <c r="B70" s="157"/>
      <c r="C70" s="157"/>
      <c r="D70" s="157"/>
      <c r="E70" s="157"/>
      <c r="F70" s="157"/>
      <c r="G70" s="157"/>
      <c r="H70" s="157"/>
      <c r="I70" s="157"/>
      <c r="J70" s="157"/>
      <c r="K70" s="157"/>
    </row>
    <row r="71" spans="1:11" x14ac:dyDescent="0.25">
      <c r="A71" s="157"/>
      <c r="B71" s="157"/>
      <c r="C71" s="157"/>
      <c r="D71" s="157"/>
      <c r="E71" s="157"/>
      <c r="F71" s="157"/>
      <c r="G71" s="157"/>
      <c r="H71" s="157"/>
      <c r="I71" s="157"/>
      <c r="J71" s="157"/>
      <c r="K71" s="157"/>
    </row>
    <row r="72" spans="1:11" x14ac:dyDescent="0.25">
      <c r="A72" s="157"/>
      <c r="B72" s="157"/>
      <c r="C72" s="157"/>
      <c r="D72" s="157"/>
      <c r="E72" s="157"/>
      <c r="F72" s="157"/>
      <c r="G72" s="157"/>
      <c r="H72" s="157"/>
      <c r="I72" s="157"/>
      <c r="J72" s="157"/>
      <c r="K72" s="157"/>
    </row>
    <row r="73" spans="1:11" x14ac:dyDescent="0.25">
      <c r="A73" s="104" t="e">
        <f>IF($K$268="LMX",'Test Equ'!B65,'Test Equ'!B64)</f>
        <v>#N/A</v>
      </c>
      <c r="B73" s="104"/>
      <c r="C73" s="104"/>
      <c r="D73" s="104"/>
      <c r="E73" s="104"/>
      <c r="F73" s="104"/>
      <c r="G73" s="104"/>
      <c r="H73" s="104"/>
      <c r="I73" s="104"/>
      <c r="J73" s="104"/>
      <c r="K73" s="104"/>
    </row>
    <row r="74" spans="1:11" x14ac:dyDescent="0.25">
      <c r="A74" s="104" t="s">
        <v>161</v>
      </c>
      <c r="B74" s="104"/>
      <c r="C74" s="104"/>
      <c r="D74" s="104"/>
      <c r="E74" s="104"/>
      <c r="F74" s="104"/>
      <c r="G74" s="104"/>
      <c r="H74" s="104"/>
      <c r="I74" s="104"/>
      <c r="J74" s="104"/>
      <c r="K74" s="104"/>
    </row>
    <row r="75" spans="1:11" x14ac:dyDescent="0.25">
      <c r="A75" s="28"/>
      <c r="B75" s="28"/>
      <c r="C75" s="28"/>
      <c r="D75" s="28"/>
      <c r="E75" s="28"/>
      <c r="F75" s="28"/>
      <c r="G75" s="28"/>
      <c r="H75" s="28"/>
      <c r="I75" s="28"/>
      <c r="J75" s="28"/>
      <c r="K75" s="28"/>
    </row>
    <row r="76" spans="1:11" ht="30" customHeight="1" x14ac:dyDescent="0.25">
      <c r="A76" s="53" t="s">
        <v>12</v>
      </c>
      <c r="B76" s="130" t="s">
        <v>13</v>
      </c>
      <c r="C76" s="130"/>
      <c r="D76" s="130" t="s">
        <v>14</v>
      </c>
      <c r="E76" s="130"/>
      <c r="F76" s="130" t="s">
        <v>15</v>
      </c>
      <c r="G76" s="130"/>
      <c r="H76" s="130" t="s">
        <v>16</v>
      </c>
      <c r="I76" s="130"/>
      <c r="J76" s="130" t="s">
        <v>17</v>
      </c>
      <c r="K76" s="130"/>
    </row>
    <row r="77" spans="1:11" ht="19.149999999999999" customHeight="1" x14ac:dyDescent="0.25">
      <c r="A77" s="53"/>
      <c r="B77" s="130" t="s">
        <v>18</v>
      </c>
      <c r="C77" s="130"/>
      <c r="D77" s="130" t="s">
        <v>18</v>
      </c>
      <c r="E77" s="130"/>
      <c r="F77" s="130" t="s">
        <v>19</v>
      </c>
      <c r="G77" s="130"/>
      <c r="H77" s="130" t="s">
        <v>18</v>
      </c>
      <c r="I77" s="130"/>
      <c r="J77" s="130" t="s">
        <v>19</v>
      </c>
      <c r="K77" s="130"/>
    </row>
    <row r="78" spans="1:11" ht="19.149999999999999" customHeight="1" x14ac:dyDescent="0.25">
      <c r="A78" s="38" t="s">
        <v>129</v>
      </c>
      <c r="B78" s="135">
        <v>20</v>
      </c>
      <c r="C78" s="135"/>
      <c r="D78" s="135" t="str">
        <f>IF(Checks!$D$28="1",#REF!,"")</f>
        <v/>
      </c>
      <c r="E78" s="135"/>
      <c r="F78" s="186" t="e">
        <f>IF($K$267="LMX",600*0.1/100,IF($K$267="UPC1",708*0.2/100,0.25/100*B78+0.1/100*708))</f>
        <v>#N/A</v>
      </c>
      <c r="G78" s="186"/>
      <c r="H78" s="136" t="str">
        <f>IF(Checks!$D$28="1",#REF!,"")</f>
        <v/>
      </c>
      <c r="I78" s="136"/>
      <c r="J78" s="158" t="e">
        <f t="shared" ref="J78:J85" si="0">IF($K$268="ADX",0.5/100*300,IF($K$268="ACX",0.5*300/100,IF($K$268="LMX",270*0.1/100,IF($K$268="ASX",300*0.5/100,300*0.5/100))))</f>
        <v>#N/A</v>
      </c>
      <c r="K78" s="159"/>
    </row>
    <row r="79" spans="1:11" ht="19.149999999999999" customHeight="1" x14ac:dyDescent="0.25">
      <c r="A79" s="38" t="s">
        <v>129</v>
      </c>
      <c r="B79" s="135">
        <v>50</v>
      </c>
      <c r="C79" s="135"/>
      <c r="D79" s="135" t="str">
        <f>IF(Checks!$D$28="1",#REF!,"")</f>
        <v/>
      </c>
      <c r="E79" s="135"/>
      <c r="F79" s="186" t="e">
        <f t="shared" ref="F79:F85" si="1">IF($K$267="LMX",600*0.1/100,IF($K$267="UPC1",708*0.2/100,0.25/100*B79+0.1/100*708))</f>
        <v>#N/A</v>
      </c>
      <c r="G79" s="186"/>
      <c r="H79" s="136" t="str">
        <f>IF(Checks!$D$28="1",#REF!,"")</f>
        <v/>
      </c>
      <c r="I79" s="136"/>
      <c r="J79" s="158" t="e">
        <f t="shared" si="0"/>
        <v>#N/A</v>
      </c>
      <c r="K79" s="159"/>
    </row>
    <row r="80" spans="1:11" ht="19.149999999999999" customHeight="1" x14ac:dyDescent="0.25">
      <c r="A80" s="38" t="s">
        <v>129</v>
      </c>
      <c r="B80" s="135">
        <v>100</v>
      </c>
      <c r="C80" s="135"/>
      <c r="D80" s="135" t="str">
        <f>IF(Checks!$D$28="1",#REF!,"")</f>
        <v/>
      </c>
      <c r="E80" s="135"/>
      <c r="F80" s="186" t="e">
        <f t="shared" si="1"/>
        <v>#N/A</v>
      </c>
      <c r="G80" s="186"/>
      <c r="H80" s="136" t="str">
        <f>IF(Checks!$D$28="1",#REF!,"")</f>
        <v/>
      </c>
      <c r="I80" s="136"/>
      <c r="J80" s="158" t="e">
        <f t="shared" si="0"/>
        <v>#N/A</v>
      </c>
      <c r="K80" s="159"/>
    </row>
    <row r="81" spans="1:11" ht="19.149999999999999" customHeight="1" x14ac:dyDescent="0.25">
      <c r="A81" s="38" t="s">
        <v>129</v>
      </c>
      <c r="B81" s="135">
        <v>150</v>
      </c>
      <c r="C81" s="135"/>
      <c r="D81" s="135" t="str">
        <f>IF(Checks!$D$28="1",#REF!,"")</f>
        <v/>
      </c>
      <c r="E81" s="135"/>
      <c r="F81" s="137" t="e">
        <f t="shared" si="1"/>
        <v>#N/A</v>
      </c>
      <c r="G81" s="138"/>
      <c r="H81" s="136" t="str">
        <f>IF(Checks!$D$28="1",#REF!,"")</f>
        <v/>
      </c>
      <c r="I81" s="136"/>
      <c r="J81" s="158" t="e">
        <f t="shared" si="0"/>
        <v>#N/A</v>
      </c>
      <c r="K81" s="159"/>
    </row>
    <row r="82" spans="1:11" ht="19.149999999999999" customHeight="1" x14ac:dyDescent="0.25">
      <c r="A82" s="38" t="s">
        <v>129</v>
      </c>
      <c r="B82" s="135">
        <v>200</v>
      </c>
      <c r="C82" s="135"/>
      <c r="D82" s="135" t="str">
        <f>IF(Checks!$D$28="1",#REF!,"")</f>
        <v/>
      </c>
      <c r="E82" s="135"/>
      <c r="F82" s="137" t="e">
        <f t="shared" si="1"/>
        <v>#N/A</v>
      </c>
      <c r="G82" s="138"/>
      <c r="H82" s="136" t="str">
        <f>IF(Checks!$D$28="1",#REF!,"")</f>
        <v/>
      </c>
      <c r="I82" s="136"/>
      <c r="J82" s="158" t="e">
        <f t="shared" si="0"/>
        <v>#N/A</v>
      </c>
      <c r="K82" s="159"/>
    </row>
    <row r="83" spans="1:11" ht="19.149999999999999" customHeight="1" x14ac:dyDescent="0.25">
      <c r="A83" s="38" t="s">
        <v>129</v>
      </c>
      <c r="B83" s="135">
        <v>230</v>
      </c>
      <c r="C83" s="135"/>
      <c r="D83" s="135" t="str">
        <f>IF(Checks!$D$28="1",#REF!,"")</f>
        <v/>
      </c>
      <c r="E83" s="135"/>
      <c r="F83" s="137" t="e">
        <f t="shared" si="1"/>
        <v>#N/A</v>
      </c>
      <c r="G83" s="138"/>
      <c r="H83" s="136" t="str">
        <f>IF(Checks!$D$28="1",#REF!,"")</f>
        <v/>
      </c>
      <c r="I83" s="136"/>
      <c r="J83" s="158" t="e">
        <f t="shared" si="0"/>
        <v>#N/A</v>
      </c>
      <c r="K83" s="159"/>
    </row>
    <row r="84" spans="1:11" ht="19.149999999999999" customHeight="1" x14ac:dyDescent="0.25">
      <c r="A84" s="38" t="s">
        <v>129</v>
      </c>
      <c r="B84" s="135">
        <v>250</v>
      </c>
      <c r="C84" s="135"/>
      <c r="D84" s="135" t="str">
        <f>IF(Checks!$D$28="1",#REF!,"")</f>
        <v/>
      </c>
      <c r="E84" s="135"/>
      <c r="F84" s="137" t="e">
        <f t="shared" si="1"/>
        <v>#N/A</v>
      </c>
      <c r="G84" s="138"/>
      <c r="H84" s="136" t="str">
        <f>IF(Checks!$D$28="1",#REF!,"")</f>
        <v/>
      </c>
      <c r="I84" s="136"/>
      <c r="J84" s="158" t="e">
        <f t="shared" si="0"/>
        <v>#N/A</v>
      </c>
      <c r="K84" s="159"/>
    </row>
    <row r="85" spans="1:11" ht="19.149999999999999" customHeight="1" x14ac:dyDescent="0.25">
      <c r="A85" s="38" t="s">
        <v>129</v>
      </c>
      <c r="B85" s="135" t="e">
        <f>2*B135</f>
        <v>#N/A</v>
      </c>
      <c r="C85" s="135"/>
      <c r="D85" s="135" t="str">
        <f>IF(Checks!$D$28="1",#REF!,"")</f>
        <v/>
      </c>
      <c r="E85" s="135"/>
      <c r="F85" s="137" t="e">
        <f t="shared" si="1"/>
        <v>#N/A</v>
      </c>
      <c r="G85" s="138"/>
      <c r="H85" s="136" t="str">
        <f>IF(Checks!$D$28="1",#REF!,"")</f>
        <v/>
      </c>
      <c r="I85" s="136"/>
      <c r="J85" s="158" t="e">
        <f t="shared" si="0"/>
        <v>#N/A</v>
      </c>
      <c r="K85" s="159"/>
    </row>
    <row r="86" spans="1:11" x14ac:dyDescent="0.25">
      <c r="A86" s="28"/>
      <c r="B86" s="28"/>
      <c r="C86" s="28"/>
      <c r="D86" s="28"/>
      <c r="E86" s="28"/>
      <c r="F86" s="28"/>
      <c r="G86" s="28"/>
      <c r="H86" s="28"/>
      <c r="I86" s="28"/>
      <c r="J86" s="28"/>
      <c r="K86" s="28"/>
    </row>
    <row r="87" spans="1:11" x14ac:dyDescent="0.25">
      <c r="A87" s="5" t="s">
        <v>124</v>
      </c>
      <c r="B87" s="5"/>
      <c r="C87" s="5"/>
      <c r="D87" s="5" t="s">
        <v>125</v>
      </c>
      <c r="E87" s="5"/>
      <c r="F87" s="5"/>
      <c r="G87" s="5"/>
      <c r="H87" s="5"/>
      <c r="I87" s="5"/>
      <c r="J87" s="5"/>
      <c r="K87" s="5"/>
    </row>
    <row r="88" spans="1:11" x14ac:dyDescent="0.25">
      <c r="A88" s="28"/>
      <c r="B88" s="28"/>
      <c r="C88" s="28"/>
      <c r="D88" s="28"/>
      <c r="E88" s="28"/>
      <c r="F88" s="28"/>
      <c r="G88" s="28"/>
      <c r="H88" s="28"/>
      <c r="I88" s="28"/>
      <c r="J88" s="28"/>
      <c r="K88" s="28"/>
    </row>
    <row r="89" spans="1:11" x14ac:dyDescent="0.25">
      <c r="A89" s="28"/>
      <c r="B89" s="28"/>
      <c r="C89" s="28"/>
      <c r="D89" s="28"/>
      <c r="E89" s="28"/>
      <c r="F89" s="28"/>
      <c r="G89" s="28"/>
      <c r="H89" s="28"/>
      <c r="I89" s="28"/>
      <c r="J89" s="28"/>
      <c r="K89" s="28"/>
    </row>
    <row r="90" spans="1:11" x14ac:dyDescent="0.25">
      <c r="A90" s="28"/>
      <c r="B90" s="28"/>
      <c r="C90" s="28"/>
      <c r="D90" s="28"/>
      <c r="E90" s="28"/>
      <c r="F90" s="28"/>
      <c r="G90" s="28"/>
      <c r="H90" s="28"/>
      <c r="I90" s="28"/>
      <c r="J90" s="28"/>
      <c r="K90" s="28"/>
    </row>
    <row r="91" spans="1:11" x14ac:dyDescent="0.25">
      <c r="A91" s="28"/>
      <c r="B91" s="28"/>
      <c r="C91" s="28"/>
      <c r="D91" s="28"/>
      <c r="E91" s="28"/>
      <c r="F91" s="28"/>
      <c r="G91" s="28"/>
      <c r="H91" s="28"/>
      <c r="I91" s="28"/>
      <c r="J91" s="28"/>
      <c r="K91" s="28"/>
    </row>
    <row r="92" spans="1:11" x14ac:dyDescent="0.25">
      <c r="A92" s="28"/>
      <c r="B92" s="28"/>
      <c r="C92" s="28"/>
      <c r="D92" s="28"/>
      <c r="E92" s="28"/>
      <c r="F92" s="28"/>
      <c r="G92" s="28"/>
      <c r="H92" s="28"/>
      <c r="I92" s="28"/>
      <c r="J92" s="28"/>
      <c r="K92" s="28"/>
    </row>
    <row r="93" spans="1:11" x14ac:dyDescent="0.25">
      <c r="A93" s="28"/>
      <c r="B93" s="28"/>
      <c r="C93" s="28"/>
      <c r="D93" s="28"/>
      <c r="E93" s="28"/>
      <c r="F93" s="28"/>
      <c r="G93" s="28"/>
      <c r="H93" s="28"/>
      <c r="I93" s="28"/>
      <c r="J93" s="28"/>
      <c r="K93" s="28"/>
    </row>
    <row r="94" spans="1:11" x14ac:dyDescent="0.25">
      <c r="A94" s="28"/>
      <c r="B94" s="28"/>
      <c r="C94" s="28"/>
      <c r="D94" s="28"/>
      <c r="E94" s="28"/>
      <c r="F94" s="28"/>
      <c r="G94" s="28"/>
      <c r="H94" s="28"/>
      <c r="I94" s="28"/>
      <c r="J94" s="28"/>
      <c r="K94" s="28"/>
    </row>
    <row r="95" spans="1:11" x14ac:dyDescent="0.25">
      <c r="A95" s="28"/>
      <c r="B95" s="28"/>
      <c r="C95" s="28"/>
      <c r="D95" s="28"/>
      <c r="E95" s="28"/>
      <c r="F95" s="28"/>
      <c r="G95" s="28"/>
      <c r="H95" s="28"/>
      <c r="I95" s="28"/>
      <c r="J95" s="28"/>
      <c r="K95" s="28"/>
    </row>
    <row r="96" spans="1:11" x14ac:dyDescent="0.25">
      <c r="A96" s="28"/>
      <c r="B96" s="28"/>
      <c r="C96" s="28"/>
      <c r="D96" s="28"/>
      <c r="E96" s="28"/>
      <c r="F96" s="28"/>
      <c r="G96" s="28"/>
      <c r="H96" s="28"/>
      <c r="I96" s="28"/>
      <c r="J96" s="28"/>
      <c r="K96" s="28"/>
    </row>
    <row r="97" spans="1:11" x14ac:dyDescent="0.25">
      <c r="A97" s="28"/>
      <c r="B97" s="28"/>
      <c r="C97" s="28"/>
      <c r="D97" s="28"/>
      <c r="E97" s="28"/>
      <c r="F97" s="28"/>
      <c r="G97" s="28"/>
      <c r="H97" s="28"/>
      <c r="I97" s="28"/>
      <c r="J97" s="28"/>
      <c r="K97" s="28"/>
    </row>
    <row r="98" spans="1:11" x14ac:dyDescent="0.25">
      <c r="A98" s="28"/>
      <c r="B98" s="28"/>
      <c r="C98" s="28"/>
      <c r="D98" s="28"/>
      <c r="E98" s="28"/>
      <c r="F98" s="28"/>
      <c r="G98" s="28"/>
      <c r="H98" s="28"/>
      <c r="I98" s="28"/>
      <c r="J98" s="28"/>
      <c r="K98" s="28"/>
    </row>
    <row r="99" spans="1:11" x14ac:dyDescent="0.25">
      <c r="A99" s="28"/>
      <c r="B99" s="28"/>
      <c r="C99" s="28"/>
      <c r="D99" s="28"/>
      <c r="E99" s="28"/>
      <c r="F99" s="28"/>
      <c r="G99" s="28"/>
      <c r="H99" s="28"/>
      <c r="I99" s="28"/>
      <c r="J99" s="28"/>
      <c r="K99" s="28"/>
    </row>
    <row r="100" spans="1:11" x14ac:dyDescent="0.25">
      <c r="A100" s="28"/>
      <c r="B100" s="28"/>
      <c r="C100" s="28"/>
      <c r="D100" s="28"/>
      <c r="E100" s="28"/>
      <c r="F100" s="28"/>
      <c r="G100" s="28"/>
      <c r="H100" s="28"/>
      <c r="I100" s="28"/>
      <c r="J100" s="28"/>
      <c r="K100" s="28"/>
    </row>
    <row r="101" spans="1:11" x14ac:dyDescent="0.25">
      <c r="A101" s="28"/>
      <c r="B101" s="28"/>
      <c r="C101" s="28"/>
      <c r="D101" s="28"/>
      <c r="E101" s="28"/>
      <c r="F101" s="28"/>
      <c r="G101" s="28"/>
      <c r="H101" s="28"/>
      <c r="I101" s="28"/>
      <c r="J101" s="28"/>
      <c r="K101" s="28"/>
    </row>
    <row r="102" spans="1:11" x14ac:dyDescent="0.25">
      <c r="A102" s="28"/>
      <c r="B102" s="28"/>
      <c r="C102" s="28"/>
      <c r="D102" s="28"/>
      <c r="E102" s="28"/>
      <c r="F102" s="28"/>
      <c r="G102" s="28"/>
      <c r="H102" s="28"/>
      <c r="I102" s="28"/>
      <c r="J102" s="28"/>
      <c r="K102" s="28"/>
    </row>
    <row r="103" spans="1:11" x14ac:dyDescent="0.25">
      <c r="A103" s="28"/>
      <c r="B103" s="28"/>
      <c r="C103" s="28"/>
      <c r="D103" s="28"/>
      <c r="E103" s="28"/>
      <c r="F103" s="28"/>
      <c r="G103" s="28"/>
      <c r="H103" s="28"/>
      <c r="I103" s="28"/>
      <c r="J103" s="28"/>
      <c r="K103" s="28"/>
    </row>
    <row r="104" spans="1:11" x14ac:dyDescent="0.25">
      <c r="A104" s="28"/>
      <c r="B104" s="28"/>
      <c r="C104" s="28"/>
      <c r="D104" s="28"/>
      <c r="E104" s="28"/>
      <c r="F104" s="28"/>
      <c r="G104" s="28"/>
      <c r="H104" s="28"/>
      <c r="I104" s="28"/>
      <c r="J104" s="28"/>
      <c r="K104" s="28"/>
    </row>
    <row r="105" spans="1:11" x14ac:dyDescent="0.25">
      <c r="A105" s="28"/>
      <c r="B105" s="28"/>
      <c r="C105" s="28"/>
      <c r="D105" s="28"/>
      <c r="E105" s="28"/>
      <c r="F105" s="28"/>
      <c r="G105" s="28"/>
      <c r="H105" s="28"/>
      <c r="I105" s="28"/>
      <c r="J105" s="28"/>
      <c r="K105" s="28"/>
    </row>
    <row r="106" spans="1:11" x14ac:dyDescent="0.25">
      <c r="A106" s="28"/>
      <c r="B106" s="28"/>
      <c r="C106" s="28"/>
      <c r="D106" s="28"/>
      <c r="E106" s="28"/>
      <c r="F106" s="28"/>
      <c r="G106" s="28"/>
      <c r="H106" s="28"/>
      <c r="I106" s="28"/>
      <c r="J106" s="28"/>
      <c r="K106" s="28"/>
    </row>
    <row r="107" spans="1:11" x14ac:dyDescent="0.25">
      <c r="A107" s="28"/>
      <c r="B107" s="28"/>
      <c r="C107" s="28"/>
      <c r="D107" s="28"/>
      <c r="E107" s="28"/>
      <c r="F107" s="28"/>
      <c r="G107" s="28"/>
      <c r="H107" s="28"/>
      <c r="I107" s="28"/>
      <c r="J107" s="28"/>
      <c r="K107" s="28"/>
    </row>
    <row r="108" spans="1:11" x14ac:dyDescent="0.25">
      <c r="A108" s="28"/>
      <c r="B108" s="28"/>
      <c r="C108" s="28"/>
      <c r="D108" s="28"/>
      <c r="E108" s="28"/>
      <c r="F108" s="28"/>
      <c r="G108" s="28"/>
      <c r="H108" s="28"/>
      <c r="I108" s="28"/>
      <c r="J108" s="28"/>
      <c r="K108" s="28"/>
    </row>
    <row r="109" spans="1:11" x14ac:dyDescent="0.25">
      <c r="A109" s="28"/>
      <c r="B109" s="28"/>
      <c r="C109" s="28"/>
      <c r="D109" s="28"/>
      <c r="E109" s="28"/>
      <c r="F109" s="28"/>
      <c r="G109" s="28"/>
      <c r="H109" s="28"/>
      <c r="I109" s="28"/>
      <c r="J109" s="28"/>
      <c r="K109" s="28"/>
    </row>
    <row r="110" spans="1:11" x14ac:dyDescent="0.25">
      <c r="A110" s="28"/>
      <c r="B110" s="28"/>
      <c r="C110" s="28"/>
      <c r="D110" s="28"/>
      <c r="E110" s="28"/>
      <c r="F110" s="28"/>
      <c r="G110" s="28"/>
      <c r="H110" s="28"/>
      <c r="I110" s="28"/>
      <c r="J110" s="28"/>
      <c r="K110" s="28"/>
    </row>
    <row r="111" spans="1:11" x14ac:dyDescent="0.25">
      <c r="A111" s="28"/>
      <c r="B111" s="28"/>
      <c r="C111" s="28"/>
      <c r="D111" s="28"/>
      <c r="E111" s="28"/>
      <c r="F111" s="28"/>
      <c r="G111" s="28"/>
      <c r="H111" s="28"/>
      <c r="I111" s="28"/>
      <c r="J111" s="28"/>
      <c r="K111" s="28"/>
    </row>
    <row r="112" spans="1:11" x14ac:dyDescent="0.25">
      <c r="A112" s="107" t="s">
        <v>0</v>
      </c>
      <c r="B112" s="108"/>
      <c r="C112" s="108"/>
      <c r="D112" s="108"/>
      <c r="E112" s="108"/>
      <c r="F112" s="108"/>
      <c r="G112" s="109"/>
      <c r="H112" s="28"/>
      <c r="I112" s="116" t="s">
        <v>1</v>
      </c>
      <c r="J112" s="148" t="str">
        <f>$J$6</f>
        <v>04567</v>
      </c>
      <c r="K112" s="119"/>
    </row>
    <row r="113" spans="1:11" x14ac:dyDescent="0.25">
      <c r="A113" s="110"/>
      <c r="B113" s="111"/>
      <c r="C113" s="111"/>
      <c r="D113" s="111"/>
      <c r="E113" s="111"/>
      <c r="F113" s="111"/>
      <c r="G113" s="112"/>
      <c r="H113" s="28"/>
      <c r="I113" s="117"/>
      <c r="J113" s="120"/>
      <c r="K113" s="121"/>
    </row>
    <row r="114" spans="1:11" x14ac:dyDescent="0.25">
      <c r="A114" s="110"/>
      <c r="B114" s="111"/>
      <c r="C114" s="111"/>
      <c r="D114" s="111"/>
      <c r="E114" s="111"/>
      <c r="F114" s="111"/>
      <c r="G114" s="112"/>
      <c r="H114" s="28"/>
      <c r="I114" s="122" t="s">
        <v>327</v>
      </c>
      <c r="J114" s="123"/>
      <c r="K114" s="124"/>
    </row>
    <row r="115" spans="1:11" x14ac:dyDescent="0.25">
      <c r="A115" s="113"/>
      <c r="B115" s="114"/>
      <c r="C115" s="114"/>
      <c r="D115" s="114"/>
      <c r="E115" s="114"/>
      <c r="F115" s="114"/>
      <c r="G115" s="115"/>
      <c r="H115" s="28"/>
      <c r="I115" s="125"/>
      <c r="J115" s="126"/>
      <c r="K115" s="127"/>
    </row>
    <row r="116" spans="1:11" x14ac:dyDescent="0.25">
      <c r="A116" s="28"/>
      <c r="B116" s="28"/>
      <c r="C116" s="28"/>
      <c r="D116" s="28"/>
      <c r="E116" s="28"/>
      <c r="F116" s="28"/>
      <c r="G116" s="28"/>
      <c r="H116" s="28"/>
      <c r="I116" s="28"/>
      <c r="J116" s="28"/>
      <c r="K116" s="28"/>
    </row>
    <row r="117" spans="1:11" ht="15.75" x14ac:dyDescent="0.25">
      <c r="A117" s="101" t="s">
        <v>128</v>
      </c>
      <c r="B117" s="101"/>
      <c r="C117" s="101"/>
      <c r="D117" s="101"/>
      <c r="E117" s="101"/>
      <c r="F117" s="101"/>
      <c r="G117" s="101"/>
      <c r="H117" s="101"/>
      <c r="I117" s="101"/>
      <c r="J117" s="101"/>
      <c r="K117" s="101"/>
    </row>
    <row r="118" spans="1:11" x14ac:dyDescent="0.25">
      <c r="A118" s="102" t="s">
        <v>115</v>
      </c>
      <c r="B118" s="102"/>
      <c r="C118" s="28"/>
      <c r="D118" s="28"/>
      <c r="E118" s="28"/>
      <c r="F118" s="28"/>
      <c r="G118" s="28"/>
      <c r="H118" s="28"/>
      <c r="I118" s="28"/>
      <c r="J118" s="28"/>
      <c r="K118" s="28"/>
    </row>
    <row r="119" spans="1:11" x14ac:dyDescent="0.25">
      <c r="A119" s="28"/>
      <c r="B119" s="28"/>
      <c r="C119" s="28"/>
      <c r="D119" s="28"/>
      <c r="E119" s="28"/>
      <c r="F119" s="28"/>
      <c r="G119" s="28"/>
      <c r="H119" s="28"/>
      <c r="I119" s="28"/>
      <c r="J119" s="28"/>
      <c r="K119" s="28"/>
    </row>
    <row r="120" spans="1:11" ht="15" customHeight="1" x14ac:dyDescent="0.25">
      <c r="A120" s="157" t="s">
        <v>130</v>
      </c>
      <c r="B120" s="157"/>
      <c r="C120" s="157"/>
      <c r="D120" s="157"/>
      <c r="E120" s="157"/>
      <c r="F120" s="157"/>
      <c r="G120" s="157"/>
      <c r="H120" s="157"/>
      <c r="I120" s="157"/>
      <c r="J120" s="157"/>
      <c r="K120" s="157"/>
    </row>
    <row r="121" spans="1:11" x14ac:dyDescent="0.25">
      <c r="A121" s="157"/>
      <c r="B121" s="157"/>
      <c r="C121" s="157"/>
      <c r="D121" s="157"/>
      <c r="E121" s="157"/>
      <c r="F121" s="157"/>
      <c r="G121" s="157"/>
      <c r="H121" s="157"/>
      <c r="I121" s="157"/>
      <c r="J121" s="157"/>
      <c r="K121" s="157"/>
    </row>
    <row r="122" spans="1:11" x14ac:dyDescent="0.25">
      <c r="A122" s="157"/>
      <c r="B122" s="157"/>
      <c r="C122" s="157"/>
      <c r="D122" s="157"/>
      <c r="E122" s="157"/>
      <c r="F122" s="157"/>
      <c r="G122" s="157"/>
      <c r="H122" s="157"/>
      <c r="I122" s="157"/>
      <c r="J122" s="157"/>
      <c r="K122" s="157"/>
    </row>
    <row r="123" spans="1:11" x14ac:dyDescent="0.25">
      <c r="A123" s="104" t="e">
        <f>IF(K268="LMX",'Test Equ'!B69,'Test Equ'!B68)</f>
        <v>#N/A</v>
      </c>
      <c r="B123" s="104"/>
      <c r="C123" s="104"/>
      <c r="D123" s="104"/>
      <c r="E123" s="104"/>
      <c r="F123" s="104"/>
      <c r="G123" s="104"/>
      <c r="H123" s="104"/>
      <c r="I123" s="104"/>
      <c r="J123" s="104"/>
      <c r="K123" s="104"/>
    </row>
    <row r="124" spans="1:11" x14ac:dyDescent="0.25">
      <c r="A124" s="104" t="str">
        <f>IF(E25="A","Frequency 400Hz.","Frequency 60Hz.")</f>
        <v>Frequency 400Hz.</v>
      </c>
      <c r="B124" s="104"/>
      <c r="C124" s="104"/>
      <c r="D124" s="104"/>
      <c r="E124" s="104"/>
      <c r="F124" s="104"/>
      <c r="G124" s="104"/>
      <c r="H124" s="104"/>
      <c r="I124" s="104"/>
      <c r="J124" s="104"/>
      <c r="K124" s="104"/>
    </row>
    <row r="125" spans="1:11" x14ac:dyDescent="0.25">
      <c r="A125" s="28"/>
      <c r="B125" s="28"/>
      <c r="C125" s="28"/>
      <c r="D125" s="28"/>
      <c r="E125" s="28"/>
      <c r="F125" s="28"/>
      <c r="G125" s="28"/>
      <c r="H125" s="28"/>
      <c r="I125" s="28"/>
      <c r="J125" s="28"/>
      <c r="K125" s="28"/>
    </row>
    <row r="126" spans="1:11" ht="31.15" customHeight="1" x14ac:dyDescent="0.25">
      <c r="A126" s="48" t="s">
        <v>12</v>
      </c>
      <c r="B126" s="160" t="s">
        <v>13</v>
      </c>
      <c r="C126" s="160"/>
      <c r="D126" s="160" t="s">
        <v>14</v>
      </c>
      <c r="E126" s="160"/>
      <c r="F126" s="160" t="s">
        <v>15</v>
      </c>
      <c r="G126" s="160"/>
      <c r="H126" s="160" t="s">
        <v>16</v>
      </c>
      <c r="I126" s="160"/>
      <c r="J126" s="160" t="s">
        <v>17</v>
      </c>
      <c r="K126" s="160"/>
    </row>
    <row r="127" spans="1:11" ht="19.149999999999999" customHeight="1" x14ac:dyDescent="0.25">
      <c r="A127" s="48"/>
      <c r="B127" s="160" t="s">
        <v>18</v>
      </c>
      <c r="C127" s="160"/>
      <c r="D127" s="160" t="s">
        <v>18</v>
      </c>
      <c r="E127" s="160"/>
      <c r="F127" s="160" t="s">
        <v>19</v>
      </c>
      <c r="G127" s="160"/>
      <c r="H127" s="160" t="s">
        <v>18</v>
      </c>
      <c r="I127" s="160"/>
      <c r="J127" s="160" t="s">
        <v>19</v>
      </c>
      <c r="K127" s="160"/>
    </row>
    <row r="128" spans="1:11" ht="19.149999999999999" customHeight="1" x14ac:dyDescent="0.25">
      <c r="A128" s="51" t="s">
        <v>116</v>
      </c>
      <c r="B128" s="161">
        <v>10</v>
      </c>
      <c r="C128" s="161"/>
      <c r="D128" s="135"/>
      <c r="E128" s="135"/>
      <c r="F128" s="186" t="e">
        <f>IF($K$267="LMX",340*0.1/100,IF($K$267="UPC1",354*0.2/100,0.25/100*B128+0.1/100*354))</f>
        <v>#N/A</v>
      </c>
      <c r="G128" s="186"/>
      <c r="H128" s="136"/>
      <c r="I128" s="136"/>
      <c r="J128" s="158" t="e">
        <f t="shared" ref="J128:J135" si="2">IF($K$268="ADX",0.5/100*150,IF($K$268="ACX",0.5/100*150,IF($K$268="LMX",135*0.1/100,IF($K$268="ASX",150*0.5/100,150*0.5/100))))</f>
        <v>#N/A</v>
      </c>
      <c r="K128" s="159"/>
    </row>
    <row r="129" spans="1:11" ht="19.149999999999999" customHeight="1" x14ac:dyDescent="0.25">
      <c r="A129" s="51" t="s">
        <v>116</v>
      </c>
      <c r="B129" s="161">
        <v>25</v>
      </c>
      <c r="C129" s="161"/>
      <c r="D129" s="135"/>
      <c r="E129" s="135"/>
      <c r="F129" s="186" t="e">
        <f t="shared" ref="F129:F135" si="3">IF($K$267="LMX",340*0.1/100,IF($K$267="UPC1",354*0.2/100,0.25/100*B129+0.1/100*354))</f>
        <v>#N/A</v>
      </c>
      <c r="G129" s="186"/>
      <c r="H129" s="136"/>
      <c r="I129" s="136"/>
      <c r="J129" s="158" t="e">
        <f t="shared" si="2"/>
        <v>#N/A</v>
      </c>
      <c r="K129" s="159"/>
    </row>
    <row r="130" spans="1:11" ht="19.149999999999999" customHeight="1" x14ac:dyDescent="0.25">
      <c r="A130" s="51" t="s">
        <v>116</v>
      </c>
      <c r="B130" s="161">
        <v>50</v>
      </c>
      <c r="C130" s="161"/>
      <c r="D130" s="135"/>
      <c r="E130" s="135"/>
      <c r="F130" s="186" t="e">
        <f t="shared" si="3"/>
        <v>#N/A</v>
      </c>
      <c r="G130" s="186"/>
      <c r="H130" s="136"/>
      <c r="I130" s="136"/>
      <c r="J130" s="158" t="e">
        <f t="shared" si="2"/>
        <v>#N/A</v>
      </c>
      <c r="K130" s="159"/>
    </row>
    <row r="131" spans="1:11" ht="19.149999999999999" customHeight="1" x14ac:dyDescent="0.25">
      <c r="A131" s="51" t="s">
        <v>116</v>
      </c>
      <c r="B131" s="161">
        <v>75</v>
      </c>
      <c r="C131" s="161"/>
      <c r="D131" s="135"/>
      <c r="E131" s="135"/>
      <c r="F131" s="186" t="e">
        <f t="shared" si="3"/>
        <v>#N/A</v>
      </c>
      <c r="G131" s="186"/>
      <c r="H131" s="136"/>
      <c r="I131" s="136"/>
      <c r="J131" s="158" t="e">
        <f t="shared" si="2"/>
        <v>#N/A</v>
      </c>
      <c r="K131" s="159"/>
    </row>
    <row r="132" spans="1:11" ht="19.149999999999999" customHeight="1" x14ac:dyDescent="0.25">
      <c r="A132" s="51" t="s">
        <v>116</v>
      </c>
      <c r="B132" s="161">
        <v>100</v>
      </c>
      <c r="C132" s="161"/>
      <c r="D132" s="135"/>
      <c r="E132" s="135"/>
      <c r="F132" s="186" t="e">
        <f t="shared" si="3"/>
        <v>#N/A</v>
      </c>
      <c r="G132" s="186"/>
      <c r="H132" s="136"/>
      <c r="I132" s="136"/>
      <c r="J132" s="158" t="e">
        <f t="shared" si="2"/>
        <v>#N/A</v>
      </c>
      <c r="K132" s="159"/>
    </row>
    <row r="133" spans="1:11" ht="19.149999999999999" customHeight="1" x14ac:dyDescent="0.25">
      <c r="A133" s="51" t="s">
        <v>116</v>
      </c>
      <c r="B133" s="161">
        <v>115</v>
      </c>
      <c r="C133" s="161"/>
      <c r="D133" s="135"/>
      <c r="E133" s="135"/>
      <c r="F133" s="186" t="e">
        <f t="shared" si="3"/>
        <v>#N/A</v>
      </c>
      <c r="G133" s="186"/>
      <c r="H133" s="136"/>
      <c r="I133" s="136"/>
      <c r="J133" s="158" t="e">
        <f t="shared" si="2"/>
        <v>#N/A</v>
      </c>
      <c r="K133" s="159"/>
    </row>
    <row r="134" spans="1:11" ht="19.149999999999999" customHeight="1" x14ac:dyDescent="0.25">
      <c r="A134" s="51" t="s">
        <v>116</v>
      </c>
      <c r="B134" s="161">
        <v>125</v>
      </c>
      <c r="C134" s="161"/>
      <c r="D134" s="135"/>
      <c r="E134" s="135"/>
      <c r="F134" s="186" t="e">
        <f t="shared" si="3"/>
        <v>#N/A</v>
      </c>
      <c r="G134" s="186"/>
      <c r="H134" s="136"/>
      <c r="I134" s="136"/>
      <c r="J134" s="158" t="e">
        <f t="shared" si="2"/>
        <v>#N/A</v>
      </c>
      <c r="K134" s="159"/>
    </row>
    <row r="135" spans="1:11" ht="19.149999999999999" customHeight="1" x14ac:dyDescent="0.25">
      <c r="A135" s="51" t="s">
        <v>116</v>
      </c>
      <c r="B135" s="161" t="e">
        <f>VLOOKUP(D28,'2Ph data'!A:E,5,0)</f>
        <v>#N/A</v>
      </c>
      <c r="C135" s="161"/>
      <c r="D135" s="135"/>
      <c r="E135" s="135"/>
      <c r="F135" s="186" t="e">
        <f t="shared" si="3"/>
        <v>#N/A</v>
      </c>
      <c r="G135" s="186"/>
      <c r="H135" s="136"/>
      <c r="I135" s="136"/>
      <c r="J135" s="158" t="e">
        <f t="shared" si="2"/>
        <v>#N/A</v>
      </c>
      <c r="K135" s="159"/>
    </row>
    <row r="136" spans="1:11" x14ac:dyDescent="0.25">
      <c r="A136" s="28"/>
      <c r="B136" s="28"/>
      <c r="C136" s="28"/>
      <c r="D136" s="28"/>
      <c r="E136" s="28"/>
      <c r="F136" s="28"/>
      <c r="G136" s="28"/>
      <c r="H136" s="28"/>
      <c r="I136" s="28"/>
      <c r="J136" s="28"/>
      <c r="K136" s="28"/>
    </row>
    <row r="137" spans="1:11" x14ac:dyDescent="0.25">
      <c r="A137" s="5" t="s">
        <v>124</v>
      </c>
      <c r="B137" s="5"/>
      <c r="C137" s="5"/>
      <c r="D137" s="5" t="s">
        <v>125</v>
      </c>
      <c r="E137" s="5"/>
      <c r="F137" s="5"/>
      <c r="G137" s="5"/>
      <c r="H137" s="5"/>
      <c r="I137" s="5"/>
      <c r="J137" s="5"/>
      <c r="K137" s="5"/>
    </row>
    <row r="138" spans="1:11" x14ac:dyDescent="0.25">
      <c r="A138" s="28"/>
      <c r="B138" s="28"/>
      <c r="C138" s="28"/>
      <c r="D138" s="28"/>
      <c r="E138" s="28"/>
      <c r="F138" s="28"/>
      <c r="G138" s="28"/>
      <c r="H138" s="28"/>
      <c r="I138" s="28"/>
      <c r="J138" s="28"/>
      <c r="K138" s="28"/>
    </row>
    <row r="139" spans="1:11" x14ac:dyDescent="0.25">
      <c r="A139" s="28"/>
      <c r="B139" s="28"/>
      <c r="C139" s="28"/>
      <c r="D139" s="28"/>
      <c r="E139" s="28"/>
      <c r="F139" s="28"/>
      <c r="G139" s="28"/>
      <c r="H139" s="28"/>
      <c r="I139" s="28"/>
      <c r="J139" s="28"/>
      <c r="K139" s="28"/>
    </row>
    <row r="140" spans="1:11" x14ac:dyDescent="0.25">
      <c r="A140" s="6" t="s">
        <v>131</v>
      </c>
      <c r="B140" s="28"/>
      <c r="C140" s="28"/>
      <c r="D140" s="28"/>
      <c r="E140" s="28"/>
      <c r="F140" s="28"/>
      <c r="G140" s="28"/>
      <c r="H140" s="28"/>
      <c r="I140" s="28"/>
      <c r="J140" s="28"/>
      <c r="K140" s="28"/>
    </row>
    <row r="141" spans="1:11" x14ac:dyDescent="0.25">
      <c r="A141" s="7"/>
      <c r="B141" s="28"/>
      <c r="C141" s="28"/>
      <c r="D141" s="28"/>
      <c r="E141" s="28"/>
      <c r="F141" s="28"/>
      <c r="G141" s="28"/>
      <c r="H141" s="28"/>
      <c r="I141" s="28"/>
      <c r="J141" s="28"/>
      <c r="K141" s="28"/>
    </row>
    <row r="142" spans="1:11" ht="15.75" x14ac:dyDescent="0.25">
      <c r="A142" s="5" t="s">
        <v>132</v>
      </c>
      <c r="B142" s="28"/>
      <c r="C142" s="28"/>
      <c r="D142" s="28"/>
      <c r="E142" s="5"/>
      <c r="F142" s="40" t="s">
        <v>134</v>
      </c>
      <c r="G142" s="49" t="e">
        <f>"@ "&amp;VLOOKUP(D28,'2Ph data'!A:O,15,0)&amp;"A"</f>
        <v>#N/A</v>
      </c>
      <c r="H142" s="28"/>
      <c r="I142" s="28"/>
      <c r="J142" s="28"/>
      <c r="K142" s="28"/>
    </row>
    <row r="143" spans="1:11" x14ac:dyDescent="0.25">
      <c r="A143" s="5"/>
      <c r="B143" s="28"/>
      <c r="C143" s="28"/>
      <c r="D143" s="28"/>
      <c r="E143" s="28"/>
      <c r="F143" s="28"/>
      <c r="G143" s="28"/>
      <c r="H143" s="28"/>
      <c r="I143" s="28"/>
      <c r="J143" s="28"/>
      <c r="K143" s="28"/>
    </row>
    <row r="144" spans="1:11" ht="15.75" x14ac:dyDescent="0.25">
      <c r="A144" s="5" t="s">
        <v>133</v>
      </c>
      <c r="B144" s="28"/>
      <c r="C144" s="28"/>
      <c r="D144" s="28"/>
      <c r="E144" s="5"/>
      <c r="F144" s="40" t="s">
        <v>134</v>
      </c>
      <c r="G144" s="28"/>
      <c r="H144" s="28"/>
      <c r="I144" s="28"/>
      <c r="J144" s="28"/>
      <c r="K144" s="28"/>
    </row>
    <row r="145" spans="1:11" x14ac:dyDescent="0.25">
      <c r="A145" s="5"/>
      <c r="B145" s="28"/>
      <c r="C145" s="28"/>
      <c r="D145" s="28"/>
      <c r="E145" s="28"/>
      <c r="F145" s="28"/>
      <c r="G145" s="28"/>
      <c r="H145" s="28"/>
      <c r="I145" s="28"/>
      <c r="J145" s="28"/>
      <c r="K145" s="28"/>
    </row>
    <row r="146" spans="1:11" ht="15.75" x14ac:dyDescent="0.25">
      <c r="A146" s="5" t="s">
        <v>135</v>
      </c>
      <c r="B146" s="28"/>
      <c r="C146" s="28"/>
      <c r="D146" s="28"/>
      <c r="E146" s="5"/>
      <c r="F146" s="40" t="s">
        <v>134</v>
      </c>
      <c r="G146" s="28"/>
      <c r="H146" s="28"/>
      <c r="I146" s="28"/>
      <c r="J146" s="28"/>
      <c r="K146" s="28"/>
    </row>
    <row r="147" spans="1:11" x14ac:dyDescent="0.25">
      <c r="A147" s="28"/>
      <c r="B147" s="28"/>
      <c r="C147" s="28"/>
      <c r="D147" s="28"/>
      <c r="E147" s="28"/>
      <c r="F147" s="28"/>
      <c r="G147" s="28"/>
      <c r="H147" s="28"/>
      <c r="I147" s="28"/>
      <c r="J147" s="28"/>
      <c r="K147" s="28"/>
    </row>
    <row r="148" spans="1:11" x14ac:dyDescent="0.25">
      <c r="A148" s="28"/>
      <c r="B148" s="28"/>
      <c r="C148" s="28"/>
      <c r="D148" s="28"/>
      <c r="E148" s="28"/>
      <c r="F148" s="28"/>
      <c r="G148" s="28"/>
      <c r="H148" s="28"/>
      <c r="I148" s="28"/>
      <c r="J148" s="28"/>
      <c r="K148" s="28"/>
    </row>
    <row r="149" spans="1:11" x14ac:dyDescent="0.25">
      <c r="A149" s="28"/>
      <c r="B149" s="28"/>
      <c r="C149" s="28"/>
      <c r="D149" s="28"/>
      <c r="E149" s="28"/>
      <c r="F149" s="28"/>
      <c r="G149" s="28"/>
      <c r="H149" s="28"/>
      <c r="I149" s="28"/>
      <c r="J149" s="28"/>
      <c r="K149" s="28"/>
    </row>
    <row r="150" spans="1:11" x14ac:dyDescent="0.25">
      <c r="A150" s="28"/>
      <c r="B150" s="28"/>
      <c r="C150" s="28"/>
      <c r="D150" s="28"/>
      <c r="E150" s="28"/>
      <c r="F150" s="28"/>
      <c r="G150" s="28"/>
      <c r="H150" s="28"/>
      <c r="I150" s="28"/>
      <c r="J150" s="28"/>
      <c r="K150" s="28"/>
    </row>
    <row r="151" spans="1:11" x14ac:dyDescent="0.25">
      <c r="A151" s="28"/>
      <c r="B151" s="28"/>
      <c r="C151" s="28"/>
      <c r="D151" s="28"/>
      <c r="E151" s="28"/>
      <c r="F151" s="28"/>
      <c r="G151" s="28"/>
      <c r="H151" s="28"/>
      <c r="I151" s="28"/>
      <c r="J151" s="28"/>
      <c r="K151" s="28"/>
    </row>
    <row r="152" spans="1:11" x14ac:dyDescent="0.25">
      <c r="A152" s="28"/>
      <c r="B152" s="28"/>
      <c r="C152" s="28"/>
      <c r="D152" s="28"/>
      <c r="E152" s="28"/>
      <c r="F152" s="28"/>
      <c r="G152" s="28"/>
      <c r="H152" s="28"/>
      <c r="I152" s="28"/>
      <c r="J152" s="28"/>
      <c r="K152" s="28"/>
    </row>
    <row r="153" spans="1:11" x14ac:dyDescent="0.25">
      <c r="A153" s="28"/>
      <c r="B153" s="28"/>
      <c r="C153" s="28"/>
      <c r="D153" s="28"/>
      <c r="E153" s="28"/>
      <c r="F153" s="28"/>
      <c r="G153" s="28"/>
      <c r="H153" s="28"/>
      <c r="I153" s="28"/>
      <c r="J153" s="28"/>
      <c r="K153" s="28"/>
    </row>
    <row r="154" spans="1:11" x14ac:dyDescent="0.25">
      <c r="A154" s="28"/>
      <c r="B154" s="28"/>
      <c r="C154" s="28"/>
      <c r="D154" s="28"/>
      <c r="E154" s="28"/>
      <c r="F154" s="28"/>
      <c r="G154" s="28"/>
      <c r="H154" s="28"/>
      <c r="I154" s="28"/>
      <c r="J154" s="28"/>
      <c r="K154" s="28"/>
    </row>
    <row r="155" spans="1:11" x14ac:dyDescent="0.25">
      <c r="A155" s="28"/>
      <c r="B155" s="28"/>
      <c r="C155" s="28"/>
      <c r="D155" s="28"/>
      <c r="E155" s="28"/>
      <c r="F155" s="28"/>
      <c r="G155" s="28"/>
      <c r="H155" s="28"/>
      <c r="I155" s="28"/>
      <c r="J155" s="28"/>
      <c r="K155" s="28"/>
    </row>
    <row r="156" spans="1:11" x14ac:dyDescent="0.25">
      <c r="A156" s="28"/>
      <c r="B156" s="28"/>
      <c r="C156" s="28"/>
      <c r="D156" s="28"/>
      <c r="E156" s="28"/>
      <c r="F156" s="28"/>
      <c r="G156" s="28"/>
      <c r="H156" s="28"/>
      <c r="I156" s="28"/>
      <c r="J156" s="28"/>
      <c r="K156" s="28"/>
    </row>
    <row r="157" spans="1:11" x14ac:dyDescent="0.25">
      <c r="A157" s="28"/>
      <c r="B157" s="28"/>
      <c r="C157" s="28"/>
      <c r="D157" s="28"/>
      <c r="E157" s="28"/>
      <c r="F157" s="28"/>
      <c r="G157" s="28"/>
      <c r="H157" s="28"/>
      <c r="I157" s="28"/>
      <c r="J157" s="28"/>
      <c r="K157" s="28"/>
    </row>
    <row r="158" spans="1:11" x14ac:dyDescent="0.25">
      <c r="A158" s="28"/>
      <c r="B158" s="28"/>
      <c r="C158" s="28"/>
      <c r="D158" s="28"/>
      <c r="E158" s="28"/>
      <c r="F158" s="28"/>
      <c r="G158" s="28"/>
      <c r="H158" s="28"/>
      <c r="I158" s="28"/>
      <c r="J158" s="28"/>
      <c r="K158" s="28"/>
    </row>
    <row r="159" spans="1:11" x14ac:dyDescent="0.25">
      <c r="A159" s="28"/>
      <c r="B159" s="28"/>
      <c r="C159" s="28"/>
      <c r="D159" s="28"/>
      <c r="E159" s="28"/>
      <c r="F159" s="28"/>
      <c r="G159" s="28"/>
      <c r="H159" s="28"/>
      <c r="I159" s="28"/>
      <c r="J159" s="28"/>
      <c r="K159" s="28"/>
    </row>
    <row r="160" spans="1:11" x14ac:dyDescent="0.25">
      <c r="A160" s="28"/>
      <c r="B160" s="28"/>
      <c r="C160" s="28"/>
      <c r="D160" s="28"/>
      <c r="E160" s="28"/>
      <c r="F160" s="28"/>
      <c r="G160" s="28"/>
      <c r="H160" s="28"/>
      <c r="I160" s="28"/>
      <c r="J160" s="28"/>
      <c r="K160" s="28"/>
    </row>
    <row r="161" spans="1:11" x14ac:dyDescent="0.25">
      <c r="A161" s="28"/>
      <c r="B161" s="28"/>
      <c r="C161" s="28"/>
      <c r="D161" s="28"/>
      <c r="E161" s="28"/>
      <c r="F161" s="28"/>
      <c r="G161" s="28"/>
      <c r="H161" s="28"/>
      <c r="I161" s="28"/>
      <c r="J161" s="28"/>
      <c r="K161" s="28"/>
    </row>
    <row r="162" spans="1:11" x14ac:dyDescent="0.25">
      <c r="A162" s="107" t="s">
        <v>0</v>
      </c>
      <c r="B162" s="108"/>
      <c r="C162" s="108"/>
      <c r="D162" s="108"/>
      <c r="E162" s="108"/>
      <c r="F162" s="108"/>
      <c r="G162" s="109"/>
      <c r="H162" s="28"/>
      <c r="I162" s="116" t="s">
        <v>1</v>
      </c>
      <c r="J162" s="148" t="str">
        <f>$J$6</f>
        <v>04567</v>
      </c>
      <c r="K162" s="119"/>
    </row>
    <row r="163" spans="1:11" x14ac:dyDescent="0.25">
      <c r="A163" s="110"/>
      <c r="B163" s="111"/>
      <c r="C163" s="111"/>
      <c r="D163" s="111"/>
      <c r="E163" s="111"/>
      <c r="F163" s="111"/>
      <c r="G163" s="112"/>
      <c r="H163" s="28"/>
      <c r="I163" s="117"/>
      <c r="J163" s="120"/>
      <c r="K163" s="121"/>
    </row>
    <row r="164" spans="1:11" x14ac:dyDescent="0.25">
      <c r="A164" s="110"/>
      <c r="B164" s="111"/>
      <c r="C164" s="111"/>
      <c r="D164" s="111"/>
      <c r="E164" s="111"/>
      <c r="F164" s="111"/>
      <c r="G164" s="112"/>
      <c r="H164" s="28"/>
      <c r="I164" s="122" t="s">
        <v>328</v>
      </c>
      <c r="J164" s="123"/>
      <c r="K164" s="124"/>
    </row>
    <row r="165" spans="1:11" x14ac:dyDescent="0.25">
      <c r="A165" s="113"/>
      <c r="B165" s="114"/>
      <c r="C165" s="114"/>
      <c r="D165" s="114"/>
      <c r="E165" s="114"/>
      <c r="F165" s="114"/>
      <c r="G165" s="115"/>
      <c r="H165" s="28"/>
      <c r="I165" s="125"/>
      <c r="J165" s="126"/>
      <c r="K165" s="127"/>
    </row>
    <row r="166" spans="1:11" x14ac:dyDescent="0.25">
      <c r="A166" s="28"/>
      <c r="B166" s="28"/>
      <c r="C166" s="28"/>
      <c r="D166" s="28"/>
      <c r="E166" s="28"/>
      <c r="F166" s="28"/>
      <c r="G166" s="28"/>
      <c r="H166" s="28"/>
      <c r="I166" s="28"/>
      <c r="J166" s="28"/>
      <c r="K166" s="28"/>
    </row>
    <row r="167" spans="1:11" ht="15.75" x14ac:dyDescent="0.25">
      <c r="A167" s="101" t="s">
        <v>329</v>
      </c>
      <c r="B167" s="101"/>
      <c r="C167" s="101"/>
      <c r="D167" s="101"/>
      <c r="E167" s="101"/>
      <c r="F167" s="101"/>
      <c r="G167" s="101"/>
      <c r="H167" s="101"/>
      <c r="I167" s="101"/>
      <c r="J167" s="101"/>
      <c r="K167" s="101"/>
    </row>
    <row r="168" spans="1:11" x14ac:dyDescent="0.25">
      <c r="A168" s="102" t="s">
        <v>115</v>
      </c>
      <c r="B168" s="102"/>
      <c r="C168" s="28"/>
      <c r="D168" s="28"/>
      <c r="E168" s="28"/>
      <c r="F168" s="28"/>
      <c r="G168" s="28"/>
      <c r="H168" s="28"/>
      <c r="I168" s="28"/>
      <c r="J168" s="28"/>
      <c r="K168" s="28"/>
    </row>
    <row r="169" spans="1:11" x14ac:dyDescent="0.25">
      <c r="A169" s="28"/>
      <c r="B169" s="28"/>
      <c r="C169" s="28"/>
      <c r="D169" s="28"/>
      <c r="E169" s="28"/>
      <c r="F169" s="28"/>
      <c r="G169" s="28"/>
      <c r="H169" s="28"/>
      <c r="I169" s="28"/>
      <c r="J169" s="28"/>
      <c r="K169" s="28"/>
    </row>
    <row r="170" spans="1:11" x14ac:dyDescent="0.25">
      <c r="A170" s="157" t="s">
        <v>330</v>
      </c>
      <c r="B170" s="157"/>
      <c r="C170" s="157"/>
      <c r="D170" s="157"/>
      <c r="E170" s="157"/>
      <c r="F170" s="157"/>
      <c r="G170" s="157"/>
      <c r="H170" s="157"/>
      <c r="I170" s="157"/>
      <c r="J170" s="157"/>
      <c r="K170" s="157"/>
    </row>
    <row r="171" spans="1:11" x14ac:dyDescent="0.25">
      <c r="A171" s="157"/>
      <c r="B171" s="157"/>
      <c r="C171" s="157"/>
      <c r="D171" s="157"/>
      <c r="E171" s="157"/>
      <c r="F171" s="157"/>
      <c r="G171" s="157"/>
      <c r="H171" s="157"/>
      <c r="I171" s="157"/>
      <c r="J171" s="157"/>
      <c r="K171" s="157"/>
    </row>
    <row r="172" spans="1:11" x14ac:dyDescent="0.25">
      <c r="A172" s="157"/>
      <c r="B172" s="157"/>
      <c r="C172" s="157"/>
      <c r="D172" s="157"/>
      <c r="E172" s="157"/>
      <c r="F172" s="157"/>
      <c r="G172" s="157"/>
      <c r="H172" s="157"/>
      <c r="I172" s="157"/>
      <c r="J172" s="157"/>
      <c r="K172" s="157"/>
    </row>
    <row r="173" spans="1:11" x14ac:dyDescent="0.25">
      <c r="A173" s="104" t="s">
        <v>331</v>
      </c>
      <c r="B173" s="104"/>
      <c r="C173" s="104"/>
      <c r="D173" s="104"/>
      <c r="E173" s="104"/>
      <c r="F173" s="104"/>
      <c r="G173" s="104"/>
      <c r="H173" s="104"/>
      <c r="I173" s="104"/>
      <c r="J173" s="104"/>
      <c r="K173" s="104"/>
    </row>
    <row r="174" spans="1:11" x14ac:dyDescent="0.25">
      <c r="A174" s="28"/>
      <c r="B174" s="28"/>
      <c r="C174" s="28"/>
      <c r="D174" s="28"/>
      <c r="E174" s="28"/>
      <c r="F174" s="28"/>
      <c r="G174" s="28"/>
      <c r="H174" s="28"/>
      <c r="I174" s="28"/>
      <c r="J174" s="28"/>
      <c r="K174" s="28"/>
    </row>
    <row r="175" spans="1:11" ht="27" customHeight="1" x14ac:dyDescent="0.25">
      <c r="A175" s="48" t="s">
        <v>12</v>
      </c>
      <c r="B175" s="160" t="s">
        <v>13</v>
      </c>
      <c r="C175" s="160"/>
      <c r="D175" s="160" t="s">
        <v>140</v>
      </c>
      <c r="E175" s="160"/>
      <c r="F175" s="160" t="s">
        <v>143</v>
      </c>
      <c r="G175" s="160"/>
      <c r="H175" s="160" t="s">
        <v>142</v>
      </c>
      <c r="I175" s="160"/>
      <c r="J175" s="160" t="s">
        <v>17</v>
      </c>
      <c r="K175" s="160"/>
    </row>
    <row r="176" spans="1:11" x14ac:dyDescent="0.25">
      <c r="A176" s="48"/>
      <c r="B176" s="160" t="s">
        <v>139</v>
      </c>
      <c r="C176" s="160"/>
      <c r="D176" s="160" t="s">
        <v>139</v>
      </c>
      <c r="E176" s="160"/>
      <c r="F176" s="160" t="s">
        <v>141</v>
      </c>
      <c r="G176" s="160"/>
      <c r="H176" s="160" t="s">
        <v>18</v>
      </c>
      <c r="I176" s="160"/>
      <c r="J176" s="160" t="s">
        <v>19</v>
      </c>
      <c r="K176" s="160"/>
    </row>
    <row r="177" spans="1:11" ht="19.149999999999999" customHeight="1" x14ac:dyDescent="0.25">
      <c r="A177" s="51" t="s">
        <v>116</v>
      </c>
      <c r="B177" s="161">
        <v>50</v>
      </c>
      <c r="C177" s="161"/>
      <c r="D177" s="161"/>
      <c r="E177" s="161"/>
      <c r="F177" s="169" t="e">
        <f>IF($K$267="LMX",0.1/100*150,IF($K$313="UPC1",0.01/100*150,0.01/100*150))</f>
        <v>#N/A</v>
      </c>
      <c r="G177" s="169"/>
      <c r="H177" s="136"/>
      <c r="I177" s="136"/>
      <c r="J177" s="158" t="e">
        <f>IF($K$268="ADX",0.5/100*150,IF($K$268="ACX",0.5/100*150,IF($K$268="LMX",135*0.1/100,IF($K$268="ASX",150*0.5/100,150*0.5/100))))</f>
        <v>#N/A</v>
      </c>
      <c r="K177" s="159"/>
    </row>
    <row r="178" spans="1:11" ht="19.149999999999999" customHeight="1" x14ac:dyDescent="0.25">
      <c r="A178" s="51" t="s">
        <v>116</v>
      </c>
      <c r="B178" s="161">
        <v>60</v>
      </c>
      <c r="C178" s="161"/>
      <c r="D178" s="161"/>
      <c r="E178" s="161"/>
      <c r="F178" s="169" t="e">
        <f>IF($K$267="LMX",0.1/100*150,IF($K$313="UPC1",0.01/100*150,0.01/100*150))</f>
        <v>#N/A</v>
      </c>
      <c r="G178" s="169"/>
      <c r="H178" s="136"/>
      <c r="I178" s="136"/>
      <c r="J178" s="158" t="e">
        <f>IF($K$268="ADX",0.5/100*150,IF($K$268="ACX",0.5/100*150,IF($K$268="LMX",135*0.1/100,IF($K$268="ASX",150*0.5/100,150*0.5/100))))</f>
        <v>#N/A</v>
      </c>
      <c r="K178" s="159"/>
    </row>
    <row r="179" spans="1:11" ht="19.149999999999999" customHeight="1" x14ac:dyDescent="0.25">
      <c r="A179" s="51" t="s">
        <v>116</v>
      </c>
      <c r="B179" s="161">
        <v>400</v>
      </c>
      <c r="C179" s="161"/>
      <c r="D179" s="161"/>
      <c r="E179" s="161"/>
      <c r="F179" s="171" t="e">
        <f>IF($K$267="LMX",0.1/100*1000,IF($K$267="UPC1",0.01/100*600,0.01/100*1000))</f>
        <v>#N/A</v>
      </c>
      <c r="G179" s="173"/>
      <c r="H179" s="136"/>
      <c r="I179" s="136"/>
      <c r="J179" s="158" t="e">
        <f>IF($K$268="ADX",0.5/100*150,IF($K$268="ACX",0.5/100*150,IF($K$268="LMX",135*0.1/100,IF($K$268="ASX",150*0.5/100,150*0.5/100))))</f>
        <v>#N/A</v>
      </c>
      <c r="K179" s="159"/>
    </row>
    <row r="180" spans="1:11" ht="19.149999999999999" customHeight="1" x14ac:dyDescent="0.25">
      <c r="A180" s="51" t="s">
        <v>116</v>
      </c>
      <c r="B180" s="195" t="e">
        <f>IF(K268="ADX","500.0","1000.0")</f>
        <v>#N/A</v>
      </c>
      <c r="C180" s="195"/>
      <c r="D180" s="161"/>
      <c r="E180" s="161"/>
      <c r="F180" s="171" t="e">
        <f>IF($K$268="ADX",0.01/100*600,IF($K$267="LMX",0.1/100*5000,IF($K$267="UPC1",0.01/100*1200,0.01/100*5000)))</f>
        <v>#N/A</v>
      </c>
      <c r="G180" s="173"/>
      <c r="H180" s="136"/>
      <c r="I180" s="136"/>
      <c r="J180" s="158" t="e">
        <f>IF($K$268="ADX",0.5/100*150,IF($K$268="ACX",0.5/100*150,IF($K$268="LMX",135*0.1/100,IF($K$268="ASX",150*0.5/100,150*0.5/100))))</f>
        <v>#N/A</v>
      </c>
      <c r="K180" s="159"/>
    </row>
    <row r="181" spans="1:11" ht="19.149999999999999" customHeight="1" x14ac:dyDescent="0.25">
      <c r="A181" s="51" t="s">
        <v>116</v>
      </c>
      <c r="B181" s="195" t="e">
        <f>VLOOKUP(D28,'2Ph data'!A:F,6,0)</f>
        <v>#N/A</v>
      </c>
      <c r="C181" s="195"/>
      <c r="D181" s="161"/>
      <c r="E181" s="161"/>
      <c r="F181" s="171" t="e">
        <f>IF($K$268="ADX",0.01/100*600,IF($K$267="LMX",0.1/100*5000,IF($K$267="UPC1",0.01/100*1200,0.01/100*5000)))</f>
        <v>#N/A</v>
      </c>
      <c r="G181" s="173"/>
      <c r="H181" s="136"/>
      <c r="I181" s="136"/>
      <c r="J181" s="158" t="e">
        <f>IF($K$268="ADX",0.5/100*150,IF($K$268="ACX",0.5/100*150,IF($K$268="LMX",135*0.1/100,IF($K$268="ASX",150*0.5/100,150*0.5/100))))</f>
        <v>#N/A</v>
      </c>
      <c r="K181" s="159"/>
    </row>
    <row r="182" spans="1:11" x14ac:dyDescent="0.25">
      <c r="A182" s="28"/>
      <c r="B182" s="28"/>
      <c r="C182" s="28"/>
      <c r="D182" s="28"/>
      <c r="E182" s="28"/>
      <c r="F182" s="28"/>
      <c r="G182" s="28"/>
      <c r="H182" s="28"/>
      <c r="I182" s="28"/>
      <c r="J182" s="28"/>
      <c r="K182" s="28"/>
    </row>
    <row r="183" spans="1:11" x14ac:dyDescent="0.25">
      <c r="A183" s="5" t="s">
        <v>124</v>
      </c>
      <c r="B183" s="5"/>
      <c r="C183" s="5"/>
      <c r="D183" s="5" t="s">
        <v>125</v>
      </c>
      <c r="E183" s="5"/>
      <c r="F183" s="28"/>
      <c r="G183" s="28"/>
      <c r="H183" s="28"/>
      <c r="I183" s="28"/>
      <c r="J183" s="28"/>
      <c r="K183" s="28"/>
    </row>
    <row r="184" spans="1:11" x14ac:dyDescent="0.25">
      <c r="A184" s="28"/>
      <c r="B184" s="28"/>
      <c r="C184" s="28"/>
      <c r="D184" s="28" t="s">
        <v>144</v>
      </c>
      <c r="E184" s="28"/>
      <c r="F184" s="28"/>
      <c r="G184" s="28"/>
      <c r="H184" s="28"/>
      <c r="I184" s="28"/>
      <c r="J184" s="28"/>
      <c r="K184" s="28"/>
    </row>
    <row r="185" spans="1:11" x14ac:dyDescent="0.25">
      <c r="A185" s="28"/>
      <c r="B185" s="28"/>
      <c r="C185" s="28"/>
      <c r="D185" s="28"/>
      <c r="E185" s="28"/>
      <c r="F185" s="28"/>
      <c r="G185" s="28"/>
      <c r="H185" s="28"/>
      <c r="I185" s="28"/>
      <c r="J185" s="28"/>
      <c r="K185" s="28"/>
    </row>
    <row r="186" spans="1:11" x14ac:dyDescent="0.25">
      <c r="A186" s="28"/>
      <c r="B186" s="28"/>
      <c r="C186" s="28"/>
      <c r="D186" s="28"/>
      <c r="E186" s="28"/>
      <c r="F186" s="28"/>
      <c r="G186" s="28"/>
      <c r="H186" s="28"/>
      <c r="I186" s="28"/>
      <c r="J186" s="28"/>
      <c r="K186" s="28"/>
    </row>
    <row r="187" spans="1:11" x14ac:dyDescent="0.25">
      <c r="A187" s="28"/>
      <c r="B187" s="28"/>
      <c r="C187" s="28"/>
      <c r="D187" s="28"/>
      <c r="E187" s="28"/>
      <c r="F187" s="28"/>
      <c r="G187" s="28"/>
      <c r="H187" s="28"/>
      <c r="I187" s="28"/>
      <c r="J187" s="28"/>
      <c r="K187" s="28"/>
    </row>
    <row r="188" spans="1:11" x14ac:dyDescent="0.25">
      <c r="A188" s="28"/>
      <c r="B188" s="28"/>
      <c r="C188" s="28"/>
      <c r="D188" s="28"/>
      <c r="E188" s="28"/>
      <c r="F188" s="28"/>
      <c r="G188" s="28"/>
      <c r="H188" s="28"/>
      <c r="I188" s="28"/>
      <c r="J188" s="28"/>
      <c r="K188" s="28"/>
    </row>
    <row r="189" spans="1:11" x14ac:dyDescent="0.25">
      <c r="A189" s="28"/>
      <c r="B189" s="28"/>
      <c r="C189" s="28"/>
      <c r="D189" s="28"/>
      <c r="E189" s="28"/>
      <c r="F189" s="28"/>
      <c r="G189" s="28"/>
      <c r="H189" s="28"/>
      <c r="I189" s="28"/>
      <c r="J189" s="28"/>
      <c r="K189" s="28"/>
    </row>
    <row r="190" spans="1:11" x14ac:dyDescent="0.25">
      <c r="A190" s="28"/>
      <c r="B190" s="28"/>
      <c r="C190" s="28"/>
      <c r="D190" s="28"/>
      <c r="E190" s="28"/>
      <c r="F190" s="28"/>
      <c r="G190" s="28"/>
      <c r="H190" s="28"/>
      <c r="I190" s="28"/>
      <c r="J190" s="28"/>
      <c r="K190" s="28"/>
    </row>
    <row r="191" spans="1:11" x14ac:dyDescent="0.25">
      <c r="A191" s="28"/>
      <c r="B191" s="28"/>
      <c r="C191" s="28"/>
      <c r="D191" s="28"/>
      <c r="E191" s="28"/>
      <c r="F191" s="28"/>
      <c r="G191" s="28"/>
      <c r="H191" s="28"/>
      <c r="I191" s="28"/>
      <c r="J191" s="28"/>
      <c r="K191" s="28"/>
    </row>
    <row r="192" spans="1:11" x14ac:dyDescent="0.25">
      <c r="A192" s="28"/>
      <c r="B192" s="28"/>
      <c r="C192" s="28"/>
      <c r="D192" s="28"/>
      <c r="E192" s="28"/>
      <c r="F192" s="28"/>
      <c r="G192" s="28"/>
      <c r="H192" s="28"/>
      <c r="I192" s="28"/>
      <c r="J192" s="28"/>
      <c r="K192" s="28"/>
    </row>
    <row r="193" spans="1:11" x14ac:dyDescent="0.25">
      <c r="A193" s="28"/>
      <c r="B193" s="28"/>
      <c r="C193" s="28"/>
      <c r="D193" s="28"/>
      <c r="E193" s="28"/>
      <c r="F193" s="28"/>
      <c r="G193" s="28"/>
      <c r="H193" s="28"/>
      <c r="I193" s="28"/>
      <c r="J193" s="28"/>
      <c r="K193" s="28"/>
    </row>
    <row r="194" spans="1:11" x14ac:dyDescent="0.25">
      <c r="A194" s="28"/>
      <c r="B194" s="28"/>
      <c r="C194" s="28"/>
      <c r="D194" s="28"/>
      <c r="E194" s="28"/>
      <c r="F194" s="28"/>
      <c r="G194" s="28"/>
      <c r="H194" s="28"/>
      <c r="I194" s="28"/>
      <c r="J194" s="28"/>
      <c r="K194" s="28"/>
    </row>
    <row r="195" spans="1:11" x14ac:dyDescent="0.25">
      <c r="A195" s="28"/>
      <c r="B195" s="28"/>
      <c r="C195" s="28"/>
      <c r="D195" s="28"/>
      <c r="E195" s="28"/>
      <c r="F195" s="28"/>
      <c r="G195" s="28"/>
      <c r="H195" s="28"/>
      <c r="I195" s="28"/>
      <c r="J195" s="28"/>
      <c r="K195" s="28"/>
    </row>
    <row r="196" spans="1:11" x14ac:dyDescent="0.25">
      <c r="A196" s="28"/>
      <c r="B196" s="28"/>
      <c r="C196" s="28"/>
      <c r="D196" s="28"/>
      <c r="E196" s="28"/>
      <c r="F196" s="28"/>
      <c r="G196" s="28"/>
      <c r="H196" s="28"/>
      <c r="I196" s="28"/>
      <c r="J196" s="28"/>
      <c r="K196" s="28"/>
    </row>
    <row r="197" spans="1:11" x14ac:dyDescent="0.25">
      <c r="A197" s="28"/>
      <c r="B197" s="28"/>
      <c r="C197" s="28"/>
      <c r="D197" s="28"/>
      <c r="E197" s="28"/>
      <c r="F197" s="28"/>
      <c r="G197" s="28"/>
      <c r="H197" s="28"/>
      <c r="I197" s="28"/>
      <c r="J197" s="28"/>
      <c r="K197" s="28"/>
    </row>
    <row r="198" spans="1:11" x14ac:dyDescent="0.25">
      <c r="A198" s="28"/>
      <c r="B198" s="28"/>
      <c r="C198" s="28"/>
      <c r="D198" s="28"/>
      <c r="E198" s="28"/>
      <c r="F198" s="28"/>
      <c r="G198" s="28"/>
      <c r="H198" s="28"/>
      <c r="I198" s="28"/>
      <c r="J198" s="28"/>
      <c r="K198" s="28"/>
    </row>
    <row r="199" spans="1:11" x14ac:dyDescent="0.25">
      <c r="A199" s="28"/>
      <c r="B199" s="28"/>
      <c r="C199" s="28"/>
      <c r="D199" s="28"/>
      <c r="E199" s="28"/>
      <c r="F199" s="28"/>
      <c r="G199" s="28"/>
      <c r="H199" s="28"/>
      <c r="I199" s="28"/>
      <c r="J199" s="28"/>
      <c r="K199" s="28"/>
    </row>
    <row r="200" spans="1:11" x14ac:dyDescent="0.25">
      <c r="A200" s="28"/>
      <c r="B200" s="28"/>
      <c r="C200" s="28"/>
      <c r="D200" s="28"/>
      <c r="E200" s="28"/>
      <c r="F200" s="28"/>
      <c r="G200" s="28"/>
      <c r="H200" s="28"/>
      <c r="I200" s="28"/>
      <c r="J200" s="28"/>
      <c r="K200" s="28"/>
    </row>
    <row r="201" spans="1:11" x14ac:dyDescent="0.25">
      <c r="A201" s="28"/>
      <c r="B201" s="28"/>
      <c r="C201" s="28"/>
      <c r="D201" s="28"/>
      <c r="E201" s="28"/>
      <c r="F201" s="28"/>
      <c r="G201" s="28"/>
      <c r="H201" s="28"/>
      <c r="I201" s="28"/>
      <c r="J201" s="28"/>
      <c r="K201" s="28"/>
    </row>
    <row r="202" spans="1:11" x14ac:dyDescent="0.25">
      <c r="A202" s="28"/>
      <c r="B202" s="28"/>
      <c r="C202" s="28"/>
      <c r="D202" s="28"/>
      <c r="E202" s="28"/>
      <c r="F202" s="28"/>
      <c r="G202" s="28"/>
      <c r="H202" s="28"/>
      <c r="I202" s="28"/>
      <c r="J202" s="28"/>
      <c r="K202" s="28"/>
    </row>
    <row r="203" spans="1:11" x14ac:dyDescent="0.25">
      <c r="A203" s="28"/>
      <c r="B203" s="28"/>
      <c r="C203" s="28"/>
      <c r="D203" s="28"/>
      <c r="E203" s="28"/>
      <c r="F203" s="28"/>
      <c r="G203" s="28"/>
      <c r="H203" s="28"/>
      <c r="I203" s="28"/>
      <c r="J203" s="28"/>
      <c r="K203" s="28"/>
    </row>
    <row r="204" spans="1:11" x14ac:dyDescent="0.25">
      <c r="A204" s="28"/>
      <c r="B204" s="28"/>
      <c r="C204" s="28"/>
      <c r="D204" s="28"/>
      <c r="E204" s="28"/>
      <c r="F204" s="28"/>
      <c r="G204" s="28"/>
      <c r="H204" s="28"/>
      <c r="I204" s="28"/>
      <c r="J204" s="28"/>
      <c r="K204" s="28"/>
    </row>
    <row r="205" spans="1:11" x14ac:dyDescent="0.25">
      <c r="A205" s="28"/>
      <c r="B205" s="28"/>
      <c r="C205" s="28"/>
      <c r="D205" s="28"/>
      <c r="E205" s="28"/>
      <c r="F205" s="28"/>
      <c r="G205" s="28"/>
      <c r="H205" s="28"/>
      <c r="I205" s="28"/>
      <c r="J205" s="28"/>
      <c r="K205" s="28"/>
    </row>
    <row r="206" spans="1:11" x14ac:dyDescent="0.25">
      <c r="A206" s="28"/>
      <c r="B206" s="28"/>
      <c r="C206" s="28"/>
      <c r="D206" s="28"/>
      <c r="E206" s="28"/>
      <c r="F206" s="28"/>
      <c r="G206" s="28"/>
      <c r="H206" s="28"/>
      <c r="I206" s="28"/>
      <c r="J206" s="28"/>
      <c r="K206" s="28"/>
    </row>
    <row r="207" spans="1:11" x14ac:dyDescent="0.25">
      <c r="A207" s="28"/>
      <c r="B207" s="28"/>
      <c r="C207" s="28"/>
      <c r="D207" s="28"/>
      <c r="E207" s="28"/>
      <c r="F207" s="28"/>
      <c r="G207" s="28"/>
      <c r="H207" s="28"/>
      <c r="I207" s="28"/>
      <c r="J207" s="28"/>
      <c r="K207" s="28"/>
    </row>
    <row r="208" spans="1:11" x14ac:dyDescent="0.25">
      <c r="A208" s="28"/>
      <c r="B208" s="28"/>
      <c r="C208" s="28"/>
      <c r="D208" s="28"/>
      <c r="E208" s="28"/>
      <c r="F208" s="28"/>
      <c r="G208" s="28"/>
      <c r="H208" s="28"/>
      <c r="I208" s="28"/>
      <c r="J208" s="28"/>
      <c r="K208" s="28"/>
    </row>
    <row r="209" spans="1:11" x14ac:dyDescent="0.25">
      <c r="A209" s="28"/>
      <c r="B209" s="28"/>
      <c r="C209" s="28"/>
      <c r="D209" s="28"/>
      <c r="E209" s="28"/>
      <c r="F209" s="28"/>
      <c r="G209" s="28"/>
      <c r="H209" s="28"/>
      <c r="I209" s="28"/>
      <c r="J209" s="28"/>
      <c r="K209" s="28"/>
    </row>
    <row r="210" spans="1:11" x14ac:dyDescent="0.25">
      <c r="A210" s="28"/>
      <c r="B210" s="28"/>
      <c r="C210" s="28"/>
      <c r="D210" s="28"/>
      <c r="E210" s="28"/>
      <c r="F210" s="28"/>
      <c r="G210" s="28"/>
      <c r="H210" s="28"/>
      <c r="I210" s="28"/>
      <c r="J210" s="28"/>
      <c r="K210" s="28"/>
    </row>
    <row r="211" spans="1:11" x14ac:dyDescent="0.25">
      <c r="A211" s="28"/>
      <c r="B211" s="28"/>
      <c r="C211" s="28"/>
      <c r="D211" s="28"/>
      <c r="E211" s="28"/>
      <c r="F211" s="28"/>
      <c r="G211" s="28"/>
      <c r="H211" s="28"/>
      <c r="I211" s="28"/>
      <c r="J211" s="28"/>
      <c r="K211" s="28"/>
    </row>
    <row r="212" spans="1:11" x14ac:dyDescent="0.25">
      <c r="A212" s="28"/>
      <c r="B212" s="28"/>
      <c r="C212" s="28"/>
      <c r="D212" s="28"/>
      <c r="E212" s="28"/>
      <c r="F212" s="28"/>
      <c r="G212" s="28"/>
      <c r="H212" s="28"/>
      <c r="I212" s="28"/>
      <c r="J212" s="28"/>
      <c r="K212" s="28"/>
    </row>
    <row r="213" spans="1:11" x14ac:dyDescent="0.25">
      <c r="A213" s="107" t="s">
        <v>0</v>
      </c>
      <c r="B213" s="108"/>
      <c r="C213" s="108"/>
      <c r="D213" s="108"/>
      <c r="E213" s="108"/>
      <c r="F213" s="108"/>
      <c r="G213" s="109"/>
      <c r="H213" s="28"/>
      <c r="I213" s="116" t="s">
        <v>1</v>
      </c>
      <c r="J213" s="148" t="str">
        <f>$J$6</f>
        <v>04567</v>
      </c>
      <c r="K213" s="119"/>
    </row>
    <row r="214" spans="1:11" x14ac:dyDescent="0.25">
      <c r="A214" s="110"/>
      <c r="B214" s="111"/>
      <c r="C214" s="111"/>
      <c r="D214" s="111"/>
      <c r="E214" s="111"/>
      <c r="F214" s="111"/>
      <c r="G214" s="112"/>
      <c r="H214" s="28"/>
      <c r="I214" s="117"/>
      <c r="J214" s="120"/>
      <c r="K214" s="121"/>
    </row>
    <row r="215" spans="1:11" x14ac:dyDescent="0.25">
      <c r="A215" s="110"/>
      <c r="B215" s="111"/>
      <c r="C215" s="111"/>
      <c r="D215" s="111"/>
      <c r="E215" s="111"/>
      <c r="F215" s="111"/>
      <c r="G215" s="112"/>
      <c r="H215" s="28"/>
      <c r="I215" s="122" t="s">
        <v>332</v>
      </c>
      <c r="J215" s="123"/>
      <c r="K215" s="124"/>
    </row>
    <row r="216" spans="1:11" x14ac:dyDescent="0.25">
      <c r="A216" s="113"/>
      <c r="B216" s="114"/>
      <c r="C216" s="114"/>
      <c r="D216" s="114"/>
      <c r="E216" s="114"/>
      <c r="F216" s="114"/>
      <c r="G216" s="115"/>
      <c r="H216" s="28"/>
      <c r="I216" s="125"/>
      <c r="J216" s="126"/>
      <c r="K216" s="127"/>
    </row>
    <row r="217" spans="1:11" x14ac:dyDescent="0.25">
      <c r="A217" s="28"/>
      <c r="B217" s="28"/>
      <c r="C217" s="28"/>
      <c r="D217" s="28"/>
      <c r="E217" s="28"/>
      <c r="F217" s="28"/>
      <c r="G217" s="28"/>
      <c r="H217" s="28"/>
      <c r="I217" s="28"/>
      <c r="J217" s="28"/>
      <c r="K217" s="28"/>
    </row>
    <row r="218" spans="1:11" ht="15.75" x14ac:dyDescent="0.25">
      <c r="A218" s="101" t="s">
        <v>333</v>
      </c>
      <c r="B218" s="101"/>
      <c r="C218" s="101"/>
      <c r="D218" s="101"/>
      <c r="E218" s="101"/>
      <c r="F218" s="101"/>
      <c r="G218" s="101"/>
      <c r="H218" s="101"/>
      <c r="I218" s="101"/>
      <c r="J218" s="101"/>
      <c r="K218" s="101"/>
    </row>
    <row r="219" spans="1:11" x14ac:dyDescent="0.25">
      <c r="A219" s="102" t="s">
        <v>115</v>
      </c>
      <c r="B219" s="102"/>
      <c r="C219" s="28"/>
      <c r="D219" s="28"/>
      <c r="E219" s="28"/>
      <c r="F219" s="28"/>
      <c r="G219" s="28"/>
      <c r="H219" s="28"/>
      <c r="I219" s="28"/>
      <c r="J219" s="28"/>
      <c r="K219" s="28"/>
    </row>
    <row r="220" spans="1:11" x14ac:dyDescent="0.25">
      <c r="A220" s="28"/>
      <c r="B220" s="28"/>
      <c r="C220" s="28"/>
      <c r="D220" s="28"/>
      <c r="E220" s="28"/>
      <c r="F220" s="28"/>
      <c r="G220" s="28"/>
      <c r="H220" s="28"/>
      <c r="I220" s="28"/>
      <c r="J220" s="28"/>
      <c r="K220" s="28"/>
    </row>
    <row r="221" spans="1:11" x14ac:dyDescent="0.25">
      <c r="A221" s="157" t="s">
        <v>334</v>
      </c>
      <c r="B221" s="157"/>
      <c r="C221" s="157"/>
      <c r="D221" s="157"/>
      <c r="E221" s="157"/>
      <c r="F221" s="157"/>
      <c r="G221" s="157"/>
      <c r="H221" s="157"/>
      <c r="I221" s="157"/>
      <c r="J221" s="157"/>
      <c r="K221" s="157"/>
    </row>
    <row r="222" spans="1:11" x14ac:dyDescent="0.25">
      <c r="A222" s="157"/>
      <c r="B222" s="157"/>
      <c r="C222" s="157"/>
      <c r="D222" s="157"/>
      <c r="E222" s="157"/>
      <c r="F222" s="157"/>
      <c r="G222" s="157"/>
      <c r="H222" s="157"/>
      <c r="I222" s="157"/>
      <c r="J222" s="157"/>
      <c r="K222" s="157"/>
    </row>
    <row r="223" spans="1:11" x14ac:dyDescent="0.25">
      <c r="A223" s="157"/>
      <c r="B223" s="157"/>
      <c r="C223" s="157"/>
      <c r="D223" s="157"/>
      <c r="E223" s="157"/>
      <c r="F223" s="157"/>
      <c r="G223" s="157"/>
      <c r="H223" s="157"/>
      <c r="I223" s="157"/>
      <c r="J223" s="157"/>
      <c r="K223" s="157"/>
    </row>
    <row r="224" spans="1:11" x14ac:dyDescent="0.25">
      <c r="A224" s="104" t="s">
        <v>335</v>
      </c>
      <c r="B224" s="104"/>
      <c r="C224" s="104"/>
      <c r="D224" s="104"/>
      <c r="E224" s="104"/>
      <c r="F224" s="104"/>
      <c r="G224" s="104"/>
      <c r="H224" s="104"/>
      <c r="I224" s="104"/>
      <c r="J224" s="104"/>
      <c r="K224" s="104"/>
    </row>
    <row r="225" spans="1:11" x14ac:dyDescent="0.25">
      <c r="A225" s="54" t="str">
        <f>IF(E25="A","Frequency 400Hz.","Frequency 60Hz.")</f>
        <v>Frequency 400Hz.</v>
      </c>
      <c r="B225" s="54"/>
      <c r="C225" s="54"/>
      <c r="D225" s="54"/>
      <c r="E225" s="54"/>
      <c r="F225" s="54"/>
      <c r="G225" s="54"/>
      <c r="H225" s="54"/>
      <c r="I225" s="54"/>
      <c r="J225" s="54"/>
      <c r="K225" s="54"/>
    </row>
    <row r="226" spans="1:11" x14ac:dyDescent="0.25">
      <c r="A226" s="28"/>
      <c r="B226" s="28"/>
      <c r="C226" s="28"/>
      <c r="D226" s="28"/>
      <c r="E226" s="28"/>
      <c r="F226" s="28"/>
      <c r="G226" s="28"/>
      <c r="H226" s="28"/>
      <c r="I226" s="28"/>
      <c r="J226" s="28"/>
      <c r="K226" s="28"/>
    </row>
    <row r="227" spans="1:11" ht="27" customHeight="1" x14ac:dyDescent="0.25">
      <c r="A227" s="160" t="s">
        <v>152</v>
      </c>
      <c r="B227" s="160"/>
      <c r="C227" s="160" t="s">
        <v>336</v>
      </c>
      <c r="D227" s="160"/>
      <c r="E227" s="160" t="s">
        <v>152</v>
      </c>
      <c r="F227" s="160"/>
      <c r="G227" s="160" t="s">
        <v>337</v>
      </c>
      <c r="H227" s="160"/>
      <c r="I227" s="187" t="s">
        <v>150</v>
      </c>
      <c r="J227" s="188"/>
      <c r="K227" s="189"/>
    </row>
    <row r="228" spans="1:11" ht="19.149999999999999" customHeight="1" x14ac:dyDescent="0.25">
      <c r="A228" s="160" t="s">
        <v>153</v>
      </c>
      <c r="B228" s="160"/>
      <c r="C228" s="160" t="s">
        <v>153</v>
      </c>
      <c r="D228" s="160"/>
      <c r="E228" s="160" t="s">
        <v>153</v>
      </c>
      <c r="F228" s="160"/>
      <c r="G228" s="160" t="s">
        <v>153</v>
      </c>
      <c r="H228" s="160"/>
      <c r="I228" s="187" t="s">
        <v>154</v>
      </c>
      <c r="J228" s="188"/>
      <c r="K228" s="189"/>
    </row>
    <row r="229" spans="1:11" ht="19.149999999999999" customHeight="1" x14ac:dyDescent="0.25">
      <c r="A229" s="162" t="e">
        <f>VLOOKUP($D$28,'2Ph data'!A:N,7,0)</f>
        <v>#N/A</v>
      </c>
      <c r="B229" s="162"/>
      <c r="C229" s="169"/>
      <c r="D229" s="169"/>
      <c r="E229" s="162" t="e">
        <f>IF(A229&gt;VLOOKUP($D$28,'2Ph data'!A:P,16,0),"N/A",'2 Ph'!A229)</f>
        <v>#N/A</v>
      </c>
      <c r="F229" s="162"/>
      <c r="G229" s="170"/>
      <c r="H229" s="170"/>
      <c r="I229" s="171" t="e">
        <f>IF($K$267="LMX",VLOOKUP('2 Ph'!$B$268,'2Ph data'!A:Q,17,0)*0.1/100,IF($K$267="UPC1",VLOOKUP('2 Ph'!$B$268,'2Ph data'!A:S,19,0)*0.2/100,VLOOKUP('2 Ph'!$B$268,'2Ph data'!A:S,19,0)*0.1/100+0.25/100*'2 Ph'!A229))</f>
        <v>#N/A</v>
      </c>
      <c r="J229" s="172"/>
      <c r="K229" s="173"/>
    </row>
    <row r="230" spans="1:11" ht="19.149999999999999" customHeight="1" x14ac:dyDescent="0.25">
      <c r="A230" s="162" t="e">
        <f>VLOOKUP($D$28,'2Ph data'!A:N,8,0)</f>
        <v>#N/A</v>
      </c>
      <c r="B230" s="162"/>
      <c r="C230" s="169"/>
      <c r="D230" s="169"/>
      <c r="E230" s="162" t="e">
        <f>IF(A230&gt;VLOOKUP($D$28,'2Ph data'!A:P,16,0),"N/A",'2 Ph'!A230)</f>
        <v>#N/A</v>
      </c>
      <c r="F230" s="162"/>
      <c r="G230" s="170"/>
      <c r="H230" s="170"/>
      <c r="I230" s="171" t="e">
        <f>IF($K$267="LMX",VLOOKUP('2 Ph'!$B$268,'2Ph data'!A:Q,17,0)*0.1/100,IF($K$267="UPC1",VLOOKUP('2 Ph'!$B$268,'2Ph data'!A:S,19,0)*0.2/100,VLOOKUP('2 Ph'!$B$268,'2Ph data'!A:S,19,0)*0.1/100+0.25/100*'2 Ph'!A230))</f>
        <v>#N/A</v>
      </c>
      <c r="J230" s="172"/>
      <c r="K230" s="173"/>
    </row>
    <row r="231" spans="1:11" ht="19.149999999999999" customHeight="1" x14ac:dyDescent="0.25">
      <c r="A231" s="162" t="e">
        <f>VLOOKUP($D$28,'2Ph data'!A:N,9,0)</f>
        <v>#N/A</v>
      </c>
      <c r="B231" s="162"/>
      <c r="C231" s="169"/>
      <c r="D231" s="169"/>
      <c r="E231" s="162" t="e">
        <f>IF(A231&gt;VLOOKUP($D$28,'2Ph data'!A:P,16,0),"N/A",'2 Ph'!A231)</f>
        <v>#N/A</v>
      </c>
      <c r="F231" s="162"/>
      <c r="G231" s="170"/>
      <c r="H231" s="170"/>
      <c r="I231" s="171" t="e">
        <f>IF($K$267="LMX",VLOOKUP('2 Ph'!$B$268,'2Ph data'!A:Q,17,0)*0.1/100,IF($K$267="UPC1",VLOOKUP('2 Ph'!$B$268,'2Ph data'!A:S,19,0)*0.2/100,VLOOKUP('2 Ph'!$B$268,'2Ph data'!A:S,19,0)*0.1/100+0.25/100*'2 Ph'!A231))</f>
        <v>#N/A</v>
      </c>
      <c r="J231" s="172"/>
      <c r="K231" s="173"/>
    </row>
    <row r="232" spans="1:11" ht="19.149999999999999" customHeight="1" x14ac:dyDescent="0.25">
      <c r="A232" s="162" t="e">
        <f>VLOOKUP($D$28,'2Ph data'!A:N,10,0)</f>
        <v>#N/A</v>
      </c>
      <c r="B232" s="162"/>
      <c r="C232" s="174"/>
      <c r="D232" s="174"/>
      <c r="E232" s="162" t="e">
        <f>IF(A232&gt;VLOOKUP($D$28,'2Ph data'!A:P,16,0),"N/A",'2 Ph'!A232)</f>
        <v>#N/A</v>
      </c>
      <c r="F232" s="162"/>
      <c r="G232" s="170"/>
      <c r="H232" s="170"/>
      <c r="I232" s="171" t="e">
        <f>IF($K$267="LMX",VLOOKUP('2 Ph'!$B$268,'2Ph data'!A:Q,17,0)*0.1/100,IF($K$267="UPC1",VLOOKUP('2 Ph'!$B$268,'2Ph data'!A:S,19,0)*0.2/100,VLOOKUP('2 Ph'!$B$268,'2Ph data'!A:S,19,0)*0.1/100+0.25/100*'2 Ph'!A232))</f>
        <v>#N/A</v>
      </c>
      <c r="J232" s="172"/>
      <c r="K232" s="173"/>
    </row>
    <row r="233" spans="1:11" ht="19.149999999999999" customHeight="1" x14ac:dyDescent="0.25">
      <c r="A233" s="162" t="e">
        <f>VLOOKUP($D$28,'2Ph data'!A:N,11,0)</f>
        <v>#N/A</v>
      </c>
      <c r="B233" s="162"/>
      <c r="C233" s="174"/>
      <c r="D233" s="174"/>
      <c r="E233" s="162" t="e">
        <f>IF(A233&gt;VLOOKUP($D$28,'2Ph data'!A:P,16,0),"N/A",'2 Ph'!A233)</f>
        <v>#N/A</v>
      </c>
      <c r="F233" s="162"/>
      <c r="G233" s="170"/>
      <c r="H233" s="170"/>
      <c r="I233" s="171" t="e">
        <f>IF($K$267="LMX",VLOOKUP('2 Ph'!$B$268,'2Ph data'!A:Q,17,0)*0.1/100,IF($K$267="UPC1",VLOOKUP('2 Ph'!$B$268,'2Ph data'!A:S,19,0)*0.2/100,VLOOKUP('2 Ph'!$B$268,'2Ph data'!A:S,19,0)*0.1/100+0.25/100*'2 Ph'!A233))</f>
        <v>#N/A</v>
      </c>
      <c r="J233" s="172"/>
      <c r="K233" s="173"/>
    </row>
    <row r="234" spans="1:11" ht="19.149999999999999" customHeight="1" x14ac:dyDescent="0.25">
      <c r="A234" s="162" t="e">
        <f>VLOOKUP($D$28,'2Ph data'!A:N,12,0)</f>
        <v>#N/A</v>
      </c>
      <c r="B234" s="162"/>
      <c r="C234" s="174"/>
      <c r="D234" s="174"/>
      <c r="E234" s="162" t="e">
        <f>IF(A234&gt;VLOOKUP($D$28,'2Ph data'!A:P,16,0),"N/A",'2 Ph'!A234)</f>
        <v>#N/A</v>
      </c>
      <c r="F234" s="162"/>
      <c r="G234" s="170"/>
      <c r="H234" s="170"/>
      <c r="I234" s="171" t="e">
        <f>IF($K$267="LMX",VLOOKUP('2 Ph'!$B$268,'2Ph data'!A:Q,17,0)*0.1/100,IF($K$267="UPC1",VLOOKUP('2 Ph'!$B$268,'2Ph data'!A:S,19,0)*0.2/100,VLOOKUP('2 Ph'!$B$268,'2Ph data'!A:S,19,0)*0.1/100+0.25/100*'2 Ph'!A234))</f>
        <v>#N/A</v>
      </c>
      <c r="J234" s="172"/>
      <c r="K234" s="173"/>
    </row>
    <row r="235" spans="1:11" ht="19.149999999999999" customHeight="1" x14ac:dyDescent="0.25">
      <c r="A235" s="162" t="e">
        <f>VLOOKUP($D$28,'2Ph data'!A:N,13,0)</f>
        <v>#N/A</v>
      </c>
      <c r="B235" s="162"/>
      <c r="C235" s="174"/>
      <c r="D235" s="174"/>
      <c r="E235" s="162" t="e">
        <f>IF(A235&gt;VLOOKUP($D$28,'2Ph data'!A:P,16,0),"N/A",'2 Ph'!A235)</f>
        <v>#N/A</v>
      </c>
      <c r="F235" s="162"/>
      <c r="G235" s="170"/>
      <c r="H235" s="170"/>
      <c r="I235" s="171" t="e">
        <f>IF($K$267="LMX",VLOOKUP('2 Ph'!$B$268,'2Ph data'!A:Q,17,0)*0.1/100,IF($K$267="UPC1",VLOOKUP('2 Ph'!$B$268,'2Ph data'!A:S,19,0)*0.2/100,VLOOKUP('2 Ph'!$B$268,'2Ph data'!A:S,19,0)*0.1/100+0.25/100*'2 Ph'!A235))</f>
        <v>#N/A</v>
      </c>
      <c r="J235" s="172"/>
      <c r="K235" s="173"/>
    </row>
    <row r="236" spans="1:11" ht="19.149999999999999" customHeight="1" x14ac:dyDescent="0.25">
      <c r="A236" s="162" t="e">
        <f>VLOOKUP($D$28,'2Ph data'!A:N,14,0)</f>
        <v>#N/A</v>
      </c>
      <c r="B236" s="162"/>
      <c r="C236" s="174"/>
      <c r="D236" s="174"/>
      <c r="E236" s="162" t="e">
        <f>IF(A236&gt;VLOOKUP($D$28,'2Ph data'!A:P,16,0),"N/A",'2 Ph'!A236)</f>
        <v>#N/A</v>
      </c>
      <c r="F236" s="162"/>
      <c r="G236" s="170"/>
      <c r="H236" s="170"/>
      <c r="I236" s="171" t="e">
        <f>IF($K$267="LMX",VLOOKUP('2 Ph'!$B$268,'2Ph data'!A:Q,17,0)*0.1/100,IF($K$267="UPC1",VLOOKUP('2 Ph'!$B$268,'2Ph data'!A:S,19,0)*0.2/100,VLOOKUP('2 Ph'!$B$268,'2Ph data'!A:S,19,0)*0.1/100+0.25/100*'2 Ph'!A236))</f>
        <v>#N/A</v>
      </c>
      <c r="J236" s="172"/>
      <c r="K236" s="173"/>
    </row>
    <row r="237" spans="1:11" x14ac:dyDescent="0.25">
      <c r="A237" s="28"/>
      <c r="B237" s="28"/>
      <c r="C237" s="28"/>
      <c r="D237" s="28"/>
      <c r="E237" s="28"/>
      <c r="F237" s="28"/>
      <c r="G237" s="28"/>
      <c r="H237" s="28"/>
      <c r="I237" s="28"/>
      <c r="J237" s="28"/>
      <c r="K237" s="28"/>
    </row>
    <row r="238" spans="1:11" ht="15.75" x14ac:dyDescent="0.25">
      <c r="A238" s="8" t="s">
        <v>124</v>
      </c>
      <c r="B238" s="28"/>
      <c r="C238" s="28" t="s">
        <v>156</v>
      </c>
      <c r="D238" s="28"/>
      <c r="E238" s="28"/>
      <c r="F238" s="28"/>
      <c r="G238" s="28"/>
      <c r="H238" s="28"/>
      <c r="I238" s="28"/>
      <c r="J238" s="28"/>
      <c r="K238" s="28"/>
    </row>
    <row r="239" spans="1:11" x14ac:dyDescent="0.25">
      <c r="A239" s="28"/>
      <c r="B239" s="28"/>
      <c r="C239" s="28" t="s">
        <v>157</v>
      </c>
      <c r="D239" s="28"/>
      <c r="E239" s="28"/>
      <c r="F239" s="28"/>
      <c r="G239" s="28"/>
      <c r="H239" s="28"/>
      <c r="I239" s="28"/>
      <c r="J239" s="28"/>
      <c r="K239" s="28"/>
    </row>
    <row r="240" spans="1:11" x14ac:dyDescent="0.25">
      <c r="A240" s="28"/>
      <c r="B240" s="28"/>
      <c r="C240" s="28"/>
      <c r="D240" s="28"/>
      <c r="E240" s="28"/>
      <c r="F240" s="28"/>
      <c r="G240" s="28"/>
      <c r="H240" s="28"/>
      <c r="I240" s="28"/>
      <c r="J240" s="28"/>
      <c r="K240" s="28"/>
    </row>
    <row r="241" spans="1:11" x14ac:dyDescent="0.25">
      <c r="A241" s="28"/>
      <c r="B241" s="28"/>
      <c r="C241" s="28"/>
      <c r="D241" s="28"/>
      <c r="E241" s="28"/>
      <c r="F241" s="28"/>
      <c r="G241" s="28"/>
      <c r="H241" s="28"/>
      <c r="I241" s="28"/>
      <c r="J241" s="28"/>
      <c r="K241" s="28"/>
    </row>
    <row r="242" spans="1:11" x14ac:dyDescent="0.25">
      <c r="A242" s="28"/>
      <c r="B242" s="28"/>
      <c r="C242" s="28"/>
      <c r="D242" s="28"/>
      <c r="E242" s="28"/>
      <c r="F242" s="28"/>
      <c r="G242" s="28"/>
      <c r="H242" s="28"/>
      <c r="I242" s="28"/>
      <c r="J242" s="28"/>
      <c r="K242" s="28"/>
    </row>
    <row r="243" spans="1:11" x14ac:dyDescent="0.25">
      <c r="A243" s="28"/>
      <c r="B243" s="28"/>
      <c r="C243" s="28"/>
      <c r="D243" s="28"/>
      <c r="E243" s="28"/>
      <c r="F243" s="28"/>
      <c r="G243" s="28"/>
      <c r="H243" s="28"/>
      <c r="I243" s="28"/>
      <c r="J243" s="28"/>
      <c r="K243" s="28"/>
    </row>
    <row r="244" spans="1:11" x14ac:dyDescent="0.25">
      <c r="A244" s="28"/>
      <c r="B244" s="28"/>
      <c r="C244" s="28"/>
      <c r="D244" s="28"/>
      <c r="E244" s="28"/>
      <c r="F244" s="28"/>
      <c r="G244" s="28"/>
      <c r="H244" s="28"/>
      <c r="I244" s="28"/>
      <c r="J244" s="28"/>
      <c r="K244" s="28"/>
    </row>
    <row r="245" spans="1:11" x14ac:dyDescent="0.25">
      <c r="A245" s="28"/>
      <c r="B245" s="28"/>
      <c r="C245" s="28"/>
      <c r="D245" s="28"/>
      <c r="E245" s="28"/>
      <c r="F245" s="28"/>
      <c r="G245" s="28"/>
      <c r="H245" s="28"/>
      <c r="I245" s="28"/>
      <c r="J245" s="28"/>
      <c r="K245" s="28"/>
    </row>
    <row r="246" spans="1:11" x14ac:dyDescent="0.25">
      <c r="A246" s="28"/>
      <c r="B246" s="28"/>
      <c r="C246" s="28"/>
      <c r="D246" s="28"/>
      <c r="E246" s="28"/>
      <c r="F246" s="28"/>
      <c r="G246" s="28"/>
      <c r="H246" s="28"/>
      <c r="I246" s="28"/>
      <c r="J246" s="28"/>
      <c r="K246" s="28"/>
    </row>
    <row r="247" spans="1:11" x14ac:dyDescent="0.25">
      <c r="A247" s="28"/>
      <c r="B247" s="28"/>
      <c r="C247" s="28"/>
      <c r="D247" s="28"/>
      <c r="E247" s="28"/>
      <c r="F247" s="28"/>
      <c r="G247" s="28"/>
      <c r="H247" s="28"/>
      <c r="I247" s="28"/>
      <c r="J247" s="28"/>
      <c r="K247" s="28"/>
    </row>
    <row r="248" spans="1:11" x14ac:dyDescent="0.25">
      <c r="A248" s="28"/>
      <c r="B248" s="28"/>
      <c r="C248" s="28"/>
      <c r="D248" s="28"/>
      <c r="E248" s="28"/>
      <c r="F248" s="28"/>
      <c r="G248" s="28"/>
      <c r="H248" s="28"/>
      <c r="I248" s="28"/>
      <c r="J248" s="28"/>
      <c r="K248" s="28"/>
    </row>
    <row r="249" spans="1:11" x14ac:dyDescent="0.25">
      <c r="A249" s="28"/>
      <c r="B249" s="28"/>
      <c r="C249" s="28"/>
      <c r="D249" s="28"/>
      <c r="E249" s="28"/>
      <c r="F249" s="28"/>
      <c r="G249" s="28"/>
      <c r="H249" s="28"/>
      <c r="I249" s="28"/>
      <c r="J249" s="28"/>
      <c r="K249" s="28"/>
    </row>
    <row r="250" spans="1:11" x14ac:dyDescent="0.25">
      <c r="A250" s="28"/>
      <c r="B250" s="28"/>
      <c r="C250" s="28"/>
      <c r="D250" s="28"/>
      <c r="E250" s="28"/>
      <c r="F250" s="28"/>
      <c r="G250" s="28"/>
      <c r="H250" s="28"/>
      <c r="I250" s="28"/>
      <c r="J250" s="28"/>
      <c r="K250" s="28"/>
    </row>
    <row r="251" spans="1:11" x14ac:dyDescent="0.25">
      <c r="A251" s="28"/>
      <c r="B251" s="28"/>
      <c r="C251" s="28"/>
      <c r="D251" s="28"/>
      <c r="E251" s="28"/>
      <c r="F251" s="28"/>
      <c r="G251" s="28"/>
      <c r="H251" s="28"/>
      <c r="I251" s="28"/>
      <c r="J251" s="28"/>
      <c r="K251" s="28"/>
    </row>
    <row r="252" spans="1:11" x14ac:dyDescent="0.25">
      <c r="A252" s="28"/>
      <c r="B252" s="28"/>
      <c r="C252" s="28"/>
      <c r="D252" s="28"/>
      <c r="E252" s="28"/>
      <c r="F252" s="28"/>
      <c r="G252" s="28"/>
      <c r="H252" s="28"/>
      <c r="I252" s="28"/>
      <c r="J252" s="28"/>
      <c r="K252" s="28"/>
    </row>
    <row r="253" spans="1:11" x14ac:dyDescent="0.25">
      <c r="A253" s="28"/>
      <c r="B253" s="28"/>
      <c r="C253" s="28"/>
      <c r="D253" s="28"/>
      <c r="E253" s="28"/>
      <c r="F253" s="28"/>
      <c r="G253" s="28"/>
      <c r="H253" s="28"/>
      <c r="I253" s="28"/>
      <c r="J253" s="28"/>
      <c r="K253" s="28"/>
    </row>
    <row r="254" spans="1:11" x14ac:dyDescent="0.25">
      <c r="A254" s="28"/>
      <c r="B254" s="28"/>
      <c r="C254" s="28"/>
      <c r="D254" s="28"/>
      <c r="E254" s="28"/>
      <c r="F254" s="28"/>
      <c r="G254" s="28"/>
      <c r="H254" s="28"/>
      <c r="I254" s="28"/>
      <c r="J254" s="28"/>
      <c r="K254" s="28"/>
    </row>
    <row r="255" spans="1:11" x14ac:dyDescent="0.25">
      <c r="A255" s="28"/>
      <c r="B255" s="28"/>
      <c r="C255" s="28"/>
      <c r="D255" s="28"/>
      <c r="E255" s="28"/>
      <c r="F255" s="28"/>
      <c r="G255" s="28"/>
      <c r="H255" s="28"/>
      <c r="I255" s="28"/>
      <c r="J255" s="28"/>
      <c r="K255" s="28"/>
    </row>
    <row r="256" spans="1:11" x14ac:dyDescent="0.25">
      <c r="A256" s="28"/>
      <c r="B256" s="28"/>
      <c r="C256" s="28"/>
      <c r="D256" s="28"/>
      <c r="E256" s="28"/>
      <c r="F256" s="28"/>
      <c r="G256" s="28"/>
      <c r="H256" s="28"/>
      <c r="I256" s="28"/>
      <c r="J256" s="28"/>
      <c r="K256" s="28"/>
    </row>
    <row r="257" spans="1:11" x14ac:dyDescent="0.25">
      <c r="A257" s="28"/>
      <c r="B257" s="28"/>
      <c r="C257" s="28"/>
      <c r="D257" s="28"/>
      <c r="E257" s="28"/>
      <c r="F257" s="28"/>
      <c r="G257" s="28"/>
      <c r="H257" s="28"/>
      <c r="I257" s="28"/>
      <c r="J257" s="28"/>
      <c r="K257" s="28"/>
    </row>
    <row r="258" spans="1:11" x14ac:dyDescent="0.25">
      <c r="A258" s="28"/>
      <c r="B258" s="28"/>
      <c r="C258" s="28"/>
      <c r="D258" s="28"/>
      <c r="E258" s="28"/>
      <c r="F258" s="28"/>
      <c r="G258" s="28"/>
      <c r="H258" s="28"/>
      <c r="I258" s="28"/>
      <c r="J258" s="28"/>
      <c r="K258" s="28"/>
    </row>
    <row r="259" spans="1:11" x14ac:dyDescent="0.25">
      <c r="A259" s="28"/>
      <c r="B259" s="28"/>
      <c r="C259" s="28"/>
      <c r="D259" s="28"/>
      <c r="E259" s="28"/>
      <c r="F259" s="28"/>
      <c r="G259" s="28"/>
      <c r="H259" s="28"/>
      <c r="I259" s="28"/>
      <c r="J259" s="28"/>
      <c r="K259" s="28"/>
    </row>
    <row r="260" spans="1:11" x14ac:dyDescent="0.25">
      <c r="A260" s="28"/>
      <c r="B260" s="28"/>
      <c r="C260" s="28"/>
      <c r="D260" s="28"/>
      <c r="E260" s="28"/>
      <c r="F260" s="28"/>
      <c r="G260" s="28"/>
      <c r="H260" s="28"/>
      <c r="I260" s="28"/>
      <c r="J260" s="28"/>
      <c r="K260" s="28"/>
    </row>
    <row r="261" spans="1:11" x14ac:dyDescent="0.25">
      <c r="A261" s="28"/>
      <c r="B261" s="28"/>
      <c r="C261" s="28"/>
      <c r="D261" s="28"/>
      <c r="E261" s="28"/>
      <c r="F261" s="28"/>
      <c r="G261" s="28"/>
      <c r="H261" s="28"/>
      <c r="I261" s="28"/>
      <c r="J261" s="28"/>
      <c r="K261" s="28"/>
    </row>
    <row r="262" spans="1:11" x14ac:dyDescent="0.25">
      <c r="A262" s="28"/>
      <c r="B262" s="28"/>
      <c r="C262" s="28"/>
      <c r="D262" s="28"/>
      <c r="E262" s="28"/>
      <c r="F262" s="28"/>
      <c r="G262" s="28"/>
      <c r="H262" s="28"/>
      <c r="I262" s="28"/>
      <c r="J262" s="28"/>
      <c r="K262" s="28"/>
    </row>
    <row r="263" spans="1:11" x14ac:dyDescent="0.25">
      <c r="A263" s="153" t="s">
        <v>158</v>
      </c>
      <c r="B263" s="153"/>
      <c r="C263" s="153"/>
      <c r="D263" s="153"/>
      <c r="E263" s="153"/>
      <c r="F263" s="153"/>
      <c r="G263" s="153"/>
      <c r="H263" s="153"/>
      <c r="I263" s="153"/>
      <c r="J263" s="153"/>
      <c r="K263" s="153"/>
    </row>
    <row r="264" spans="1:11" x14ac:dyDescent="0.25">
      <c r="A264" s="28"/>
      <c r="B264" s="28"/>
      <c r="C264" s="28"/>
      <c r="D264" s="28"/>
      <c r="E264" s="28"/>
      <c r="F264" s="28"/>
      <c r="G264" s="28"/>
      <c r="H264" s="28"/>
      <c r="I264" s="28"/>
      <c r="J264" s="28"/>
      <c r="K264" s="28"/>
    </row>
    <row r="265" spans="1:11" x14ac:dyDescent="0.25">
      <c r="A265" s="177" t="s">
        <v>163</v>
      </c>
      <c r="B265" s="177"/>
      <c r="C265" s="177"/>
      <c r="D265" s="177"/>
      <c r="E265" s="177"/>
      <c r="F265" s="177"/>
      <c r="G265" s="177"/>
      <c r="H265" s="177"/>
      <c r="I265" s="177"/>
      <c r="J265" s="177"/>
      <c r="K265" s="177"/>
    </row>
    <row r="266" spans="1:11" x14ac:dyDescent="0.25">
      <c r="A266" s="177"/>
      <c r="B266" s="177"/>
      <c r="C266" s="177"/>
      <c r="D266" s="177"/>
      <c r="E266" s="177"/>
      <c r="F266" s="177"/>
      <c r="G266" s="177"/>
      <c r="H266" s="177"/>
      <c r="I266" s="177"/>
      <c r="J266" s="177"/>
      <c r="K266" s="177"/>
    </row>
    <row r="267" spans="1:11" x14ac:dyDescent="0.25">
      <c r="A267" s="50" t="s">
        <v>164</v>
      </c>
      <c r="B267" s="178" t="str">
        <f>D17</f>
        <v>Caltest Instruments Ltd</v>
      </c>
      <c r="C267" s="178"/>
      <c r="D267" s="178"/>
      <c r="E267" s="178"/>
      <c r="F267" s="50" t="s">
        <v>165</v>
      </c>
      <c r="G267" s="178">
        <f>D30</f>
        <v>1243</v>
      </c>
      <c r="H267" s="178"/>
      <c r="I267" s="39" t="s">
        <v>214</v>
      </c>
      <c r="J267" s="39"/>
      <c r="K267" s="39" t="e">
        <f>VLOOKUP(D28,'2Ph data'!A:C,3,0)</f>
        <v>#N/A</v>
      </c>
    </row>
    <row r="268" spans="1:11" x14ac:dyDescent="0.25">
      <c r="A268" s="50" t="s">
        <v>83</v>
      </c>
      <c r="B268" s="178" t="str">
        <f>D28</f>
        <v/>
      </c>
      <c r="C268" s="178"/>
      <c r="D268" s="178"/>
      <c r="E268" s="178"/>
      <c r="F268" s="50" t="s">
        <v>166</v>
      </c>
      <c r="G268" s="179">
        <f>D34</f>
        <v>44175</v>
      </c>
      <c r="H268" s="179"/>
      <c r="I268" s="39" t="s">
        <v>233</v>
      </c>
      <c r="J268" s="39"/>
      <c r="K268" s="39" t="e">
        <f>VLOOKUP(D28,'2Ph data'!A:C,2,0)</f>
        <v>#N/A</v>
      </c>
    </row>
    <row r="269" spans="1:11" x14ac:dyDescent="0.25">
      <c r="A269" s="28"/>
      <c r="B269" s="28"/>
      <c r="C269" s="28"/>
      <c r="D269" s="28"/>
      <c r="E269" s="28"/>
      <c r="F269" s="28"/>
      <c r="G269" s="28"/>
      <c r="H269" s="28"/>
      <c r="I269" s="28"/>
      <c r="J269" s="28"/>
      <c r="K269" s="28"/>
    </row>
    <row r="270" spans="1:11" x14ac:dyDescent="0.25">
      <c r="A270" s="175" t="s">
        <v>167</v>
      </c>
      <c r="B270" s="175"/>
      <c r="C270" s="175"/>
      <c r="D270" s="175"/>
      <c r="E270" s="175"/>
      <c r="F270" s="175"/>
      <c r="G270" s="175"/>
      <c r="H270" s="175"/>
      <c r="I270" s="175"/>
      <c r="J270" s="175"/>
      <c r="K270" s="175"/>
    </row>
    <row r="271" spans="1:11" x14ac:dyDescent="0.25">
      <c r="A271" s="39" t="s">
        <v>168</v>
      </c>
      <c r="B271" s="39" t="s">
        <v>12</v>
      </c>
      <c r="C271" s="176" t="s">
        <v>169</v>
      </c>
      <c r="D271" s="176"/>
      <c r="E271" s="39" t="s">
        <v>12</v>
      </c>
      <c r="F271" s="176" t="s">
        <v>169</v>
      </c>
      <c r="G271" s="176"/>
      <c r="H271" s="39" t="s">
        <v>12</v>
      </c>
      <c r="I271" s="176" t="s">
        <v>169</v>
      </c>
      <c r="J271" s="176"/>
      <c r="K271" s="39"/>
    </row>
    <row r="272" spans="1:11" x14ac:dyDescent="0.25">
      <c r="A272" s="39" t="s">
        <v>170</v>
      </c>
      <c r="B272" s="39" t="s">
        <v>173</v>
      </c>
      <c r="C272" s="176"/>
      <c r="D272" s="176"/>
      <c r="E272" s="39" t="s">
        <v>174</v>
      </c>
      <c r="F272" s="176"/>
      <c r="G272" s="176"/>
      <c r="H272" s="39" t="s">
        <v>175</v>
      </c>
      <c r="I272" s="176"/>
      <c r="J272" s="176"/>
      <c r="K272" s="39"/>
    </row>
    <row r="273" spans="1:11" x14ac:dyDescent="0.25">
      <c r="A273" s="39" t="s">
        <v>171</v>
      </c>
      <c r="B273" s="39" t="s">
        <v>173</v>
      </c>
      <c r="C273" s="176"/>
      <c r="D273" s="176"/>
      <c r="E273" s="39" t="s">
        <v>174</v>
      </c>
      <c r="F273" s="176"/>
      <c r="G273" s="176"/>
      <c r="H273" s="39" t="s">
        <v>175</v>
      </c>
      <c r="I273" s="176"/>
      <c r="J273" s="176"/>
      <c r="K273" s="39"/>
    </row>
    <row r="274" spans="1:11" x14ac:dyDescent="0.25">
      <c r="A274" s="39" t="s">
        <v>170</v>
      </c>
      <c r="B274" s="39" t="s">
        <v>173</v>
      </c>
      <c r="C274" s="176"/>
      <c r="D274" s="176"/>
      <c r="E274" s="39" t="s">
        <v>174</v>
      </c>
      <c r="F274" s="176"/>
      <c r="G274" s="176"/>
      <c r="H274" s="39" t="s">
        <v>175</v>
      </c>
      <c r="I274" s="176"/>
      <c r="J274" s="176"/>
      <c r="K274" s="39"/>
    </row>
    <row r="275" spans="1:11" x14ac:dyDescent="0.25">
      <c r="A275" s="39" t="s">
        <v>172</v>
      </c>
      <c r="B275" s="39" t="s">
        <v>173</v>
      </c>
      <c r="C275" s="176"/>
      <c r="D275" s="176"/>
      <c r="E275" s="39" t="s">
        <v>174</v>
      </c>
      <c r="F275" s="176"/>
      <c r="G275" s="176"/>
      <c r="H275" s="39" t="s">
        <v>175</v>
      </c>
      <c r="I275" s="176"/>
      <c r="J275" s="176"/>
      <c r="K275" s="39"/>
    </row>
    <row r="276" spans="1:11" x14ac:dyDescent="0.25">
      <c r="A276" s="28"/>
      <c r="B276" s="28"/>
      <c r="C276" s="28"/>
      <c r="D276" s="28"/>
      <c r="E276" s="28"/>
      <c r="F276" s="28"/>
      <c r="G276" s="28"/>
      <c r="H276" s="28"/>
      <c r="I276" s="28"/>
      <c r="J276" s="28"/>
      <c r="K276" s="28"/>
    </row>
    <row r="277" spans="1:11" x14ac:dyDescent="0.25">
      <c r="A277" s="28"/>
      <c r="B277" s="160" t="s">
        <v>176</v>
      </c>
      <c r="C277" s="160"/>
      <c r="D277" s="160"/>
      <c r="E277" s="28"/>
      <c r="F277" s="28"/>
      <c r="G277" s="160" t="s">
        <v>177</v>
      </c>
      <c r="H277" s="160"/>
      <c r="I277" s="160"/>
      <c r="J277" s="28"/>
      <c r="K277" s="28"/>
    </row>
    <row r="278" spans="1:11" x14ac:dyDescent="0.25">
      <c r="A278" s="28"/>
      <c r="B278" s="160"/>
      <c r="C278" s="160"/>
      <c r="D278" s="160"/>
      <c r="E278" s="28"/>
      <c r="F278" s="28"/>
      <c r="G278" s="160"/>
      <c r="H278" s="160"/>
      <c r="I278" s="160"/>
      <c r="J278" s="28"/>
      <c r="K278" s="28"/>
    </row>
    <row r="279" spans="1:11" x14ac:dyDescent="0.25">
      <c r="A279" s="28"/>
      <c r="B279" s="39" t="s">
        <v>168</v>
      </c>
      <c r="C279" s="176"/>
      <c r="D279" s="176"/>
      <c r="E279" s="28"/>
      <c r="F279" s="28"/>
      <c r="G279" s="39" t="s">
        <v>168</v>
      </c>
      <c r="H279" s="176"/>
      <c r="I279" s="176"/>
      <c r="J279" s="28"/>
      <c r="K279" s="28"/>
    </row>
    <row r="280" spans="1:11" x14ac:dyDescent="0.25">
      <c r="A280" s="28"/>
      <c r="B280" s="39" t="s">
        <v>170</v>
      </c>
      <c r="C280" s="176"/>
      <c r="D280" s="176"/>
      <c r="E280" s="28"/>
      <c r="F280" s="28"/>
      <c r="G280" s="39" t="s">
        <v>170</v>
      </c>
      <c r="H280" s="176"/>
      <c r="I280" s="176"/>
      <c r="J280" s="28"/>
      <c r="K280" s="28"/>
    </row>
    <row r="281" spans="1:11" x14ac:dyDescent="0.25">
      <c r="A281" s="28"/>
      <c r="B281" s="39" t="s">
        <v>171</v>
      </c>
      <c r="C281" s="176"/>
      <c r="D281" s="176"/>
      <c r="E281" s="28"/>
      <c r="F281" s="28"/>
      <c r="G281" s="39" t="s">
        <v>171</v>
      </c>
      <c r="H281" s="176"/>
      <c r="I281" s="176"/>
      <c r="J281" s="28"/>
      <c r="K281" s="28"/>
    </row>
    <row r="282" spans="1:11" x14ac:dyDescent="0.25">
      <c r="A282" s="28"/>
      <c r="B282" s="39" t="s">
        <v>170</v>
      </c>
      <c r="C282" s="176"/>
      <c r="D282" s="176"/>
      <c r="E282" s="28"/>
      <c r="F282" s="28"/>
      <c r="G282" s="39" t="s">
        <v>170</v>
      </c>
      <c r="H282" s="176"/>
      <c r="I282" s="176"/>
      <c r="J282" s="28"/>
      <c r="K282" s="28"/>
    </row>
    <row r="283" spans="1:11" x14ac:dyDescent="0.25">
      <c r="A283" s="28"/>
      <c r="B283" s="39" t="s">
        <v>172</v>
      </c>
      <c r="C283" s="176"/>
      <c r="D283" s="176"/>
      <c r="E283" s="28"/>
      <c r="F283" s="28"/>
      <c r="G283" s="39" t="s">
        <v>172</v>
      </c>
      <c r="H283" s="176"/>
      <c r="I283" s="176"/>
      <c r="J283" s="28"/>
      <c r="K283" s="28"/>
    </row>
    <row r="284" spans="1:11" x14ac:dyDescent="0.25">
      <c r="A284" s="28"/>
      <c r="B284" s="28"/>
      <c r="C284" s="28"/>
      <c r="D284" s="28"/>
      <c r="E284" s="28"/>
      <c r="F284" s="28"/>
      <c r="G284" s="28"/>
      <c r="H284" s="28"/>
      <c r="I284" s="28"/>
      <c r="J284" s="28"/>
      <c r="K284" s="28"/>
    </row>
    <row r="285" spans="1:11" x14ac:dyDescent="0.25">
      <c r="A285" s="28"/>
      <c r="B285" s="106" t="s">
        <v>178</v>
      </c>
      <c r="C285" s="106"/>
      <c r="D285" s="106"/>
      <c r="E285" s="106"/>
      <c r="F285" s="106"/>
      <c r="G285" s="106"/>
      <c r="H285" s="106"/>
      <c r="I285" s="106"/>
      <c r="J285" s="106"/>
      <c r="K285" s="28"/>
    </row>
    <row r="286" spans="1:11" x14ac:dyDescent="0.25">
      <c r="A286" s="28"/>
      <c r="B286" s="28"/>
      <c r="C286" s="28"/>
      <c r="D286" s="28"/>
      <c r="E286" s="28"/>
      <c r="F286" s="28"/>
      <c r="G286" s="28"/>
      <c r="H286" s="28"/>
      <c r="I286" s="28"/>
      <c r="J286" s="28"/>
      <c r="K286" s="28"/>
    </row>
    <row r="287" spans="1:11" x14ac:dyDescent="0.25">
      <c r="A287" s="28"/>
      <c r="B287" s="28" t="s">
        <v>179</v>
      </c>
      <c r="C287" s="28"/>
      <c r="D287" s="28"/>
      <c r="E287" s="28"/>
      <c r="F287" s="28"/>
      <c r="G287" s="28"/>
      <c r="H287" s="28"/>
      <c r="I287" s="28"/>
      <c r="J287" s="28"/>
      <c r="K287" s="28"/>
    </row>
    <row r="288" spans="1:11" x14ac:dyDescent="0.25">
      <c r="A288" s="175" t="s">
        <v>180</v>
      </c>
      <c r="B288" s="175"/>
      <c r="C288" s="175"/>
      <c r="D288" s="175"/>
      <c r="E288" s="175"/>
      <c r="F288" s="175"/>
      <c r="G288" s="175"/>
      <c r="H288" s="175"/>
      <c r="I288" s="175"/>
      <c r="J288" s="175"/>
      <c r="K288" s="175"/>
    </row>
    <row r="289" spans="1:11" x14ac:dyDescent="0.25">
      <c r="A289" s="39" t="s">
        <v>181</v>
      </c>
      <c r="B289" s="39"/>
      <c r="C289" s="182"/>
      <c r="D289" s="183"/>
      <c r="E289" s="184"/>
      <c r="F289" s="39" t="s">
        <v>182</v>
      </c>
      <c r="G289" s="39"/>
      <c r="H289" s="182"/>
      <c r="I289" s="184"/>
      <c r="J289" s="39" t="s">
        <v>119</v>
      </c>
      <c r="K289" s="39"/>
    </row>
    <row r="290" spans="1:11" x14ac:dyDescent="0.25">
      <c r="A290" s="39" t="s">
        <v>183</v>
      </c>
      <c r="B290" s="39"/>
      <c r="C290" s="180"/>
      <c r="D290" s="185"/>
      <c r="E290" s="185"/>
      <c r="F290" s="185"/>
      <c r="G290" s="185"/>
      <c r="H290" s="185"/>
      <c r="I290" s="185"/>
      <c r="J290" s="185"/>
      <c r="K290" s="181"/>
    </row>
    <row r="291" spans="1:11" x14ac:dyDescent="0.25">
      <c r="A291" s="39" t="s">
        <v>184</v>
      </c>
      <c r="B291" s="39"/>
      <c r="C291" s="39"/>
      <c r="D291" s="182"/>
      <c r="E291" s="184"/>
      <c r="F291" s="39" t="s">
        <v>185</v>
      </c>
      <c r="G291" s="182"/>
      <c r="H291" s="183"/>
      <c r="I291" s="183"/>
      <c r="J291" s="183"/>
      <c r="K291" s="184"/>
    </row>
    <row r="292" spans="1:11" x14ac:dyDescent="0.25">
      <c r="A292" s="39" t="s">
        <v>186</v>
      </c>
      <c r="B292" s="39"/>
      <c r="C292" s="39"/>
      <c r="D292" s="182"/>
      <c r="E292" s="184"/>
      <c r="F292" s="39" t="s">
        <v>187</v>
      </c>
      <c r="G292" s="182"/>
      <c r="H292" s="183"/>
      <c r="I292" s="184"/>
      <c r="J292" s="39" t="s">
        <v>192</v>
      </c>
      <c r="K292" s="39"/>
    </row>
    <row r="293" spans="1:11" x14ac:dyDescent="0.25">
      <c r="A293" s="28"/>
      <c r="B293" s="28"/>
      <c r="C293" s="28"/>
      <c r="D293" s="28"/>
      <c r="E293" s="28"/>
      <c r="F293" s="28"/>
      <c r="G293" s="28"/>
      <c r="H293" s="28"/>
      <c r="I293" s="28"/>
      <c r="J293" s="28"/>
      <c r="K293" s="28"/>
    </row>
    <row r="294" spans="1:11" x14ac:dyDescent="0.25">
      <c r="A294" s="28"/>
      <c r="B294" s="28"/>
      <c r="C294" s="28"/>
      <c r="D294" s="28"/>
      <c r="E294" s="28"/>
      <c r="F294" s="28"/>
      <c r="G294" s="28"/>
      <c r="H294" s="28"/>
      <c r="I294" s="28"/>
      <c r="J294" s="28"/>
      <c r="K294" s="28"/>
    </row>
    <row r="295" spans="1:11" x14ac:dyDescent="0.25">
      <c r="A295" s="175" t="s">
        <v>188</v>
      </c>
      <c r="B295" s="175"/>
      <c r="C295" s="175"/>
      <c r="D295" s="175"/>
      <c r="E295" s="175"/>
      <c r="F295" s="175"/>
      <c r="G295" s="175"/>
      <c r="H295" s="175"/>
      <c r="I295" s="175"/>
      <c r="J295" s="175"/>
      <c r="K295" s="175"/>
    </row>
    <row r="296" spans="1:11" x14ac:dyDescent="0.25">
      <c r="A296" s="50" t="s">
        <v>181</v>
      </c>
      <c r="B296" s="50"/>
      <c r="C296" s="182"/>
      <c r="D296" s="183"/>
      <c r="E296" s="184"/>
      <c r="F296" s="178" t="s">
        <v>182</v>
      </c>
      <c r="G296" s="178"/>
      <c r="H296" s="182"/>
      <c r="I296" s="184"/>
      <c r="J296" s="39" t="s">
        <v>119</v>
      </c>
      <c r="K296" s="39"/>
    </row>
    <row r="297" spans="1:11" x14ac:dyDescent="0.25">
      <c r="A297" s="180" t="s">
        <v>189</v>
      </c>
      <c r="B297" s="181"/>
      <c r="C297" s="182"/>
      <c r="D297" s="183"/>
      <c r="E297" s="184"/>
      <c r="F297" s="39" t="s">
        <v>190</v>
      </c>
      <c r="G297" s="182"/>
      <c r="H297" s="183"/>
      <c r="I297" s="183"/>
      <c r="J297" s="183"/>
      <c r="K297" s="184"/>
    </row>
    <row r="298" spans="1:11" x14ac:dyDescent="0.25">
      <c r="A298" s="50" t="s">
        <v>184</v>
      </c>
      <c r="B298" s="50"/>
      <c r="C298" s="50"/>
      <c r="D298" s="182"/>
      <c r="E298" s="184"/>
      <c r="F298" s="39" t="s">
        <v>185</v>
      </c>
      <c r="G298" s="182"/>
      <c r="H298" s="183"/>
      <c r="I298" s="183"/>
      <c r="J298" s="183"/>
      <c r="K298" s="184"/>
    </row>
    <row r="299" spans="1:11" x14ac:dyDescent="0.25">
      <c r="A299" s="50" t="s">
        <v>186</v>
      </c>
      <c r="B299" s="50"/>
      <c r="C299" s="50"/>
      <c r="D299" s="182"/>
      <c r="E299" s="184"/>
      <c r="F299" s="39" t="s">
        <v>187</v>
      </c>
      <c r="G299" s="182"/>
      <c r="H299" s="183"/>
      <c r="I299" s="184"/>
      <c r="J299" s="39" t="s">
        <v>192</v>
      </c>
      <c r="K299" s="39"/>
    </row>
    <row r="300" spans="1:11" x14ac:dyDescent="0.25">
      <c r="A300" s="28"/>
      <c r="B300" s="28"/>
      <c r="C300" s="28"/>
      <c r="D300" s="28"/>
      <c r="E300" s="28"/>
      <c r="F300" s="28"/>
      <c r="G300" s="28"/>
      <c r="H300" s="28"/>
      <c r="I300" s="28"/>
      <c r="J300" s="28"/>
      <c r="K300" s="28"/>
    </row>
    <row r="301" spans="1:11" x14ac:dyDescent="0.25">
      <c r="A301" s="28"/>
      <c r="B301" s="28"/>
      <c r="C301" s="28"/>
      <c r="D301" s="28"/>
      <c r="E301" s="28"/>
      <c r="F301" s="28"/>
      <c r="G301" s="28"/>
      <c r="H301" s="28"/>
      <c r="I301" s="28"/>
      <c r="J301" s="28"/>
      <c r="K301" s="28"/>
    </row>
    <row r="302" spans="1:11" x14ac:dyDescent="0.25">
      <c r="A302" s="28"/>
      <c r="B302" s="28"/>
      <c r="C302" s="28"/>
      <c r="D302" s="28"/>
      <c r="E302" s="28"/>
      <c r="F302" s="28"/>
      <c r="G302" s="28"/>
      <c r="H302" s="28"/>
      <c r="I302" s="28"/>
      <c r="J302" s="28"/>
      <c r="K302" s="28"/>
    </row>
    <row r="303" spans="1:11" x14ac:dyDescent="0.25">
      <c r="A303" s="28"/>
      <c r="B303" s="28"/>
      <c r="C303" s="28"/>
      <c r="D303" s="28"/>
      <c r="E303" s="28"/>
      <c r="F303" s="28"/>
      <c r="G303" s="28"/>
      <c r="H303" s="28"/>
      <c r="I303" s="28"/>
      <c r="J303" s="28"/>
      <c r="K303" s="28"/>
    </row>
    <row r="304" spans="1:11" x14ac:dyDescent="0.25">
      <c r="A304" s="28"/>
      <c r="B304" s="28"/>
      <c r="C304" s="28"/>
      <c r="D304" s="28"/>
      <c r="E304" s="28"/>
      <c r="F304" s="28"/>
      <c r="G304" s="28"/>
      <c r="H304" s="28"/>
      <c r="I304" s="28"/>
      <c r="J304" s="28"/>
      <c r="K304" s="28"/>
    </row>
    <row r="305" spans="1:11" x14ac:dyDescent="0.25">
      <c r="A305" s="28"/>
      <c r="B305" s="28"/>
      <c r="C305" s="28"/>
      <c r="D305" s="28"/>
      <c r="E305" s="28"/>
      <c r="F305" s="28"/>
      <c r="G305" s="28"/>
      <c r="H305" s="28"/>
      <c r="I305" s="28"/>
      <c r="J305" s="28"/>
      <c r="K305" s="28"/>
    </row>
    <row r="306" spans="1:11" x14ac:dyDescent="0.25">
      <c r="A306" s="28"/>
      <c r="B306" s="28"/>
      <c r="C306" s="28"/>
      <c r="D306" s="28"/>
      <c r="E306" s="28"/>
      <c r="F306" s="28"/>
      <c r="G306" s="28"/>
      <c r="H306" s="28"/>
      <c r="I306" s="28"/>
      <c r="J306" s="28"/>
      <c r="K306" s="28"/>
    </row>
    <row r="307" spans="1:11" x14ac:dyDescent="0.25">
      <c r="A307" s="28"/>
      <c r="B307" s="28"/>
      <c r="C307" s="28"/>
      <c r="D307" s="28"/>
      <c r="E307" s="28"/>
      <c r="F307" s="28"/>
      <c r="G307" s="28"/>
      <c r="H307" s="28"/>
      <c r="I307" s="28"/>
      <c r="J307" s="28"/>
      <c r="K307" s="28"/>
    </row>
    <row r="308" spans="1:11" x14ac:dyDescent="0.25">
      <c r="A308" s="28"/>
      <c r="B308" s="28"/>
      <c r="C308" s="28"/>
      <c r="D308" s="28"/>
      <c r="E308" s="28"/>
      <c r="F308" s="28"/>
      <c r="G308" s="28"/>
      <c r="H308" s="28"/>
      <c r="I308" s="28"/>
      <c r="J308" s="28"/>
      <c r="K308" s="28"/>
    </row>
    <row r="309" spans="1:11" x14ac:dyDescent="0.25">
      <c r="A309" s="28"/>
      <c r="B309" s="28"/>
      <c r="C309" s="28"/>
      <c r="D309" s="28"/>
      <c r="E309" s="28"/>
      <c r="F309" s="28"/>
      <c r="G309" s="28"/>
      <c r="H309" s="28"/>
      <c r="I309" s="28"/>
      <c r="J309" s="28"/>
      <c r="K309" s="28"/>
    </row>
    <row r="310" spans="1:11" x14ac:dyDescent="0.25">
      <c r="A310" s="28"/>
      <c r="B310" s="28"/>
      <c r="C310" s="28"/>
      <c r="D310" s="28"/>
      <c r="E310" s="28"/>
      <c r="F310" s="28"/>
      <c r="G310" s="28"/>
      <c r="H310" s="28"/>
      <c r="I310" s="28"/>
      <c r="J310" s="28"/>
      <c r="K310" s="28"/>
    </row>
    <row r="311" spans="1:11" x14ac:dyDescent="0.25">
      <c r="A311" s="28"/>
      <c r="B311" s="28"/>
      <c r="C311" s="28"/>
      <c r="D311" s="28"/>
      <c r="E311" s="28"/>
      <c r="F311" s="28"/>
      <c r="G311" s="28"/>
      <c r="H311" s="28"/>
      <c r="I311" s="28"/>
      <c r="J311" s="28"/>
      <c r="K311" s="28"/>
    </row>
    <row r="312" spans="1:11" x14ac:dyDescent="0.25">
      <c r="A312" s="28"/>
      <c r="B312" s="28"/>
      <c r="C312" s="28"/>
      <c r="D312" s="28"/>
      <c r="E312" s="28"/>
      <c r="F312" s="28"/>
      <c r="G312" s="28"/>
      <c r="H312" s="28"/>
      <c r="I312" s="28"/>
      <c r="J312" s="28"/>
      <c r="K312" s="28"/>
    </row>
    <row r="313" spans="1:11" x14ac:dyDescent="0.25">
      <c r="A313" s="28"/>
      <c r="B313" s="28"/>
      <c r="C313" s="28"/>
      <c r="D313" s="28"/>
      <c r="E313" s="28"/>
      <c r="F313" s="28"/>
      <c r="G313" s="28"/>
      <c r="H313" s="28"/>
      <c r="I313" s="28"/>
      <c r="J313" s="28"/>
      <c r="K313" s="28"/>
    </row>
    <row r="314" spans="1:11" x14ac:dyDescent="0.25">
      <c r="A314" s="28"/>
      <c r="B314" s="28"/>
      <c r="C314" s="28"/>
      <c r="D314" s="28"/>
      <c r="E314" s="28"/>
      <c r="F314" s="28"/>
      <c r="G314" s="28"/>
      <c r="H314" s="28"/>
      <c r="I314" s="28"/>
      <c r="J314" s="28"/>
      <c r="K314" s="28"/>
    </row>
    <row r="315" spans="1:11" x14ac:dyDescent="0.25">
      <c r="A315" s="28"/>
      <c r="B315" s="28"/>
      <c r="C315" s="28"/>
      <c r="D315" s="28"/>
      <c r="E315" s="28"/>
      <c r="F315" s="28"/>
      <c r="G315" s="28"/>
      <c r="H315" s="28"/>
      <c r="I315" s="28"/>
      <c r="J315" s="28"/>
      <c r="K315" s="28"/>
    </row>
  </sheetData>
  <mergeCells count="301">
    <mergeCell ref="D298:E298"/>
    <mergeCell ref="G298:K298"/>
    <mergeCell ref="D299:E299"/>
    <mergeCell ref="G299:I299"/>
    <mergeCell ref="C296:E296"/>
    <mergeCell ref="F296:G296"/>
    <mergeCell ref="H296:I296"/>
    <mergeCell ref="A297:B297"/>
    <mergeCell ref="C297:E297"/>
    <mergeCell ref="G297:K297"/>
    <mergeCell ref="C290:K290"/>
    <mergeCell ref="D291:E291"/>
    <mergeCell ref="G291:K291"/>
    <mergeCell ref="D292:E292"/>
    <mergeCell ref="G292:I292"/>
    <mergeCell ref="A295:K295"/>
    <mergeCell ref="C283:D283"/>
    <mergeCell ref="H283:I283"/>
    <mergeCell ref="B285:J285"/>
    <mergeCell ref="A288:K288"/>
    <mergeCell ref="C289:E289"/>
    <mergeCell ref="H289:I289"/>
    <mergeCell ref="C280:D280"/>
    <mergeCell ref="H280:I280"/>
    <mergeCell ref="C281:D281"/>
    <mergeCell ref="H281:I281"/>
    <mergeCell ref="C282:D282"/>
    <mergeCell ref="H282:I282"/>
    <mergeCell ref="C275:D275"/>
    <mergeCell ref="F275:G275"/>
    <mergeCell ref="I275:J275"/>
    <mergeCell ref="B277:D278"/>
    <mergeCell ref="G277:I278"/>
    <mergeCell ref="C279:D279"/>
    <mergeCell ref="H279:I279"/>
    <mergeCell ref="C273:D273"/>
    <mergeCell ref="F273:G273"/>
    <mergeCell ref="I273:J273"/>
    <mergeCell ref="C274:D274"/>
    <mergeCell ref="F274:G274"/>
    <mergeCell ref="I274:J274"/>
    <mergeCell ref="C271:D271"/>
    <mergeCell ref="F271:G271"/>
    <mergeCell ref="I271:J271"/>
    <mergeCell ref="C272:D272"/>
    <mergeCell ref="F272:G272"/>
    <mergeCell ref="I272:J272"/>
    <mergeCell ref="A265:K266"/>
    <mergeCell ref="B267:E267"/>
    <mergeCell ref="G267:H267"/>
    <mergeCell ref="B268:E268"/>
    <mergeCell ref="G268:H268"/>
    <mergeCell ref="A270:K270"/>
    <mergeCell ref="A236:B236"/>
    <mergeCell ref="C236:D236"/>
    <mergeCell ref="E236:F236"/>
    <mergeCell ref="G236:H236"/>
    <mergeCell ref="I236:K236"/>
    <mergeCell ref="A263:K263"/>
    <mergeCell ref="A234:B234"/>
    <mergeCell ref="C234:D234"/>
    <mergeCell ref="E234:F234"/>
    <mergeCell ref="G234:H234"/>
    <mergeCell ref="I234:K234"/>
    <mergeCell ref="A235:B235"/>
    <mergeCell ref="C235:D235"/>
    <mergeCell ref="E235:F235"/>
    <mergeCell ref="G235:H235"/>
    <mergeCell ref="I235:K235"/>
    <mergeCell ref="A232:B232"/>
    <mergeCell ref="C232:D232"/>
    <mergeCell ref="E232:F232"/>
    <mergeCell ref="G232:H232"/>
    <mergeCell ref="I232:K232"/>
    <mergeCell ref="A233:B233"/>
    <mergeCell ref="C233:D233"/>
    <mergeCell ref="E233:F233"/>
    <mergeCell ref="G233:H233"/>
    <mergeCell ref="I233:K233"/>
    <mergeCell ref="A230:B230"/>
    <mergeCell ref="C230:D230"/>
    <mergeCell ref="E230:F230"/>
    <mergeCell ref="G230:H230"/>
    <mergeCell ref="I230:K230"/>
    <mergeCell ref="A231:B231"/>
    <mergeCell ref="C231:D231"/>
    <mergeCell ref="E231:F231"/>
    <mergeCell ref="G231:H231"/>
    <mergeCell ref="I231:K231"/>
    <mergeCell ref="A228:B228"/>
    <mergeCell ref="C228:D228"/>
    <mergeCell ref="E228:F228"/>
    <mergeCell ref="G228:H228"/>
    <mergeCell ref="I228:K228"/>
    <mergeCell ref="A229:B229"/>
    <mergeCell ref="C229:D229"/>
    <mergeCell ref="E229:F229"/>
    <mergeCell ref="G229:H229"/>
    <mergeCell ref="I229:K229"/>
    <mergeCell ref="A221:K223"/>
    <mergeCell ref="A224:K224"/>
    <mergeCell ref="A227:B227"/>
    <mergeCell ref="C227:D227"/>
    <mergeCell ref="E227:F227"/>
    <mergeCell ref="G227:H227"/>
    <mergeCell ref="I227:K227"/>
    <mergeCell ref="A213:G216"/>
    <mergeCell ref="I213:I214"/>
    <mergeCell ref="J213:K214"/>
    <mergeCell ref="I215:K216"/>
    <mergeCell ref="A218:K218"/>
    <mergeCell ref="A219:B219"/>
    <mergeCell ref="B180:C180"/>
    <mergeCell ref="D180:E180"/>
    <mergeCell ref="F180:G180"/>
    <mergeCell ref="H180:I180"/>
    <mergeCell ref="J180:K180"/>
    <mergeCell ref="B181:C181"/>
    <mergeCell ref="D181:E181"/>
    <mergeCell ref="F181:G181"/>
    <mergeCell ref="H181:I181"/>
    <mergeCell ref="J181:K181"/>
    <mergeCell ref="B178:C178"/>
    <mergeCell ref="D178:E178"/>
    <mergeCell ref="F178:G178"/>
    <mergeCell ref="H178:I178"/>
    <mergeCell ref="J178:K178"/>
    <mergeCell ref="B179:C179"/>
    <mergeCell ref="D179:E179"/>
    <mergeCell ref="F179:G179"/>
    <mergeCell ref="H179:I179"/>
    <mergeCell ref="J179:K179"/>
    <mergeCell ref="B176:C176"/>
    <mergeCell ref="D176:E176"/>
    <mergeCell ref="F176:G176"/>
    <mergeCell ref="H176:I176"/>
    <mergeCell ref="J176:K176"/>
    <mergeCell ref="B177:C177"/>
    <mergeCell ref="D177:E177"/>
    <mergeCell ref="F177:G177"/>
    <mergeCell ref="H177:I177"/>
    <mergeCell ref="J177:K177"/>
    <mergeCell ref="A167:K167"/>
    <mergeCell ref="A168:B168"/>
    <mergeCell ref="A170:K172"/>
    <mergeCell ref="A173:K173"/>
    <mergeCell ref="B175:C175"/>
    <mergeCell ref="D175:E175"/>
    <mergeCell ref="F175:G175"/>
    <mergeCell ref="H175:I175"/>
    <mergeCell ref="J175:K175"/>
    <mergeCell ref="B135:C135"/>
    <mergeCell ref="D135:E135"/>
    <mergeCell ref="F135:G135"/>
    <mergeCell ref="H135:I135"/>
    <mergeCell ref="J135:K135"/>
    <mergeCell ref="A162:G165"/>
    <mergeCell ref="I162:I163"/>
    <mergeCell ref="J162:K163"/>
    <mergeCell ref="I164:K165"/>
    <mergeCell ref="B133:C133"/>
    <mergeCell ref="D133:E133"/>
    <mergeCell ref="F133:G133"/>
    <mergeCell ref="H133:I133"/>
    <mergeCell ref="J133:K133"/>
    <mergeCell ref="B134:C134"/>
    <mergeCell ref="D134:E134"/>
    <mergeCell ref="F134:G134"/>
    <mergeCell ref="H134:I134"/>
    <mergeCell ref="J134:K134"/>
    <mergeCell ref="B131:C131"/>
    <mergeCell ref="D131:E131"/>
    <mergeCell ref="F131:G131"/>
    <mergeCell ref="H131:I131"/>
    <mergeCell ref="J131:K131"/>
    <mergeCell ref="B132:C132"/>
    <mergeCell ref="D132:E132"/>
    <mergeCell ref="F132:G132"/>
    <mergeCell ref="H132:I132"/>
    <mergeCell ref="J132:K132"/>
    <mergeCell ref="B129:C129"/>
    <mergeCell ref="D129:E129"/>
    <mergeCell ref="F129:G129"/>
    <mergeCell ref="H129:I129"/>
    <mergeCell ref="J129:K129"/>
    <mergeCell ref="B130:C130"/>
    <mergeCell ref="D130:E130"/>
    <mergeCell ref="F130:G130"/>
    <mergeCell ref="H130:I130"/>
    <mergeCell ref="J130:K130"/>
    <mergeCell ref="B127:C127"/>
    <mergeCell ref="D127:E127"/>
    <mergeCell ref="F127:G127"/>
    <mergeCell ref="H127:I127"/>
    <mergeCell ref="J127:K127"/>
    <mergeCell ref="B128:C128"/>
    <mergeCell ref="D128:E128"/>
    <mergeCell ref="F128:G128"/>
    <mergeCell ref="H128:I128"/>
    <mergeCell ref="J128:K128"/>
    <mergeCell ref="A117:K117"/>
    <mergeCell ref="A118:B118"/>
    <mergeCell ref="A120:K122"/>
    <mergeCell ref="A123:K123"/>
    <mergeCell ref="A124:K124"/>
    <mergeCell ref="B126:C126"/>
    <mergeCell ref="D126:E126"/>
    <mergeCell ref="F126:G126"/>
    <mergeCell ref="H126:I126"/>
    <mergeCell ref="J126:K126"/>
    <mergeCell ref="B85:C85"/>
    <mergeCell ref="D85:E85"/>
    <mergeCell ref="F85:G85"/>
    <mergeCell ref="H85:I85"/>
    <mergeCell ref="J85:K85"/>
    <mergeCell ref="A112:G115"/>
    <mergeCell ref="I112:I113"/>
    <mergeCell ref="J112:K113"/>
    <mergeCell ref="I114:K115"/>
    <mergeCell ref="B83:C83"/>
    <mergeCell ref="D83:E83"/>
    <mergeCell ref="F83:G83"/>
    <mergeCell ref="H83:I83"/>
    <mergeCell ref="J83:K83"/>
    <mergeCell ref="B84:C84"/>
    <mergeCell ref="D84:E84"/>
    <mergeCell ref="F84:G84"/>
    <mergeCell ref="H84:I84"/>
    <mergeCell ref="J84:K84"/>
    <mergeCell ref="B81:C81"/>
    <mergeCell ref="D81:E81"/>
    <mergeCell ref="F81:G81"/>
    <mergeCell ref="H81:I81"/>
    <mergeCell ref="J81:K81"/>
    <mergeCell ref="B82:C82"/>
    <mergeCell ref="D82:E82"/>
    <mergeCell ref="F82:G82"/>
    <mergeCell ref="H82:I82"/>
    <mergeCell ref="J82:K82"/>
    <mergeCell ref="B79:C79"/>
    <mergeCell ref="D79:E79"/>
    <mergeCell ref="F79:G79"/>
    <mergeCell ref="H79:I79"/>
    <mergeCell ref="J79:K79"/>
    <mergeCell ref="B80:C80"/>
    <mergeCell ref="D80:E80"/>
    <mergeCell ref="F80:G80"/>
    <mergeCell ref="H80:I80"/>
    <mergeCell ref="J80:K80"/>
    <mergeCell ref="B77:C77"/>
    <mergeCell ref="D77:E77"/>
    <mergeCell ref="F77:G77"/>
    <mergeCell ref="H77:I77"/>
    <mergeCell ref="J77:K77"/>
    <mergeCell ref="B78:C78"/>
    <mergeCell ref="D78:E78"/>
    <mergeCell ref="F78:G78"/>
    <mergeCell ref="H78:I78"/>
    <mergeCell ref="J78:K78"/>
    <mergeCell ref="A67:K67"/>
    <mergeCell ref="A68:B68"/>
    <mergeCell ref="A70:K72"/>
    <mergeCell ref="A73:K73"/>
    <mergeCell ref="A74:K74"/>
    <mergeCell ref="B76:C76"/>
    <mergeCell ref="D76:E76"/>
    <mergeCell ref="F76:G76"/>
    <mergeCell ref="H76:I76"/>
    <mergeCell ref="J76:K76"/>
    <mergeCell ref="A55:K55"/>
    <mergeCell ref="A56:K56"/>
    <mergeCell ref="A57:K57"/>
    <mergeCell ref="A61:G64"/>
    <mergeCell ref="I61:I62"/>
    <mergeCell ref="J61:K62"/>
    <mergeCell ref="I63:K64"/>
    <mergeCell ref="A37:B37"/>
    <mergeCell ref="A38:B38"/>
    <mergeCell ref="A42:B42"/>
    <mergeCell ref="A45:K45"/>
    <mergeCell ref="A47:K47"/>
    <mergeCell ref="A49:K51"/>
    <mergeCell ref="A35:B35"/>
    <mergeCell ref="A36:B36"/>
    <mergeCell ref="A25:B25"/>
    <mergeCell ref="A26:B26"/>
    <mergeCell ref="A27:B27"/>
    <mergeCell ref="A28:B28"/>
    <mergeCell ref="A29:B29"/>
    <mergeCell ref="A30:B30"/>
    <mergeCell ref="A54:K54"/>
    <mergeCell ref="A1:K2"/>
    <mergeCell ref="A6:B7"/>
    <mergeCell ref="C6:E6"/>
    <mergeCell ref="G6:I6"/>
    <mergeCell ref="A16:K16"/>
    <mergeCell ref="A24:B24"/>
    <mergeCell ref="A32:B32"/>
    <mergeCell ref="A33:B33"/>
    <mergeCell ref="A34:B34"/>
    <mergeCell ref="D34:E34"/>
  </mergeCells>
  <conditionalFormatting sqref="H78:I85">
    <cfRule type="cellIs" dxfId="7" priority="3" operator="lessThan">
      <formula>100</formula>
    </cfRule>
  </conditionalFormatting>
  <conditionalFormatting sqref="H128:I135">
    <cfRule type="cellIs" dxfId="6" priority="2" operator="lessThan">
      <formula>100</formula>
    </cfRule>
  </conditionalFormatting>
  <conditionalFormatting sqref="H177:I181">
    <cfRule type="cellIs" dxfId="5" priority="1" operator="lessThan">
      <formula>100</formula>
    </cfRule>
  </conditionalFormatting>
  <dataValidations disablePrompts="1" count="1">
    <dataValidation type="list" allowBlank="1" showInputMessage="1" showErrorMessage="1" sqref="J292" xr:uid="{25728AEB-A9BB-4B72-BC81-0893239C2ABA}">
      <formula1>$J$24:$J$25</formula1>
    </dataValidation>
  </dataValidations>
  <pageMargins left="0.59055118110236227" right="0.39370078740157483" top="0.23622047244094491" bottom="0.23622047244094491" header="0.31496062992125984" footer="0.31496062992125984"/>
  <pageSetup paperSize="9" orientation="portrait" r:id="rId1"/>
  <rowBreaks count="5" manualBreakCount="5">
    <brk id="60" max="16383" man="1"/>
    <brk id="111" max="16383" man="1"/>
    <brk id="161" max="16383" man="1"/>
    <brk id="212" max="16383" man="1"/>
    <brk id="264" max="16383" man="1"/>
  </rowBreaks>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9D0EA2-6343-42E4-8CE4-AF533A209AD4}">
  <dimension ref="A1:K370"/>
  <sheetViews>
    <sheetView view="pageLayout" zoomScale="120" zoomScaleNormal="100" zoomScalePageLayoutView="120" workbookViewId="0">
      <selection activeCell="H79" sqref="H79:I86"/>
    </sheetView>
  </sheetViews>
  <sheetFormatPr defaultRowHeight="15" x14ac:dyDescent="0.25"/>
  <cols>
    <col min="1" max="10" width="8.28515625" style="20" customWidth="1"/>
    <col min="11" max="16384" width="9.140625" style="20"/>
  </cols>
  <sheetData>
    <row r="1" spans="1:11" x14ac:dyDescent="0.25">
      <c r="A1" s="86" t="s">
        <v>0</v>
      </c>
      <c r="B1" s="87"/>
      <c r="C1" s="87"/>
      <c r="D1" s="87"/>
      <c r="E1" s="87"/>
      <c r="F1" s="87"/>
      <c r="G1" s="87"/>
      <c r="H1" s="87"/>
      <c r="I1" s="87"/>
      <c r="J1" s="87"/>
      <c r="K1" s="88"/>
    </row>
    <row r="2" spans="1:11" x14ac:dyDescent="0.25">
      <c r="A2" s="89"/>
      <c r="B2" s="90"/>
      <c r="C2" s="90"/>
      <c r="D2" s="90"/>
      <c r="E2" s="90"/>
      <c r="F2" s="90"/>
      <c r="G2" s="90"/>
      <c r="H2" s="90"/>
      <c r="I2" s="90"/>
      <c r="J2" s="90"/>
      <c r="K2" s="91"/>
    </row>
    <row r="3" spans="1:11" ht="7.15" customHeight="1" x14ac:dyDescent="0.25">
      <c r="A3" s="21"/>
      <c r="B3" s="57"/>
      <c r="C3" s="57"/>
      <c r="D3" s="57"/>
      <c r="E3" s="57"/>
      <c r="F3" s="57"/>
      <c r="G3" s="57"/>
      <c r="H3" s="57"/>
      <c r="I3" s="57"/>
      <c r="J3" s="57"/>
      <c r="K3" s="22"/>
    </row>
    <row r="4" spans="1:11" ht="15.6" customHeight="1" x14ac:dyDescent="0.25">
      <c r="A4" s="23" t="s">
        <v>159</v>
      </c>
      <c r="B4" s="58"/>
      <c r="C4" s="58" t="s">
        <v>111</v>
      </c>
      <c r="D4" s="58"/>
      <c r="E4" s="58"/>
      <c r="F4" s="59"/>
      <c r="G4" s="59"/>
      <c r="H4" s="59"/>
      <c r="I4" s="59"/>
      <c r="J4" s="59"/>
      <c r="K4" s="24"/>
    </row>
    <row r="5" spans="1:11" ht="7.9" customHeight="1" x14ac:dyDescent="0.25">
      <c r="A5" s="23"/>
      <c r="B5" s="58"/>
      <c r="C5" s="58"/>
      <c r="D5" s="58"/>
      <c r="E5" s="58"/>
      <c r="F5" s="59"/>
      <c r="G5" s="59"/>
      <c r="H5" s="59"/>
      <c r="I5" s="59"/>
      <c r="J5" s="59"/>
      <c r="K5" s="24"/>
    </row>
    <row r="6" spans="1:11" ht="15.75" x14ac:dyDescent="0.25">
      <c r="A6" s="92" t="s">
        <v>37</v>
      </c>
      <c r="B6" s="93"/>
      <c r="C6" s="96">
        <v>44175</v>
      </c>
      <c r="D6" s="96"/>
      <c r="E6" s="96"/>
      <c r="F6" s="59"/>
      <c r="G6" s="97" t="s">
        <v>2</v>
      </c>
      <c r="H6" s="97"/>
      <c r="I6" s="97"/>
      <c r="J6" s="60" t="s">
        <v>195</v>
      </c>
      <c r="K6" s="24"/>
    </row>
    <row r="7" spans="1:11" ht="7.9" customHeight="1" x14ac:dyDescent="0.25">
      <c r="A7" s="94"/>
      <c r="B7" s="95"/>
      <c r="C7" s="25"/>
      <c r="D7" s="25"/>
      <c r="E7" s="25"/>
      <c r="F7" s="26"/>
      <c r="G7" s="26"/>
      <c r="H7" s="26"/>
      <c r="I7" s="26"/>
      <c r="J7" s="26"/>
      <c r="K7" s="27"/>
    </row>
    <row r="8" spans="1:11" ht="7.9" customHeight="1" x14ac:dyDescent="0.25">
      <c r="A8" s="28"/>
      <c r="B8" s="28"/>
      <c r="C8" s="28"/>
      <c r="D8" s="28"/>
      <c r="E8" s="28"/>
      <c r="F8" s="28"/>
      <c r="G8" s="28"/>
      <c r="H8" s="28"/>
      <c r="I8" s="28"/>
      <c r="J8" s="28"/>
      <c r="K8" s="28"/>
    </row>
    <row r="9" spans="1:11" x14ac:dyDescent="0.25">
      <c r="A9" s="28"/>
      <c r="B9" s="28"/>
      <c r="C9" s="28"/>
      <c r="D9" s="28"/>
      <c r="E9" s="28"/>
      <c r="F9" s="29" t="s">
        <v>3</v>
      </c>
      <c r="G9" s="30"/>
      <c r="H9" s="30"/>
      <c r="I9" s="28"/>
      <c r="J9" s="31" t="s">
        <v>10</v>
      </c>
      <c r="K9" s="31"/>
    </row>
    <row r="10" spans="1:11" x14ac:dyDescent="0.25">
      <c r="A10" s="28"/>
      <c r="B10" s="28"/>
      <c r="C10" s="28"/>
      <c r="D10" s="28"/>
      <c r="E10" s="28"/>
      <c r="F10" s="29" t="s">
        <v>4</v>
      </c>
      <c r="G10" s="30"/>
      <c r="H10" s="30"/>
      <c r="I10" s="28"/>
      <c r="J10" s="31"/>
      <c r="K10" s="31"/>
    </row>
    <row r="11" spans="1:11" x14ac:dyDescent="0.25">
      <c r="A11" s="28"/>
      <c r="B11" s="28"/>
      <c r="C11" s="28"/>
      <c r="D11" s="28"/>
      <c r="E11" s="28"/>
      <c r="F11" s="29" t="s">
        <v>5</v>
      </c>
      <c r="G11" s="30"/>
      <c r="H11" s="30"/>
      <c r="I11" s="28"/>
      <c r="J11" s="31" t="s">
        <v>9</v>
      </c>
      <c r="K11" s="31"/>
    </row>
    <row r="12" spans="1:11" x14ac:dyDescent="0.25">
      <c r="A12" s="28"/>
      <c r="B12" s="28"/>
      <c r="C12" s="28"/>
      <c r="D12" s="28"/>
      <c r="E12" s="28"/>
      <c r="F12" s="29" t="s">
        <v>6</v>
      </c>
      <c r="G12" s="30"/>
      <c r="H12" s="30"/>
      <c r="I12" s="28"/>
      <c r="J12" s="31"/>
      <c r="K12" s="31"/>
    </row>
    <row r="13" spans="1:11" x14ac:dyDescent="0.25">
      <c r="A13" s="28"/>
      <c r="B13" s="28"/>
      <c r="C13" s="28"/>
      <c r="D13" s="28"/>
      <c r="E13" s="28"/>
      <c r="F13" s="29" t="s">
        <v>7</v>
      </c>
      <c r="G13" s="30"/>
      <c r="H13" s="30"/>
      <c r="I13" s="28"/>
      <c r="J13" s="31"/>
      <c r="K13" s="31"/>
    </row>
    <row r="14" spans="1:11" x14ac:dyDescent="0.25">
      <c r="A14" s="28"/>
      <c r="B14" s="28"/>
      <c r="C14" s="28"/>
      <c r="D14" s="28"/>
      <c r="E14" s="28"/>
      <c r="F14" s="29" t="s">
        <v>8</v>
      </c>
      <c r="G14" s="30"/>
      <c r="H14" s="30"/>
      <c r="I14" s="28"/>
      <c r="J14" s="31" t="s">
        <v>39</v>
      </c>
      <c r="K14" s="31"/>
    </row>
    <row r="15" spans="1:11" ht="7.15" customHeight="1" thickBot="1" x14ac:dyDescent="0.3">
      <c r="A15" s="32"/>
      <c r="B15" s="32"/>
      <c r="C15" s="32"/>
      <c r="D15" s="32"/>
      <c r="E15" s="32"/>
      <c r="F15" s="32"/>
      <c r="G15" s="32"/>
      <c r="H15" s="32"/>
      <c r="I15" s="32"/>
      <c r="J15" s="32"/>
      <c r="K15" s="32"/>
    </row>
    <row r="16" spans="1:11" ht="10.5" customHeight="1" x14ac:dyDescent="0.25">
      <c r="A16" s="98"/>
      <c r="B16" s="98"/>
      <c r="C16" s="98"/>
      <c r="D16" s="98"/>
      <c r="E16" s="98"/>
      <c r="F16" s="98"/>
      <c r="G16" s="98"/>
      <c r="H16" s="98"/>
      <c r="I16" s="98"/>
      <c r="J16" s="98"/>
      <c r="K16" s="98"/>
    </row>
    <row r="17" spans="1:11" x14ac:dyDescent="0.25">
      <c r="A17" s="33" t="s">
        <v>11</v>
      </c>
      <c r="B17" s="33"/>
      <c r="C17" s="33"/>
      <c r="D17" s="33" t="s">
        <v>111</v>
      </c>
      <c r="E17" s="33"/>
      <c r="F17" s="33"/>
      <c r="G17" s="33"/>
      <c r="H17" s="33"/>
      <c r="I17" s="33"/>
      <c r="J17" s="33"/>
      <c r="K17" s="33"/>
    </row>
    <row r="18" spans="1:11" x14ac:dyDescent="0.25">
      <c r="A18" s="33"/>
      <c r="B18" s="33"/>
      <c r="C18" s="33"/>
      <c r="D18" s="34" t="s">
        <v>3</v>
      </c>
      <c r="E18" s="33"/>
      <c r="F18" s="33"/>
      <c r="G18" s="33"/>
      <c r="H18" s="33"/>
      <c r="I18" s="33"/>
      <c r="J18" s="33"/>
      <c r="K18" s="33"/>
    </row>
    <row r="19" spans="1:11" x14ac:dyDescent="0.25">
      <c r="A19" s="33"/>
      <c r="B19" s="33"/>
      <c r="C19" s="33"/>
      <c r="D19" s="34" t="s">
        <v>4</v>
      </c>
      <c r="E19" s="33"/>
      <c r="F19" s="33"/>
      <c r="G19" s="33"/>
      <c r="H19" s="33"/>
      <c r="I19" s="33"/>
      <c r="J19" s="33"/>
      <c r="K19" s="33"/>
    </row>
    <row r="20" spans="1:11" x14ac:dyDescent="0.25">
      <c r="A20" s="33"/>
      <c r="B20" s="33"/>
      <c r="C20" s="33"/>
      <c r="D20" s="34" t="s">
        <v>5</v>
      </c>
      <c r="E20" s="33"/>
      <c r="F20" s="33"/>
      <c r="G20" s="33"/>
      <c r="H20" s="33"/>
      <c r="I20" s="33"/>
      <c r="J20" s="33"/>
      <c r="K20" s="33"/>
    </row>
    <row r="21" spans="1:11" x14ac:dyDescent="0.25">
      <c r="A21" s="33"/>
      <c r="B21" s="33"/>
      <c r="C21" s="33"/>
      <c r="D21" s="34" t="s">
        <v>6</v>
      </c>
      <c r="E21" s="33"/>
      <c r="F21" s="33"/>
      <c r="G21" s="33"/>
      <c r="H21" s="33"/>
      <c r="I21" s="33"/>
      <c r="J21" s="33"/>
      <c r="K21" s="33"/>
    </row>
    <row r="22" spans="1:11" x14ac:dyDescent="0.25">
      <c r="A22" s="33"/>
      <c r="B22" s="33"/>
      <c r="C22" s="33"/>
      <c r="D22" s="34" t="s">
        <v>7</v>
      </c>
      <c r="E22" s="33"/>
      <c r="F22" s="33"/>
      <c r="G22" s="33"/>
      <c r="H22" s="33"/>
      <c r="I22" s="33"/>
      <c r="J22" s="33"/>
      <c r="K22" s="33"/>
    </row>
    <row r="23" spans="1:11" x14ac:dyDescent="0.25">
      <c r="A23" s="33"/>
      <c r="B23" s="33"/>
      <c r="C23" s="33"/>
      <c r="D23" s="29"/>
      <c r="E23" s="33"/>
      <c r="F23" s="33"/>
      <c r="G23" s="33"/>
      <c r="H23" s="33"/>
      <c r="I23" s="33"/>
      <c r="J23" s="33"/>
      <c r="K23" s="33"/>
    </row>
    <row r="24" spans="1:11" x14ac:dyDescent="0.25">
      <c r="A24" s="85" t="s">
        <v>20</v>
      </c>
      <c r="B24" s="85"/>
      <c r="C24" s="33"/>
      <c r="D24" s="55">
        <v>78546978</v>
      </c>
      <c r="E24" s="33"/>
      <c r="F24" s="33"/>
      <c r="G24" s="33"/>
      <c r="H24" s="33"/>
      <c r="I24" s="33"/>
      <c r="J24" s="33"/>
      <c r="K24" s="33"/>
    </row>
    <row r="25" spans="1:11" x14ac:dyDescent="0.25">
      <c r="A25" s="85" t="s">
        <v>31</v>
      </c>
      <c r="B25" s="85"/>
      <c r="C25" s="33"/>
      <c r="D25" s="33" t="s">
        <v>109</v>
      </c>
      <c r="E25" s="33" t="s">
        <v>193</v>
      </c>
      <c r="F25" s="33"/>
      <c r="G25" s="33"/>
      <c r="H25" s="33"/>
      <c r="I25" s="33"/>
      <c r="J25" s="33"/>
      <c r="K25" s="33"/>
    </row>
    <row r="26" spans="1:11" x14ac:dyDescent="0.25">
      <c r="A26" s="85"/>
      <c r="B26" s="85"/>
      <c r="C26" s="33"/>
      <c r="D26" s="33"/>
      <c r="E26" s="33"/>
      <c r="F26" s="33"/>
      <c r="G26" s="33"/>
      <c r="H26" s="33"/>
      <c r="I26" s="33"/>
      <c r="J26" s="33"/>
      <c r="K26" s="33"/>
    </row>
    <row r="27" spans="1:11" x14ac:dyDescent="0.25">
      <c r="A27" s="85" t="s">
        <v>21</v>
      </c>
      <c r="B27" s="85"/>
      <c r="C27" s="28"/>
      <c r="D27" s="33" t="s">
        <v>32</v>
      </c>
      <c r="E27" s="33"/>
      <c r="F27" s="33"/>
      <c r="G27" s="33"/>
      <c r="H27" s="33"/>
      <c r="I27" s="33"/>
      <c r="J27" s="33"/>
      <c r="K27" s="33"/>
    </row>
    <row r="28" spans="1:11" x14ac:dyDescent="0.25">
      <c r="A28" s="85" t="s">
        <v>22</v>
      </c>
      <c r="B28" s="85"/>
      <c r="C28" s="28"/>
      <c r="D28" s="55" t="str">
        <f>IF(Checks!C29="0","",Checks!C29)</f>
        <v/>
      </c>
      <c r="E28" s="55"/>
      <c r="F28" s="35"/>
      <c r="G28" s="33"/>
      <c r="H28" s="33"/>
      <c r="I28" s="33"/>
      <c r="J28" s="33"/>
      <c r="K28" s="33"/>
    </row>
    <row r="29" spans="1:11" x14ac:dyDescent="0.25">
      <c r="A29" s="85" t="s">
        <v>23</v>
      </c>
      <c r="B29" s="85"/>
      <c r="C29" s="28"/>
      <c r="D29" s="33" t="s">
        <v>33</v>
      </c>
      <c r="E29" s="33"/>
      <c r="F29" s="33"/>
      <c r="G29" s="33"/>
      <c r="H29" s="33"/>
      <c r="I29" s="33"/>
      <c r="J29" s="33"/>
      <c r="K29" s="33"/>
    </row>
    <row r="30" spans="1:11" x14ac:dyDescent="0.25">
      <c r="A30" s="85" t="s">
        <v>24</v>
      </c>
      <c r="B30" s="85"/>
      <c r="C30" s="28"/>
      <c r="D30" s="55">
        <v>1243</v>
      </c>
      <c r="E30" s="33"/>
      <c r="F30" s="33"/>
      <c r="G30" s="33"/>
      <c r="H30" s="33"/>
      <c r="I30" s="33"/>
      <c r="J30" s="33"/>
      <c r="K30" s="33"/>
    </row>
    <row r="31" spans="1:11" x14ac:dyDescent="0.25">
      <c r="A31" s="85" t="s">
        <v>257</v>
      </c>
      <c r="B31" s="85"/>
      <c r="C31" s="28"/>
      <c r="D31" s="55"/>
      <c r="E31" s="33"/>
      <c r="F31" s="33"/>
      <c r="G31" s="33"/>
      <c r="H31" s="33"/>
      <c r="I31" s="33"/>
      <c r="J31" s="33"/>
      <c r="K31" s="33"/>
    </row>
    <row r="32" spans="1:11" x14ac:dyDescent="0.25">
      <c r="A32" s="85" t="s">
        <v>258</v>
      </c>
      <c r="B32" s="85"/>
      <c r="C32" s="28"/>
      <c r="D32" s="55">
        <v>2</v>
      </c>
      <c r="E32" s="33"/>
      <c r="F32" s="33"/>
      <c r="G32" s="33"/>
      <c r="H32" s="33"/>
      <c r="I32" s="33"/>
      <c r="J32" s="33"/>
      <c r="K32" s="33"/>
    </row>
    <row r="33" spans="1:11" x14ac:dyDescent="0.25">
      <c r="A33" s="85" t="s">
        <v>30</v>
      </c>
      <c r="B33" s="85"/>
      <c r="C33" s="28"/>
      <c r="D33" s="33" t="s">
        <v>110</v>
      </c>
      <c r="E33" s="33"/>
      <c r="F33" s="33"/>
      <c r="G33" s="33"/>
      <c r="H33" s="33"/>
      <c r="I33" s="33"/>
      <c r="J33" s="33"/>
      <c r="K33" s="33"/>
    </row>
    <row r="34" spans="1:11" x14ac:dyDescent="0.25">
      <c r="A34" s="85"/>
      <c r="B34" s="85"/>
      <c r="C34" s="28"/>
      <c r="D34" s="33"/>
      <c r="E34" s="33"/>
      <c r="F34" s="33"/>
      <c r="G34" s="33"/>
      <c r="H34" s="33"/>
      <c r="I34" s="33"/>
      <c r="J34" s="33"/>
      <c r="K34" s="33"/>
    </row>
    <row r="35" spans="1:11" x14ac:dyDescent="0.25">
      <c r="A35" s="85" t="s">
        <v>25</v>
      </c>
      <c r="B35" s="85"/>
      <c r="C35" s="28"/>
      <c r="D35" s="100">
        <v>44175</v>
      </c>
      <c r="E35" s="100"/>
      <c r="F35" s="33"/>
      <c r="G35" s="33"/>
      <c r="H35" s="33"/>
      <c r="I35" s="33"/>
      <c r="J35" s="33"/>
      <c r="K35" s="33"/>
    </row>
    <row r="36" spans="1:11" x14ac:dyDescent="0.25">
      <c r="A36" s="85" t="s">
        <v>26</v>
      </c>
      <c r="B36" s="85"/>
      <c r="C36" s="28"/>
      <c r="D36" s="33" t="e">
        <f>IF(A292&gt;20,'Test Equ'!B40,'Test Equ'!B39)</f>
        <v>#N/A</v>
      </c>
      <c r="E36" s="33"/>
      <c r="F36" s="33"/>
      <c r="G36" s="33"/>
      <c r="H36" s="33"/>
      <c r="I36" s="33"/>
      <c r="J36" s="33"/>
      <c r="K36" s="33"/>
    </row>
    <row r="37" spans="1:11" x14ac:dyDescent="0.25">
      <c r="A37" s="85" t="s">
        <v>27</v>
      </c>
      <c r="B37" s="85"/>
      <c r="C37" s="28"/>
      <c r="D37" s="33" t="s">
        <v>34</v>
      </c>
      <c r="E37" s="33"/>
      <c r="F37" s="33"/>
      <c r="G37" s="33"/>
      <c r="H37" s="33"/>
      <c r="I37" s="33"/>
      <c r="J37" s="33"/>
      <c r="K37" s="33"/>
    </row>
    <row r="38" spans="1:11" x14ac:dyDescent="0.25">
      <c r="A38" s="85" t="s">
        <v>28</v>
      </c>
      <c r="B38" s="85"/>
      <c r="C38" s="28"/>
      <c r="D38" s="33" t="s">
        <v>35</v>
      </c>
      <c r="E38" s="33"/>
      <c r="F38" s="33"/>
      <c r="G38" s="33"/>
      <c r="H38" s="33"/>
      <c r="I38" s="33"/>
      <c r="J38" s="33"/>
      <c r="K38" s="33"/>
    </row>
    <row r="39" spans="1:11" x14ac:dyDescent="0.25">
      <c r="A39" s="85" t="s">
        <v>29</v>
      </c>
      <c r="B39" s="85"/>
      <c r="C39" s="28"/>
      <c r="D39" s="33" t="e">
        <f>VLOOKUP('2 Ph Tx'!D28,'2PhT data'!A:D,4,0)</f>
        <v>#N/A</v>
      </c>
      <c r="E39" s="33"/>
      <c r="F39" s="33"/>
      <c r="G39" s="33"/>
      <c r="H39" s="33"/>
      <c r="I39" s="33"/>
      <c r="J39" s="33"/>
      <c r="K39" s="33"/>
    </row>
    <row r="40" spans="1:11" ht="7.9" customHeight="1" x14ac:dyDescent="0.25">
      <c r="A40" s="33"/>
      <c r="B40" s="33"/>
      <c r="C40" s="33"/>
      <c r="D40" s="33"/>
      <c r="E40" s="33"/>
      <c r="F40" s="33"/>
      <c r="G40" s="33"/>
      <c r="H40" s="33"/>
      <c r="I40" s="33"/>
      <c r="J40" s="33"/>
      <c r="K40" s="33"/>
    </row>
    <row r="41" spans="1:11" x14ac:dyDescent="0.25">
      <c r="A41" s="33" t="s">
        <v>45</v>
      </c>
      <c r="B41" s="33"/>
      <c r="C41" s="33"/>
      <c r="D41" s="33"/>
      <c r="E41" s="33"/>
      <c r="F41" s="33"/>
      <c r="G41" s="33"/>
      <c r="H41" s="33"/>
      <c r="I41" s="33"/>
      <c r="J41" s="33"/>
      <c r="K41" s="33"/>
    </row>
    <row r="42" spans="1:11" ht="7.9" customHeight="1" x14ac:dyDescent="0.25">
      <c r="A42" s="33"/>
      <c r="B42" s="33"/>
      <c r="C42" s="33"/>
      <c r="D42" s="33"/>
      <c r="E42" s="33"/>
      <c r="F42" s="33"/>
      <c r="G42" s="33"/>
      <c r="H42" s="33"/>
      <c r="I42" s="33"/>
      <c r="J42" s="33"/>
      <c r="K42" s="33"/>
    </row>
    <row r="43" spans="1:11" x14ac:dyDescent="0.25">
      <c r="A43" s="85" t="s">
        <v>43</v>
      </c>
      <c r="B43" s="85"/>
      <c r="C43" s="33" t="e">
        <f>VLOOKUP(K322,'Test Equ'!A:B,2,0)</f>
        <v>#N/A</v>
      </c>
      <c r="D43" s="33"/>
      <c r="E43" s="33"/>
      <c r="F43" s="33"/>
      <c r="G43" s="33"/>
      <c r="H43" s="33"/>
      <c r="I43" s="33"/>
      <c r="J43" s="33"/>
      <c r="K43" s="33"/>
    </row>
    <row r="44" spans="1:11" x14ac:dyDescent="0.25">
      <c r="A44" s="33"/>
      <c r="B44" s="33"/>
      <c r="C44" s="33" t="e">
        <f>VLOOKUP(K323,'Test Equ'!A:B,2,0)</f>
        <v>#N/A</v>
      </c>
      <c r="D44" s="33"/>
      <c r="E44" s="33"/>
      <c r="F44" s="33"/>
      <c r="G44" s="33"/>
      <c r="H44" s="33"/>
      <c r="I44" s="33"/>
      <c r="J44" s="33"/>
      <c r="K44" s="33"/>
    </row>
    <row r="45" spans="1:11" ht="7.9" customHeight="1" x14ac:dyDescent="0.25">
      <c r="A45" s="33"/>
      <c r="B45" s="33"/>
      <c r="C45" s="33"/>
      <c r="D45" s="33"/>
      <c r="E45" s="33"/>
      <c r="F45" s="33"/>
      <c r="G45" s="33"/>
      <c r="H45" s="33"/>
      <c r="I45" s="33"/>
      <c r="J45" s="33"/>
      <c r="K45" s="33"/>
    </row>
    <row r="46" spans="1:11" x14ac:dyDescent="0.25">
      <c r="A46" s="85" t="s">
        <v>92</v>
      </c>
      <c r="B46" s="85"/>
      <c r="C46" s="85"/>
      <c r="D46" s="85"/>
      <c r="E46" s="85"/>
      <c r="F46" s="85"/>
      <c r="G46" s="85"/>
      <c r="H46" s="85"/>
      <c r="I46" s="85"/>
      <c r="J46" s="85"/>
      <c r="K46" s="85"/>
    </row>
    <row r="47" spans="1:11" ht="7.9" customHeight="1" x14ac:dyDescent="0.25">
      <c r="A47" s="33"/>
      <c r="B47" s="33"/>
      <c r="C47" s="33"/>
      <c r="D47" s="33"/>
      <c r="E47" s="33"/>
      <c r="F47" s="33"/>
      <c r="G47" s="33"/>
      <c r="H47" s="33"/>
      <c r="I47" s="33"/>
      <c r="J47" s="33"/>
      <c r="K47" s="33"/>
    </row>
    <row r="48" spans="1:11" x14ac:dyDescent="0.25">
      <c r="A48" s="85" t="s">
        <v>93</v>
      </c>
      <c r="B48" s="85"/>
      <c r="C48" s="85"/>
      <c r="D48" s="85"/>
      <c r="E48" s="85"/>
      <c r="F48" s="85"/>
      <c r="G48" s="85"/>
      <c r="H48" s="85"/>
      <c r="I48" s="85"/>
      <c r="J48" s="85"/>
      <c r="K48" s="85"/>
    </row>
    <row r="49" spans="1:11" ht="7.9" customHeight="1" x14ac:dyDescent="0.25">
      <c r="A49" s="33"/>
      <c r="B49" s="33"/>
      <c r="C49" s="33"/>
      <c r="D49" s="33"/>
      <c r="E49" s="33"/>
      <c r="F49" s="33"/>
      <c r="G49" s="33"/>
      <c r="H49" s="33"/>
      <c r="I49" s="33"/>
      <c r="J49" s="33"/>
      <c r="K49" s="33"/>
    </row>
    <row r="50" spans="1:11" x14ac:dyDescent="0.25">
      <c r="A50" s="99" t="s">
        <v>94</v>
      </c>
      <c r="B50" s="99"/>
      <c r="C50" s="99"/>
      <c r="D50" s="99"/>
      <c r="E50" s="99"/>
      <c r="F50" s="99"/>
      <c r="G50" s="99"/>
      <c r="H50" s="99"/>
      <c r="I50" s="99"/>
      <c r="J50" s="99"/>
      <c r="K50" s="99"/>
    </row>
    <row r="51" spans="1:11" x14ac:dyDescent="0.25">
      <c r="A51" s="99"/>
      <c r="B51" s="99"/>
      <c r="C51" s="99"/>
      <c r="D51" s="99"/>
      <c r="E51" s="99"/>
      <c r="F51" s="99"/>
      <c r="G51" s="99"/>
      <c r="H51" s="99"/>
      <c r="I51" s="99"/>
      <c r="J51" s="99"/>
      <c r="K51" s="99"/>
    </row>
    <row r="52" spans="1:11" x14ac:dyDescent="0.25">
      <c r="A52" s="99"/>
      <c r="B52" s="99"/>
      <c r="C52" s="99"/>
      <c r="D52" s="99"/>
      <c r="E52" s="99"/>
      <c r="F52" s="99"/>
      <c r="G52" s="99"/>
      <c r="H52" s="99"/>
      <c r="I52" s="99"/>
      <c r="J52" s="99"/>
      <c r="K52" s="99"/>
    </row>
    <row r="53" spans="1:11" ht="7.9" customHeight="1" x14ac:dyDescent="0.25">
      <c r="A53" s="33"/>
      <c r="B53" s="33"/>
      <c r="C53" s="33"/>
      <c r="D53" s="33"/>
      <c r="E53" s="33"/>
      <c r="F53" s="33"/>
      <c r="G53" s="33"/>
      <c r="H53" s="33"/>
      <c r="I53" s="33"/>
      <c r="J53" s="33"/>
      <c r="K53" s="33"/>
    </row>
    <row r="54" spans="1:11" x14ac:dyDescent="0.25">
      <c r="A54" s="33" t="s">
        <v>95</v>
      </c>
      <c r="B54" s="33"/>
      <c r="C54" s="33"/>
      <c r="D54" s="33"/>
      <c r="E54" s="33"/>
      <c r="F54" s="33"/>
      <c r="G54" s="33"/>
      <c r="H54" s="33"/>
      <c r="I54" s="33"/>
      <c r="J54" s="33"/>
      <c r="K54" s="33"/>
    </row>
    <row r="55" spans="1:11" x14ac:dyDescent="0.25">
      <c r="A55" s="85"/>
      <c r="B55" s="85"/>
      <c r="C55" s="85"/>
      <c r="D55" s="85"/>
      <c r="E55" s="85"/>
      <c r="F55" s="85"/>
      <c r="G55" s="85"/>
      <c r="H55" s="85"/>
      <c r="I55" s="85"/>
      <c r="J55" s="85"/>
      <c r="K55" s="85"/>
    </row>
    <row r="56" spans="1:11" x14ac:dyDescent="0.25">
      <c r="A56" s="85"/>
      <c r="B56" s="85"/>
      <c r="C56" s="85"/>
      <c r="D56" s="85"/>
      <c r="E56" s="85"/>
      <c r="F56" s="85"/>
      <c r="G56" s="85"/>
      <c r="H56" s="85"/>
      <c r="I56" s="85"/>
      <c r="J56" s="85"/>
      <c r="K56" s="85"/>
    </row>
    <row r="57" spans="1:11" x14ac:dyDescent="0.25">
      <c r="A57" s="85"/>
      <c r="B57" s="85"/>
      <c r="C57" s="85"/>
      <c r="D57" s="85"/>
      <c r="E57" s="85"/>
      <c r="F57" s="85"/>
      <c r="G57" s="85"/>
      <c r="H57" s="85"/>
      <c r="I57" s="85"/>
      <c r="J57" s="85"/>
      <c r="K57" s="85"/>
    </row>
    <row r="58" spans="1:11" x14ac:dyDescent="0.25">
      <c r="A58" s="85"/>
      <c r="B58" s="85"/>
      <c r="C58" s="85"/>
      <c r="D58" s="85"/>
      <c r="E58" s="85"/>
      <c r="F58" s="85"/>
      <c r="G58" s="85"/>
      <c r="H58" s="85"/>
      <c r="I58" s="85"/>
      <c r="J58" s="85"/>
      <c r="K58" s="85"/>
    </row>
    <row r="59" spans="1:11" x14ac:dyDescent="0.25">
      <c r="A59" s="33"/>
      <c r="B59" s="33"/>
      <c r="C59" s="33"/>
      <c r="D59" s="33"/>
      <c r="E59" s="33"/>
      <c r="F59" s="33"/>
      <c r="G59" s="33"/>
      <c r="H59" s="33"/>
      <c r="I59" s="33"/>
      <c r="J59" s="33"/>
      <c r="K59" s="33"/>
    </row>
    <row r="60" spans="1:11" x14ac:dyDescent="0.25">
      <c r="A60" s="33" t="s">
        <v>108</v>
      </c>
      <c r="B60" s="33"/>
      <c r="C60" s="33" t="s">
        <v>39</v>
      </c>
      <c r="D60" s="33"/>
      <c r="E60" s="33"/>
      <c r="F60" s="33"/>
      <c r="G60" s="33"/>
      <c r="H60" s="33"/>
      <c r="I60" s="33"/>
      <c r="J60" s="36"/>
      <c r="K60" s="36"/>
    </row>
    <row r="61" spans="1:11" x14ac:dyDescent="0.25">
      <c r="A61" s="37"/>
      <c r="B61" s="37"/>
      <c r="C61" s="37"/>
      <c r="D61" s="37"/>
      <c r="E61" s="37"/>
      <c r="F61" s="37"/>
      <c r="G61" s="37"/>
      <c r="H61" s="37"/>
      <c r="I61" s="37"/>
      <c r="J61" s="37"/>
      <c r="K61" s="37"/>
    </row>
    <row r="62" spans="1:11" x14ac:dyDescent="0.25">
      <c r="A62" s="139" t="s">
        <v>0</v>
      </c>
      <c r="B62" s="140"/>
      <c r="C62" s="140"/>
      <c r="D62" s="140"/>
      <c r="E62" s="140"/>
      <c r="F62" s="140"/>
      <c r="G62" s="141"/>
      <c r="H62" s="28"/>
      <c r="I62" s="116" t="s">
        <v>1</v>
      </c>
      <c r="J62" s="148" t="str">
        <f>$J$6</f>
        <v>04567</v>
      </c>
      <c r="K62" s="119"/>
    </row>
    <row r="63" spans="1:11" x14ac:dyDescent="0.25">
      <c r="A63" s="142"/>
      <c r="B63" s="143"/>
      <c r="C63" s="143"/>
      <c r="D63" s="143"/>
      <c r="E63" s="143"/>
      <c r="F63" s="143"/>
      <c r="G63" s="144"/>
      <c r="H63" s="28"/>
      <c r="I63" s="117"/>
      <c r="J63" s="120"/>
      <c r="K63" s="121"/>
    </row>
    <row r="64" spans="1:11" x14ac:dyDescent="0.25">
      <c r="A64" s="142"/>
      <c r="B64" s="143"/>
      <c r="C64" s="143"/>
      <c r="D64" s="143"/>
      <c r="E64" s="143"/>
      <c r="F64" s="143"/>
      <c r="G64" s="144"/>
      <c r="H64" s="28"/>
      <c r="I64" s="149" t="s">
        <v>112</v>
      </c>
      <c r="J64" s="150"/>
      <c r="K64" s="151"/>
    </row>
    <row r="65" spans="1:11" x14ac:dyDescent="0.25">
      <c r="A65" s="145"/>
      <c r="B65" s="146"/>
      <c r="C65" s="146"/>
      <c r="D65" s="146"/>
      <c r="E65" s="146"/>
      <c r="F65" s="146"/>
      <c r="G65" s="147"/>
      <c r="H65" s="28"/>
      <c r="I65" s="152"/>
      <c r="J65" s="153"/>
      <c r="K65" s="154"/>
    </row>
    <row r="66" spans="1:11" x14ac:dyDescent="0.25">
      <c r="A66" s="28"/>
      <c r="B66" s="28"/>
      <c r="C66" s="28"/>
      <c r="D66" s="28"/>
      <c r="E66" s="28"/>
      <c r="F66" s="28"/>
      <c r="G66" s="28"/>
      <c r="H66" s="28"/>
      <c r="I66" s="28"/>
      <c r="J66" s="28"/>
      <c r="K66" s="28"/>
    </row>
    <row r="67" spans="1:11" x14ac:dyDescent="0.25">
      <c r="A67" s="28"/>
      <c r="B67" s="28"/>
      <c r="C67" s="28"/>
      <c r="D67" s="28"/>
      <c r="E67" s="28"/>
      <c r="F67" s="28"/>
      <c r="G67" s="28"/>
      <c r="H67" s="28"/>
      <c r="I67" s="28"/>
      <c r="J67" s="28"/>
      <c r="K67" s="28"/>
    </row>
    <row r="68" spans="1:11" ht="15.75" x14ac:dyDescent="0.25">
      <c r="A68" s="101" t="s">
        <v>126</v>
      </c>
      <c r="B68" s="101"/>
      <c r="C68" s="101"/>
      <c r="D68" s="101"/>
      <c r="E68" s="101"/>
      <c r="F68" s="101"/>
      <c r="G68" s="101"/>
      <c r="H68" s="101"/>
      <c r="I68" s="101"/>
      <c r="J68" s="101"/>
      <c r="K68" s="101"/>
    </row>
    <row r="69" spans="1:11" x14ac:dyDescent="0.25">
      <c r="A69" s="102" t="s">
        <v>115</v>
      </c>
      <c r="B69" s="102"/>
      <c r="C69" s="28"/>
      <c r="D69" s="28"/>
      <c r="E69" s="28"/>
      <c r="F69" s="28"/>
      <c r="G69" s="28"/>
      <c r="H69" s="28"/>
      <c r="I69" s="28"/>
      <c r="J69" s="28"/>
      <c r="K69" s="28"/>
    </row>
    <row r="70" spans="1:11" x14ac:dyDescent="0.25">
      <c r="A70" s="28"/>
      <c r="B70" s="28"/>
      <c r="C70" s="28"/>
      <c r="D70" s="28"/>
      <c r="E70" s="28"/>
      <c r="F70" s="28"/>
      <c r="G70" s="28"/>
      <c r="H70" s="28"/>
      <c r="I70" s="28"/>
      <c r="J70" s="28"/>
      <c r="K70" s="28"/>
    </row>
    <row r="71" spans="1:11" ht="15.6" customHeight="1" x14ac:dyDescent="0.25">
      <c r="A71" s="157" t="s">
        <v>127</v>
      </c>
      <c r="B71" s="157"/>
      <c r="C71" s="157"/>
      <c r="D71" s="157"/>
      <c r="E71" s="157"/>
      <c r="F71" s="157"/>
      <c r="G71" s="157"/>
      <c r="H71" s="157"/>
      <c r="I71" s="157"/>
      <c r="J71" s="157"/>
      <c r="K71" s="157"/>
    </row>
    <row r="72" spans="1:11" x14ac:dyDescent="0.25">
      <c r="A72" s="157"/>
      <c r="B72" s="157"/>
      <c r="C72" s="157"/>
      <c r="D72" s="157"/>
      <c r="E72" s="157"/>
      <c r="F72" s="157"/>
      <c r="G72" s="157"/>
      <c r="H72" s="157"/>
      <c r="I72" s="157"/>
      <c r="J72" s="157"/>
      <c r="K72" s="157"/>
    </row>
    <row r="73" spans="1:11" x14ac:dyDescent="0.25">
      <c r="A73" s="157"/>
      <c r="B73" s="157"/>
      <c r="C73" s="157"/>
      <c r="D73" s="157"/>
      <c r="E73" s="157"/>
      <c r="F73" s="157"/>
      <c r="G73" s="157"/>
      <c r="H73" s="157"/>
      <c r="I73" s="157"/>
      <c r="J73" s="157"/>
      <c r="K73" s="157"/>
    </row>
    <row r="74" spans="1:11" x14ac:dyDescent="0.25">
      <c r="A74" s="104" t="s">
        <v>160</v>
      </c>
      <c r="B74" s="104"/>
      <c r="C74" s="104"/>
      <c r="D74" s="104"/>
      <c r="E74" s="104"/>
      <c r="F74" s="104"/>
      <c r="G74" s="104"/>
      <c r="H74" s="104"/>
      <c r="I74" s="104"/>
      <c r="J74" s="104"/>
      <c r="K74" s="104"/>
    </row>
    <row r="75" spans="1:11" x14ac:dyDescent="0.25">
      <c r="A75" s="104" t="s">
        <v>161</v>
      </c>
      <c r="B75" s="104"/>
      <c r="C75" s="104"/>
      <c r="D75" s="104"/>
      <c r="E75" s="104"/>
      <c r="F75" s="104"/>
      <c r="G75" s="104"/>
      <c r="H75" s="104"/>
      <c r="I75" s="104"/>
      <c r="J75" s="104"/>
      <c r="K75" s="104"/>
    </row>
    <row r="76" spans="1:11" x14ac:dyDescent="0.25">
      <c r="A76" s="28"/>
      <c r="B76" s="28"/>
      <c r="C76" s="28"/>
      <c r="D76" s="28"/>
      <c r="E76" s="28"/>
      <c r="F76" s="28"/>
      <c r="G76" s="28"/>
      <c r="H76" s="28"/>
      <c r="I76" s="28"/>
      <c r="J76" s="28"/>
      <c r="K76" s="28"/>
    </row>
    <row r="77" spans="1:11" ht="30" customHeight="1" x14ac:dyDescent="0.25">
      <c r="A77" s="53" t="s">
        <v>12</v>
      </c>
      <c r="B77" s="130" t="s">
        <v>13</v>
      </c>
      <c r="C77" s="130"/>
      <c r="D77" s="130" t="s">
        <v>14</v>
      </c>
      <c r="E77" s="130"/>
      <c r="F77" s="130" t="s">
        <v>15</v>
      </c>
      <c r="G77" s="130"/>
      <c r="H77" s="130" t="s">
        <v>16</v>
      </c>
      <c r="I77" s="130"/>
      <c r="J77" s="130" t="s">
        <v>17</v>
      </c>
      <c r="K77" s="130"/>
    </row>
    <row r="78" spans="1:11" ht="19.149999999999999" customHeight="1" x14ac:dyDescent="0.25">
      <c r="A78" s="53"/>
      <c r="B78" s="130" t="s">
        <v>18</v>
      </c>
      <c r="C78" s="130"/>
      <c r="D78" s="130" t="s">
        <v>18</v>
      </c>
      <c r="E78" s="130"/>
      <c r="F78" s="130" t="s">
        <v>19</v>
      </c>
      <c r="G78" s="130"/>
      <c r="H78" s="130" t="s">
        <v>18</v>
      </c>
      <c r="I78" s="130"/>
      <c r="J78" s="130" t="s">
        <v>19</v>
      </c>
      <c r="K78" s="130"/>
    </row>
    <row r="79" spans="1:11" ht="19.149999999999999" customHeight="1" x14ac:dyDescent="0.25">
      <c r="A79" s="38" t="s">
        <v>129</v>
      </c>
      <c r="B79" s="135">
        <v>20</v>
      </c>
      <c r="C79" s="135"/>
      <c r="D79" s="135" t="str">
        <f>IF(Checks!$D$29="1",#REF!,"")</f>
        <v/>
      </c>
      <c r="E79" s="135"/>
      <c r="F79" s="136" t="e">
        <f t="shared" ref="F79:F86" si="0">IF($K$322="LMX",600*0.1/100,IF($K$322="UPC1",708*0.2/100,0.25/100*B79+0.1/100*708))</f>
        <v>#N/A</v>
      </c>
      <c r="G79" s="136"/>
      <c r="H79" s="136" t="str">
        <f>IF(Checks!$D$29="1",#REF!,"")</f>
        <v/>
      </c>
      <c r="I79" s="136"/>
      <c r="J79" s="158" t="e">
        <f t="shared" ref="J79:J86" si="1">IF($K$323="LMX",270*0.1/100,IF($K$323="ASX",300*0.5/100,300*0.5/100))</f>
        <v>#N/A</v>
      </c>
      <c r="K79" s="159"/>
    </row>
    <row r="80" spans="1:11" ht="19.149999999999999" customHeight="1" x14ac:dyDescent="0.25">
      <c r="A80" s="38" t="s">
        <v>129</v>
      </c>
      <c r="B80" s="135">
        <v>50</v>
      </c>
      <c r="C80" s="135"/>
      <c r="D80" s="135" t="str">
        <f>IF(Checks!$D$29="1",#REF!,"")</f>
        <v/>
      </c>
      <c r="E80" s="135"/>
      <c r="F80" s="136" t="e">
        <f t="shared" si="0"/>
        <v>#N/A</v>
      </c>
      <c r="G80" s="136"/>
      <c r="H80" s="136" t="str">
        <f>IF(Checks!$D$29="1",#REF!,"")</f>
        <v/>
      </c>
      <c r="I80" s="136"/>
      <c r="J80" s="158" t="e">
        <f t="shared" si="1"/>
        <v>#N/A</v>
      </c>
      <c r="K80" s="159"/>
    </row>
    <row r="81" spans="1:11" ht="19.149999999999999" customHeight="1" x14ac:dyDescent="0.25">
      <c r="A81" s="38" t="s">
        <v>129</v>
      </c>
      <c r="B81" s="135">
        <v>100</v>
      </c>
      <c r="C81" s="135"/>
      <c r="D81" s="135" t="str">
        <f>IF(Checks!$D$29="1",#REF!,"")</f>
        <v/>
      </c>
      <c r="E81" s="135"/>
      <c r="F81" s="136" t="e">
        <f t="shared" si="0"/>
        <v>#N/A</v>
      </c>
      <c r="G81" s="136"/>
      <c r="H81" s="136" t="str">
        <f>IF(Checks!$D$29="1",#REF!,"")</f>
        <v/>
      </c>
      <c r="I81" s="136"/>
      <c r="J81" s="158" t="e">
        <f t="shared" si="1"/>
        <v>#N/A</v>
      </c>
      <c r="K81" s="159"/>
    </row>
    <row r="82" spans="1:11" ht="19.149999999999999" customHeight="1" x14ac:dyDescent="0.25">
      <c r="A82" s="38" t="s">
        <v>129</v>
      </c>
      <c r="B82" s="135">
        <v>150</v>
      </c>
      <c r="C82" s="135"/>
      <c r="D82" s="135" t="str">
        <f>IF(Checks!$D$29="1",#REF!,"")</f>
        <v/>
      </c>
      <c r="E82" s="135"/>
      <c r="F82" s="136" t="e">
        <f t="shared" si="0"/>
        <v>#N/A</v>
      </c>
      <c r="G82" s="136"/>
      <c r="H82" s="136" t="str">
        <f>IF(Checks!$D$29="1",#REF!,"")</f>
        <v/>
      </c>
      <c r="I82" s="136"/>
      <c r="J82" s="158" t="e">
        <f t="shared" si="1"/>
        <v>#N/A</v>
      </c>
      <c r="K82" s="159"/>
    </row>
    <row r="83" spans="1:11" ht="19.149999999999999" customHeight="1" x14ac:dyDescent="0.25">
      <c r="A83" s="38" t="s">
        <v>129</v>
      </c>
      <c r="B83" s="135">
        <v>200</v>
      </c>
      <c r="C83" s="135"/>
      <c r="D83" s="135" t="str">
        <f>IF(Checks!$D$29="1",#REF!,"")</f>
        <v/>
      </c>
      <c r="E83" s="135"/>
      <c r="F83" s="136" t="e">
        <f t="shared" si="0"/>
        <v>#N/A</v>
      </c>
      <c r="G83" s="136"/>
      <c r="H83" s="136" t="str">
        <f>IF(Checks!$D$29="1",#REF!,"")</f>
        <v/>
      </c>
      <c r="I83" s="136"/>
      <c r="J83" s="158" t="e">
        <f t="shared" si="1"/>
        <v>#N/A</v>
      </c>
      <c r="K83" s="159"/>
    </row>
    <row r="84" spans="1:11" ht="19.149999999999999" customHeight="1" x14ac:dyDescent="0.25">
      <c r="A84" s="38" t="s">
        <v>129</v>
      </c>
      <c r="B84" s="135">
        <v>230</v>
      </c>
      <c r="C84" s="135"/>
      <c r="D84" s="135" t="str">
        <f>IF(Checks!$D$29="1",#REF!,"")</f>
        <v/>
      </c>
      <c r="E84" s="135"/>
      <c r="F84" s="136" t="e">
        <f t="shared" si="0"/>
        <v>#N/A</v>
      </c>
      <c r="G84" s="136"/>
      <c r="H84" s="136" t="str">
        <f>IF(Checks!$D$29="1",#REF!,"")</f>
        <v/>
      </c>
      <c r="I84" s="136"/>
      <c r="J84" s="158" t="e">
        <f t="shared" si="1"/>
        <v>#N/A</v>
      </c>
      <c r="K84" s="159"/>
    </row>
    <row r="85" spans="1:11" ht="19.149999999999999" customHeight="1" x14ac:dyDescent="0.25">
      <c r="A85" s="38" t="s">
        <v>129</v>
      </c>
      <c r="B85" s="135">
        <v>250</v>
      </c>
      <c r="C85" s="135"/>
      <c r="D85" s="135" t="str">
        <f>IF(Checks!$D$29="1",#REF!,"")</f>
        <v/>
      </c>
      <c r="E85" s="135"/>
      <c r="F85" s="136" t="e">
        <f t="shared" si="0"/>
        <v>#N/A</v>
      </c>
      <c r="G85" s="136"/>
      <c r="H85" s="136" t="str">
        <f>IF(Checks!$D$29="1",#REF!,"")</f>
        <v/>
      </c>
      <c r="I85" s="136"/>
      <c r="J85" s="158" t="e">
        <f t="shared" si="1"/>
        <v>#N/A</v>
      </c>
      <c r="K85" s="159"/>
    </row>
    <row r="86" spans="1:11" ht="19.149999999999999" customHeight="1" x14ac:dyDescent="0.25">
      <c r="A86" s="38" t="s">
        <v>129</v>
      </c>
      <c r="B86" s="135" t="e">
        <f>2*B137</f>
        <v>#N/A</v>
      </c>
      <c r="C86" s="135"/>
      <c r="D86" s="135" t="str">
        <f>IF(Checks!$D$29="1",#REF!,"")</f>
        <v/>
      </c>
      <c r="E86" s="135"/>
      <c r="F86" s="136" t="e">
        <f t="shared" si="0"/>
        <v>#N/A</v>
      </c>
      <c r="G86" s="136"/>
      <c r="H86" s="136" t="str">
        <f>IF(Checks!$D$29="1",#REF!,"")</f>
        <v/>
      </c>
      <c r="I86" s="136"/>
      <c r="J86" s="158" t="e">
        <f t="shared" si="1"/>
        <v>#N/A</v>
      </c>
      <c r="K86" s="159"/>
    </row>
    <row r="87" spans="1:11" x14ac:dyDescent="0.25">
      <c r="A87" s="28"/>
      <c r="B87" s="28"/>
      <c r="C87" s="28"/>
      <c r="D87" s="28"/>
      <c r="E87" s="28"/>
      <c r="F87" s="28"/>
      <c r="G87" s="28"/>
      <c r="H87" s="28"/>
      <c r="I87" s="28"/>
      <c r="J87" s="28"/>
      <c r="K87" s="28"/>
    </row>
    <row r="88" spans="1:11" x14ac:dyDescent="0.25">
      <c r="A88" s="5" t="s">
        <v>124</v>
      </c>
      <c r="B88" s="5"/>
      <c r="C88" s="5"/>
      <c r="D88" s="5" t="s">
        <v>125</v>
      </c>
      <c r="E88" s="5"/>
      <c r="F88" s="5"/>
      <c r="G88" s="5"/>
      <c r="H88" s="5"/>
      <c r="I88" s="5"/>
      <c r="J88" s="5"/>
      <c r="K88" s="5"/>
    </row>
    <row r="89" spans="1:11" x14ac:dyDescent="0.25">
      <c r="A89" s="28"/>
      <c r="B89" s="28"/>
      <c r="C89" s="28"/>
      <c r="D89" s="28"/>
      <c r="E89" s="28"/>
      <c r="F89" s="28"/>
      <c r="G89" s="28"/>
      <c r="H89" s="28"/>
      <c r="I89" s="28"/>
      <c r="J89" s="28"/>
      <c r="K89" s="28"/>
    </row>
    <row r="90" spans="1:11" x14ac:dyDescent="0.25">
      <c r="A90" s="28"/>
      <c r="B90" s="28"/>
      <c r="C90" s="28"/>
      <c r="D90" s="28"/>
      <c r="E90" s="28"/>
      <c r="F90" s="28"/>
      <c r="G90" s="28"/>
      <c r="H90" s="28"/>
      <c r="I90" s="28"/>
      <c r="J90" s="28"/>
      <c r="K90" s="28"/>
    </row>
    <row r="91" spans="1:11" x14ac:dyDescent="0.25">
      <c r="A91" s="28"/>
      <c r="B91" s="28"/>
      <c r="C91" s="28"/>
      <c r="D91" s="28"/>
      <c r="E91" s="28"/>
      <c r="F91" s="28"/>
      <c r="G91" s="28"/>
      <c r="H91" s="28"/>
      <c r="I91" s="28"/>
      <c r="J91" s="28"/>
      <c r="K91" s="28"/>
    </row>
    <row r="92" spans="1:11" x14ac:dyDescent="0.25">
      <c r="A92" s="28"/>
      <c r="B92" s="28"/>
      <c r="C92" s="28"/>
      <c r="D92" s="28"/>
      <c r="E92" s="28"/>
      <c r="F92" s="28"/>
      <c r="G92" s="28"/>
      <c r="H92" s="28"/>
      <c r="I92" s="28"/>
      <c r="J92" s="28"/>
      <c r="K92" s="28"/>
    </row>
    <row r="93" spans="1:11" x14ac:dyDescent="0.25">
      <c r="A93" s="28"/>
      <c r="B93" s="28"/>
      <c r="C93" s="28"/>
      <c r="D93" s="28"/>
      <c r="E93" s="28"/>
      <c r="F93" s="28"/>
      <c r="G93" s="28"/>
      <c r="H93" s="28"/>
      <c r="I93" s="28"/>
      <c r="J93" s="28"/>
      <c r="K93" s="28"/>
    </row>
    <row r="94" spans="1:11" x14ac:dyDescent="0.25">
      <c r="A94" s="28"/>
      <c r="B94" s="28"/>
      <c r="C94" s="28"/>
      <c r="D94" s="28"/>
      <c r="E94" s="28"/>
      <c r="F94" s="28"/>
      <c r="G94" s="28"/>
      <c r="H94" s="28"/>
      <c r="I94" s="28"/>
      <c r="J94" s="28"/>
      <c r="K94" s="28"/>
    </row>
    <row r="95" spans="1:11" x14ac:dyDescent="0.25">
      <c r="A95" s="28"/>
      <c r="B95" s="28"/>
      <c r="C95" s="28"/>
      <c r="D95" s="28"/>
      <c r="E95" s="28"/>
      <c r="F95" s="28"/>
      <c r="G95" s="28"/>
      <c r="H95" s="28"/>
      <c r="I95" s="28"/>
      <c r="J95" s="28"/>
      <c r="K95" s="28"/>
    </row>
    <row r="96" spans="1:11" x14ac:dyDescent="0.25">
      <c r="A96" s="28"/>
      <c r="B96" s="28"/>
      <c r="C96" s="28"/>
      <c r="D96" s="28"/>
      <c r="E96" s="28"/>
      <c r="F96" s="28"/>
      <c r="G96" s="28"/>
      <c r="H96" s="28"/>
      <c r="I96" s="28"/>
      <c r="J96" s="28"/>
      <c r="K96" s="28"/>
    </row>
    <row r="97" spans="1:11" x14ac:dyDescent="0.25">
      <c r="A97" s="28"/>
      <c r="B97" s="28"/>
      <c r="C97" s="28"/>
      <c r="D97" s="28"/>
      <c r="E97" s="28"/>
      <c r="F97" s="28"/>
      <c r="G97" s="28"/>
      <c r="H97" s="28"/>
      <c r="I97" s="28"/>
      <c r="J97" s="28"/>
      <c r="K97" s="28"/>
    </row>
    <row r="98" spans="1:11" x14ac:dyDescent="0.25">
      <c r="A98" s="28"/>
      <c r="B98" s="28"/>
      <c r="C98" s="28"/>
      <c r="D98" s="28"/>
      <c r="E98" s="28"/>
      <c r="F98" s="28"/>
      <c r="G98" s="28"/>
      <c r="H98" s="28"/>
      <c r="I98" s="28"/>
      <c r="J98" s="28"/>
      <c r="K98" s="28"/>
    </row>
    <row r="99" spans="1:11" x14ac:dyDescent="0.25">
      <c r="A99" s="28"/>
      <c r="B99" s="28"/>
      <c r="C99" s="28"/>
      <c r="D99" s="28"/>
      <c r="E99" s="28"/>
      <c r="F99" s="28"/>
      <c r="G99" s="28"/>
      <c r="H99" s="28"/>
      <c r="I99" s="28"/>
      <c r="J99" s="28"/>
      <c r="K99" s="28"/>
    </row>
    <row r="100" spans="1:11" x14ac:dyDescent="0.25">
      <c r="A100" s="28"/>
      <c r="B100" s="28"/>
      <c r="C100" s="28"/>
      <c r="D100" s="28"/>
      <c r="E100" s="28"/>
      <c r="F100" s="28"/>
      <c r="G100" s="28"/>
      <c r="H100" s="28"/>
      <c r="I100" s="28"/>
      <c r="J100" s="28"/>
      <c r="K100" s="28"/>
    </row>
    <row r="101" spans="1:11" x14ac:dyDescent="0.25">
      <c r="A101" s="28"/>
      <c r="B101" s="28"/>
      <c r="C101" s="28"/>
      <c r="D101" s="28"/>
      <c r="E101" s="28"/>
      <c r="F101" s="28"/>
      <c r="G101" s="28"/>
      <c r="H101" s="28"/>
      <c r="I101" s="28"/>
      <c r="J101" s="28"/>
      <c r="K101" s="28"/>
    </row>
    <row r="102" spans="1:11" x14ac:dyDescent="0.25">
      <c r="A102" s="28"/>
      <c r="B102" s="28"/>
      <c r="C102" s="28"/>
      <c r="D102" s="28"/>
      <c r="E102" s="28"/>
      <c r="F102" s="28"/>
      <c r="G102" s="28"/>
      <c r="H102" s="28"/>
      <c r="I102" s="28"/>
      <c r="J102" s="28"/>
      <c r="K102" s="28"/>
    </row>
    <row r="103" spans="1:11" x14ac:dyDescent="0.25">
      <c r="A103" s="28"/>
      <c r="B103" s="28"/>
      <c r="C103" s="28"/>
      <c r="D103" s="28"/>
      <c r="E103" s="28"/>
      <c r="F103" s="28"/>
      <c r="G103" s="28"/>
      <c r="H103" s="28"/>
      <c r="I103" s="28"/>
      <c r="J103" s="28"/>
      <c r="K103" s="28"/>
    </row>
    <row r="104" spans="1:11" x14ac:dyDescent="0.25">
      <c r="A104" s="28"/>
      <c r="B104" s="28"/>
      <c r="C104" s="28"/>
      <c r="D104" s="28"/>
      <c r="E104" s="28"/>
      <c r="F104" s="28"/>
      <c r="G104" s="28"/>
      <c r="H104" s="28"/>
      <c r="I104" s="28"/>
      <c r="J104" s="28"/>
      <c r="K104" s="28"/>
    </row>
    <row r="105" spans="1:11" x14ac:dyDescent="0.25">
      <c r="A105" s="28"/>
      <c r="B105" s="28"/>
      <c r="C105" s="28"/>
      <c r="D105" s="28"/>
      <c r="E105" s="28"/>
      <c r="F105" s="28"/>
      <c r="G105" s="28"/>
      <c r="H105" s="28"/>
      <c r="I105" s="28"/>
      <c r="J105" s="28"/>
      <c r="K105" s="28"/>
    </row>
    <row r="106" spans="1:11" x14ac:dyDescent="0.25">
      <c r="A106" s="28"/>
      <c r="B106" s="28"/>
      <c r="C106" s="28"/>
      <c r="D106" s="28"/>
      <c r="E106" s="28"/>
      <c r="F106" s="28"/>
      <c r="G106" s="28"/>
      <c r="H106" s="28"/>
      <c r="I106" s="28"/>
      <c r="J106" s="28"/>
      <c r="K106" s="28"/>
    </row>
    <row r="107" spans="1:11" x14ac:dyDescent="0.25">
      <c r="A107" s="28"/>
      <c r="B107" s="28"/>
      <c r="C107" s="28"/>
      <c r="D107" s="28"/>
      <c r="E107" s="28"/>
      <c r="F107" s="28"/>
      <c r="G107" s="28"/>
      <c r="H107" s="28"/>
      <c r="I107" s="28"/>
      <c r="J107" s="28"/>
      <c r="K107" s="28"/>
    </row>
    <row r="108" spans="1:11" x14ac:dyDescent="0.25">
      <c r="A108" s="28"/>
      <c r="B108" s="28"/>
      <c r="C108" s="28"/>
      <c r="D108" s="28"/>
      <c r="E108" s="28"/>
      <c r="F108" s="28"/>
      <c r="G108" s="28"/>
      <c r="H108" s="28"/>
      <c r="I108" s="28"/>
      <c r="J108" s="28"/>
      <c r="K108" s="28"/>
    </row>
    <row r="109" spans="1:11" x14ac:dyDescent="0.25">
      <c r="A109" s="28"/>
      <c r="B109" s="28"/>
      <c r="C109" s="28"/>
      <c r="D109" s="28"/>
      <c r="E109" s="28"/>
      <c r="F109" s="28"/>
      <c r="G109" s="28"/>
      <c r="H109" s="28"/>
      <c r="I109" s="28"/>
      <c r="J109" s="28"/>
      <c r="K109" s="28"/>
    </row>
    <row r="110" spans="1:11" x14ac:dyDescent="0.25">
      <c r="A110" s="28"/>
      <c r="B110" s="28"/>
      <c r="C110" s="28"/>
      <c r="D110" s="28"/>
      <c r="E110" s="28"/>
      <c r="F110" s="28"/>
      <c r="G110" s="28"/>
      <c r="H110" s="28"/>
      <c r="I110" s="28"/>
      <c r="J110" s="28"/>
      <c r="K110" s="28"/>
    </row>
    <row r="111" spans="1:11" x14ac:dyDescent="0.25">
      <c r="A111" s="28"/>
      <c r="B111" s="28"/>
      <c r="C111" s="28"/>
      <c r="D111" s="28"/>
      <c r="E111" s="28"/>
      <c r="F111" s="28"/>
      <c r="G111" s="28"/>
      <c r="H111" s="28"/>
      <c r="I111" s="28"/>
      <c r="J111" s="28"/>
      <c r="K111" s="28"/>
    </row>
    <row r="112" spans="1:11" x14ac:dyDescent="0.25">
      <c r="A112" s="28"/>
      <c r="B112" s="28"/>
      <c r="C112" s="28"/>
      <c r="D112" s="28"/>
      <c r="E112" s="28"/>
      <c r="F112" s="28"/>
      <c r="G112" s="28"/>
      <c r="H112" s="28"/>
      <c r="I112" s="28"/>
      <c r="J112" s="28"/>
      <c r="K112" s="28"/>
    </row>
    <row r="113" spans="1:11" x14ac:dyDescent="0.25">
      <c r="A113" s="28"/>
      <c r="B113" s="28"/>
      <c r="C113" s="28"/>
      <c r="D113" s="28"/>
      <c r="E113" s="28"/>
      <c r="F113" s="28"/>
      <c r="G113" s="28"/>
      <c r="H113" s="28"/>
      <c r="I113" s="28"/>
      <c r="J113" s="28"/>
      <c r="K113" s="28"/>
    </row>
    <row r="114" spans="1:11" x14ac:dyDescent="0.25">
      <c r="A114" s="107" t="s">
        <v>0</v>
      </c>
      <c r="B114" s="108"/>
      <c r="C114" s="108"/>
      <c r="D114" s="108"/>
      <c r="E114" s="108"/>
      <c r="F114" s="108"/>
      <c r="G114" s="109"/>
      <c r="H114" s="28"/>
      <c r="I114" s="116" t="s">
        <v>1</v>
      </c>
      <c r="J114" s="148" t="str">
        <f>$J$6</f>
        <v>04567</v>
      </c>
      <c r="K114" s="119"/>
    </row>
    <row r="115" spans="1:11" x14ac:dyDescent="0.25">
      <c r="A115" s="110"/>
      <c r="B115" s="111"/>
      <c r="C115" s="111"/>
      <c r="D115" s="111"/>
      <c r="E115" s="111"/>
      <c r="F115" s="111"/>
      <c r="G115" s="112"/>
      <c r="H115" s="28"/>
      <c r="I115" s="117"/>
      <c r="J115" s="120"/>
      <c r="K115" s="121"/>
    </row>
    <row r="116" spans="1:11" x14ac:dyDescent="0.25">
      <c r="A116" s="110"/>
      <c r="B116" s="111"/>
      <c r="C116" s="111"/>
      <c r="D116" s="111"/>
      <c r="E116" s="111"/>
      <c r="F116" s="111"/>
      <c r="G116" s="112"/>
      <c r="H116" s="28"/>
      <c r="I116" s="122" t="s">
        <v>120</v>
      </c>
      <c r="J116" s="123"/>
      <c r="K116" s="124"/>
    </row>
    <row r="117" spans="1:11" x14ac:dyDescent="0.25">
      <c r="A117" s="113"/>
      <c r="B117" s="114"/>
      <c r="C117" s="114"/>
      <c r="D117" s="114"/>
      <c r="E117" s="114"/>
      <c r="F117" s="114"/>
      <c r="G117" s="115"/>
      <c r="H117" s="28"/>
      <c r="I117" s="125"/>
      <c r="J117" s="126"/>
      <c r="K117" s="127"/>
    </row>
    <row r="118" spans="1:11" x14ac:dyDescent="0.25">
      <c r="A118" s="28"/>
      <c r="B118" s="28"/>
      <c r="C118" s="28"/>
      <c r="D118" s="28"/>
      <c r="E118" s="28"/>
      <c r="F118" s="28"/>
      <c r="G118" s="28"/>
      <c r="H118" s="28"/>
      <c r="I118" s="28"/>
      <c r="J118" s="28"/>
      <c r="K118" s="28"/>
    </row>
    <row r="119" spans="1:11" ht="15.75" x14ac:dyDescent="0.25">
      <c r="A119" s="101" t="s">
        <v>128</v>
      </c>
      <c r="B119" s="101"/>
      <c r="C119" s="101"/>
      <c r="D119" s="101"/>
      <c r="E119" s="101"/>
      <c r="F119" s="101"/>
      <c r="G119" s="101"/>
      <c r="H119" s="101"/>
      <c r="I119" s="101"/>
      <c r="J119" s="101"/>
      <c r="K119" s="101"/>
    </row>
    <row r="120" spans="1:11" x14ac:dyDescent="0.25">
      <c r="A120" s="102" t="s">
        <v>115</v>
      </c>
      <c r="B120" s="102"/>
      <c r="C120" s="28"/>
      <c r="D120" s="28"/>
      <c r="E120" s="28"/>
      <c r="F120" s="28"/>
      <c r="G120" s="28"/>
      <c r="H120" s="28"/>
      <c r="I120" s="28"/>
      <c r="J120" s="28"/>
      <c r="K120" s="28"/>
    </row>
    <row r="121" spans="1:11" x14ac:dyDescent="0.25">
      <c r="A121" s="28"/>
      <c r="B121" s="28"/>
      <c r="C121" s="28"/>
      <c r="D121" s="28"/>
      <c r="E121" s="28"/>
      <c r="F121" s="28"/>
      <c r="G121" s="28"/>
      <c r="H121" s="28"/>
      <c r="I121" s="28"/>
      <c r="J121" s="28"/>
      <c r="K121" s="28"/>
    </row>
    <row r="122" spans="1:11" x14ac:dyDescent="0.25">
      <c r="A122" s="157" t="s">
        <v>130</v>
      </c>
      <c r="B122" s="157"/>
      <c r="C122" s="157"/>
      <c r="D122" s="157"/>
      <c r="E122" s="157"/>
      <c r="F122" s="157"/>
      <c r="G122" s="157"/>
      <c r="H122" s="157"/>
      <c r="I122" s="157"/>
      <c r="J122" s="157"/>
      <c r="K122" s="157"/>
    </row>
    <row r="123" spans="1:11" x14ac:dyDescent="0.25">
      <c r="A123" s="157"/>
      <c r="B123" s="157"/>
      <c r="C123" s="157"/>
      <c r="D123" s="157"/>
      <c r="E123" s="157"/>
      <c r="F123" s="157"/>
      <c r="G123" s="157"/>
      <c r="H123" s="157"/>
      <c r="I123" s="157"/>
      <c r="J123" s="157"/>
      <c r="K123" s="157"/>
    </row>
    <row r="124" spans="1:11" x14ac:dyDescent="0.25">
      <c r="A124" s="157"/>
      <c r="B124" s="157"/>
      <c r="C124" s="157"/>
      <c r="D124" s="157"/>
      <c r="E124" s="157"/>
      <c r="F124" s="157"/>
      <c r="G124" s="157"/>
      <c r="H124" s="157"/>
      <c r="I124" s="157"/>
      <c r="J124" s="157"/>
      <c r="K124" s="157"/>
    </row>
    <row r="125" spans="1:11" x14ac:dyDescent="0.25">
      <c r="A125" s="104" t="s">
        <v>162</v>
      </c>
      <c r="B125" s="104"/>
      <c r="C125" s="104"/>
      <c r="D125" s="104"/>
      <c r="E125" s="104"/>
      <c r="F125" s="104"/>
      <c r="G125" s="104"/>
      <c r="H125" s="104"/>
      <c r="I125" s="104"/>
      <c r="J125" s="104"/>
      <c r="K125" s="104"/>
    </row>
    <row r="126" spans="1:11" x14ac:dyDescent="0.25">
      <c r="A126" s="104" t="str">
        <f>IF(E25="A","Frequency 400Hz.","Frequency 60Hz.")</f>
        <v>Frequency 400Hz.</v>
      </c>
      <c r="B126" s="104"/>
      <c r="C126" s="104"/>
      <c r="D126" s="104"/>
      <c r="E126" s="104"/>
      <c r="F126" s="104"/>
      <c r="G126" s="104"/>
      <c r="H126" s="104"/>
      <c r="I126" s="104"/>
      <c r="J126" s="104"/>
      <c r="K126" s="104"/>
    </row>
    <row r="127" spans="1:11" x14ac:dyDescent="0.25">
      <c r="A127" s="28"/>
      <c r="B127" s="28"/>
      <c r="C127" s="28"/>
      <c r="D127" s="28"/>
      <c r="E127" s="28"/>
      <c r="F127" s="28"/>
      <c r="G127" s="28"/>
      <c r="H127" s="28"/>
      <c r="I127" s="28"/>
      <c r="J127" s="28"/>
      <c r="K127" s="28"/>
    </row>
    <row r="128" spans="1:11" ht="31.15" customHeight="1" x14ac:dyDescent="0.25">
      <c r="A128" s="48" t="s">
        <v>12</v>
      </c>
      <c r="B128" s="160" t="s">
        <v>13</v>
      </c>
      <c r="C128" s="160"/>
      <c r="D128" s="160" t="s">
        <v>14</v>
      </c>
      <c r="E128" s="160"/>
      <c r="F128" s="160" t="s">
        <v>15</v>
      </c>
      <c r="G128" s="160"/>
      <c r="H128" s="160" t="s">
        <v>16</v>
      </c>
      <c r="I128" s="160"/>
      <c r="J128" s="160" t="s">
        <v>17</v>
      </c>
      <c r="K128" s="160"/>
    </row>
    <row r="129" spans="1:11" ht="19.149999999999999" customHeight="1" x14ac:dyDescent="0.25">
      <c r="A129" s="48"/>
      <c r="B129" s="160" t="s">
        <v>18</v>
      </c>
      <c r="C129" s="160"/>
      <c r="D129" s="160" t="s">
        <v>18</v>
      </c>
      <c r="E129" s="160"/>
      <c r="F129" s="160" t="s">
        <v>19</v>
      </c>
      <c r="G129" s="160"/>
      <c r="H129" s="160" t="s">
        <v>18</v>
      </c>
      <c r="I129" s="160"/>
      <c r="J129" s="160" t="s">
        <v>19</v>
      </c>
      <c r="K129" s="160"/>
    </row>
    <row r="130" spans="1:11" ht="19.149999999999999" customHeight="1" x14ac:dyDescent="0.25">
      <c r="A130" s="51" t="s">
        <v>116</v>
      </c>
      <c r="B130" s="161">
        <v>10</v>
      </c>
      <c r="C130" s="161"/>
      <c r="D130" s="135"/>
      <c r="E130" s="135"/>
      <c r="F130" s="136" t="e">
        <f t="shared" ref="F130:F137" si="2">IF($K$322="LMX",340*0.1/100,IF($K$322="UPC1",354*0.2/100,0.25/100*B130+0.1/100*354))</f>
        <v>#N/A</v>
      </c>
      <c r="G130" s="136"/>
      <c r="H130" s="136"/>
      <c r="I130" s="136"/>
      <c r="J130" s="133" t="e">
        <f t="shared" ref="J130:J137" si="3">IF($K$323="LMX",135*0.1/100,IF($K$323="ASX",150*0.5/100,150*0.5/100))</f>
        <v>#N/A</v>
      </c>
      <c r="K130" s="134"/>
    </row>
    <row r="131" spans="1:11" ht="19.149999999999999" customHeight="1" x14ac:dyDescent="0.25">
      <c r="A131" s="51" t="s">
        <v>116</v>
      </c>
      <c r="B131" s="161">
        <v>25</v>
      </c>
      <c r="C131" s="161"/>
      <c r="D131" s="135"/>
      <c r="E131" s="135"/>
      <c r="F131" s="136" t="e">
        <f t="shared" si="2"/>
        <v>#N/A</v>
      </c>
      <c r="G131" s="136"/>
      <c r="H131" s="136"/>
      <c r="I131" s="136"/>
      <c r="J131" s="133" t="e">
        <f t="shared" si="3"/>
        <v>#N/A</v>
      </c>
      <c r="K131" s="134"/>
    </row>
    <row r="132" spans="1:11" ht="19.149999999999999" customHeight="1" x14ac:dyDescent="0.25">
      <c r="A132" s="51" t="s">
        <v>116</v>
      </c>
      <c r="B132" s="161">
        <v>50</v>
      </c>
      <c r="C132" s="161"/>
      <c r="D132" s="135"/>
      <c r="E132" s="135"/>
      <c r="F132" s="136" t="e">
        <f t="shared" si="2"/>
        <v>#N/A</v>
      </c>
      <c r="G132" s="136"/>
      <c r="H132" s="136"/>
      <c r="I132" s="136"/>
      <c r="J132" s="133" t="e">
        <f t="shared" si="3"/>
        <v>#N/A</v>
      </c>
      <c r="K132" s="134"/>
    </row>
    <row r="133" spans="1:11" ht="19.149999999999999" customHeight="1" x14ac:dyDescent="0.25">
      <c r="A133" s="51" t="s">
        <v>116</v>
      </c>
      <c r="B133" s="161">
        <v>75</v>
      </c>
      <c r="C133" s="161"/>
      <c r="D133" s="135"/>
      <c r="E133" s="135"/>
      <c r="F133" s="136" t="e">
        <f t="shared" si="2"/>
        <v>#N/A</v>
      </c>
      <c r="G133" s="136"/>
      <c r="H133" s="136"/>
      <c r="I133" s="136"/>
      <c r="J133" s="133" t="e">
        <f t="shared" si="3"/>
        <v>#N/A</v>
      </c>
      <c r="K133" s="134"/>
    </row>
    <row r="134" spans="1:11" ht="19.149999999999999" customHeight="1" x14ac:dyDescent="0.25">
      <c r="A134" s="51" t="s">
        <v>116</v>
      </c>
      <c r="B134" s="161">
        <v>100</v>
      </c>
      <c r="C134" s="161"/>
      <c r="D134" s="135"/>
      <c r="E134" s="135"/>
      <c r="F134" s="136" t="e">
        <f t="shared" si="2"/>
        <v>#N/A</v>
      </c>
      <c r="G134" s="136"/>
      <c r="H134" s="136"/>
      <c r="I134" s="136"/>
      <c r="J134" s="133" t="e">
        <f t="shared" si="3"/>
        <v>#N/A</v>
      </c>
      <c r="K134" s="134"/>
    </row>
    <row r="135" spans="1:11" ht="19.149999999999999" customHeight="1" x14ac:dyDescent="0.25">
      <c r="A135" s="51" t="s">
        <v>116</v>
      </c>
      <c r="B135" s="161">
        <v>115</v>
      </c>
      <c r="C135" s="161"/>
      <c r="D135" s="135"/>
      <c r="E135" s="135"/>
      <c r="F135" s="136" t="e">
        <f t="shared" si="2"/>
        <v>#N/A</v>
      </c>
      <c r="G135" s="136"/>
      <c r="H135" s="136"/>
      <c r="I135" s="136"/>
      <c r="J135" s="133" t="e">
        <f t="shared" si="3"/>
        <v>#N/A</v>
      </c>
      <c r="K135" s="134"/>
    </row>
    <row r="136" spans="1:11" ht="19.149999999999999" customHeight="1" x14ac:dyDescent="0.25">
      <c r="A136" s="51" t="s">
        <v>116</v>
      </c>
      <c r="B136" s="161">
        <v>125</v>
      </c>
      <c r="C136" s="161"/>
      <c r="D136" s="135"/>
      <c r="E136" s="135"/>
      <c r="F136" s="136" t="e">
        <f t="shared" si="2"/>
        <v>#N/A</v>
      </c>
      <c r="G136" s="136"/>
      <c r="H136" s="136"/>
      <c r="I136" s="136"/>
      <c r="J136" s="133" t="e">
        <f t="shared" si="3"/>
        <v>#N/A</v>
      </c>
      <c r="K136" s="134"/>
    </row>
    <row r="137" spans="1:11" ht="19.149999999999999" customHeight="1" x14ac:dyDescent="0.25">
      <c r="A137" s="51" t="s">
        <v>116</v>
      </c>
      <c r="B137" s="161" t="e">
        <f>VLOOKUP(D28,'2PhT data'!A:E,5,0)</f>
        <v>#N/A</v>
      </c>
      <c r="C137" s="161"/>
      <c r="D137" s="135"/>
      <c r="E137" s="135"/>
      <c r="F137" s="136" t="e">
        <f t="shared" si="2"/>
        <v>#N/A</v>
      </c>
      <c r="G137" s="136"/>
      <c r="H137" s="136"/>
      <c r="I137" s="136"/>
      <c r="J137" s="133" t="e">
        <f t="shared" si="3"/>
        <v>#N/A</v>
      </c>
      <c r="K137" s="134"/>
    </row>
    <row r="138" spans="1:11" x14ac:dyDescent="0.25">
      <c r="A138" s="28"/>
      <c r="B138" s="28"/>
      <c r="C138" s="28"/>
      <c r="D138" s="28"/>
      <c r="E138" s="28"/>
      <c r="F138" s="28"/>
      <c r="G138" s="28"/>
      <c r="H138" s="28"/>
      <c r="I138" s="28"/>
      <c r="J138" s="28"/>
      <c r="K138" s="28"/>
    </row>
    <row r="139" spans="1:11" x14ac:dyDescent="0.25">
      <c r="A139" s="5" t="s">
        <v>124</v>
      </c>
      <c r="B139" s="5"/>
      <c r="C139" s="5"/>
      <c r="D139" s="5" t="s">
        <v>125</v>
      </c>
      <c r="E139" s="5"/>
      <c r="F139" s="5"/>
      <c r="G139" s="5"/>
      <c r="H139" s="5"/>
      <c r="I139" s="5"/>
      <c r="J139" s="5"/>
      <c r="K139" s="5"/>
    </row>
    <row r="140" spans="1:11" x14ac:dyDescent="0.25">
      <c r="A140" s="28"/>
      <c r="B140" s="28"/>
      <c r="C140" s="28"/>
      <c r="D140" s="28"/>
      <c r="E140" s="28"/>
      <c r="F140" s="28"/>
      <c r="G140" s="28"/>
      <c r="H140" s="28"/>
      <c r="I140" s="28"/>
      <c r="J140" s="28"/>
      <c r="K140" s="28"/>
    </row>
    <row r="141" spans="1:11" x14ac:dyDescent="0.25">
      <c r="A141" s="28"/>
      <c r="B141" s="28"/>
      <c r="C141" s="28"/>
      <c r="D141" s="28"/>
      <c r="E141" s="28"/>
      <c r="F141" s="28"/>
      <c r="G141" s="28"/>
      <c r="H141" s="28"/>
      <c r="I141" s="28"/>
      <c r="J141" s="28"/>
      <c r="K141" s="28"/>
    </row>
    <row r="142" spans="1:11" x14ac:dyDescent="0.25">
      <c r="A142" s="6" t="s">
        <v>131</v>
      </c>
      <c r="B142" s="28"/>
      <c r="C142" s="28"/>
      <c r="D142" s="28"/>
      <c r="E142" s="28"/>
      <c r="F142" s="28"/>
      <c r="G142" s="28"/>
      <c r="H142" s="28"/>
      <c r="I142" s="28"/>
      <c r="J142" s="28"/>
      <c r="K142" s="28"/>
    </row>
    <row r="143" spans="1:11" x14ac:dyDescent="0.25">
      <c r="A143" s="7"/>
      <c r="B143" s="28"/>
      <c r="C143" s="28"/>
      <c r="D143" s="28"/>
      <c r="E143" s="28"/>
      <c r="F143" s="28"/>
      <c r="G143" s="28"/>
      <c r="H143" s="28"/>
      <c r="I143" s="28"/>
      <c r="J143" s="28"/>
      <c r="K143" s="28"/>
    </row>
    <row r="144" spans="1:11" ht="15.75" x14ac:dyDescent="0.25">
      <c r="A144" s="5" t="s">
        <v>132</v>
      </c>
      <c r="B144" s="28"/>
      <c r="C144" s="28"/>
      <c r="D144" s="28"/>
      <c r="E144" s="5"/>
      <c r="F144" s="40" t="s">
        <v>134</v>
      </c>
      <c r="G144" s="49" t="e">
        <f>"@ "&amp;VLOOKUP(D28,'2PhT data'!A:O,15,0)&amp;"A"</f>
        <v>#N/A</v>
      </c>
      <c r="H144" s="28"/>
      <c r="I144" s="28"/>
      <c r="J144" s="28"/>
      <c r="K144" s="28"/>
    </row>
    <row r="145" spans="1:11" x14ac:dyDescent="0.25">
      <c r="A145" s="5"/>
      <c r="B145" s="28"/>
      <c r="C145" s="28"/>
      <c r="D145" s="28"/>
      <c r="E145" s="28"/>
      <c r="F145" s="28"/>
      <c r="G145" s="28"/>
      <c r="H145" s="28"/>
      <c r="I145" s="28"/>
      <c r="J145" s="28"/>
      <c r="K145" s="28"/>
    </row>
    <row r="146" spans="1:11" ht="15.75" x14ac:dyDescent="0.25">
      <c r="A146" s="5" t="s">
        <v>133</v>
      </c>
      <c r="B146" s="28"/>
      <c r="C146" s="28"/>
      <c r="D146" s="28"/>
      <c r="E146" s="5"/>
      <c r="F146" s="40" t="s">
        <v>134</v>
      </c>
      <c r="G146" s="28"/>
      <c r="H146" s="28"/>
      <c r="I146" s="28"/>
      <c r="J146" s="28"/>
      <c r="K146" s="28"/>
    </row>
    <row r="147" spans="1:11" x14ac:dyDescent="0.25">
      <c r="A147" s="5"/>
      <c r="B147" s="28"/>
      <c r="C147" s="28"/>
      <c r="D147" s="28"/>
      <c r="E147" s="28"/>
      <c r="F147" s="28"/>
      <c r="G147" s="28"/>
      <c r="H147" s="28"/>
      <c r="I147" s="28"/>
      <c r="J147" s="28"/>
      <c r="K147" s="28"/>
    </row>
    <row r="148" spans="1:11" ht="15.75" x14ac:dyDescent="0.25">
      <c r="A148" s="5" t="s">
        <v>135</v>
      </c>
      <c r="B148" s="28"/>
      <c r="C148" s="28"/>
      <c r="D148" s="28"/>
      <c r="E148" s="5"/>
      <c r="F148" s="40" t="s">
        <v>134</v>
      </c>
      <c r="G148" s="28"/>
      <c r="H148" s="28"/>
      <c r="I148" s="28"/>
      <c r="J148" s="28"/>
      <c r="K148" s="28"/>
    </row>
    <row r="149" spans="1:11" x14ac:dyDescent="0.25">
      <c r="A149" s="28"/>
      <c r="B149" s="28"/>
      <c r="C149" s="28"/>
      <c r="D149" s="28"/>
      <c r="E149" s="28"/>
      <c r="F149" s="28"/>
      <c r="G149" s="28"/>
      <c r="H149" s="28"/>
      <c r="I149" s="28"/>
      <c r="J149" s="28"/>
      <c r="K149" s="28"/>
    </row>
    <row r="150" spans="1:11" x14ac:dyDescent="0.25">
      <c r="A150" s="28"/>
      <c r="B150" s="28"/>
      <c r="C150" s="28"/>
      <c r="D150" s="28"/>
      <c r="E150" s="28"/>
      <c r="F150" s="28"/>
      <c r="G150" s="28"/>
      <c r="H150" s="28"/>
      <c r="I150" s="28"/>
      <c r="J150" s="28"/>
      <c r="K150" s="28"/>
    </row>
    <row r="151" spans="1:11" x14ac:dyDescent="0.25">
      <c r="A151" s="28"/>
      <c r="B151" s="28"/>
      <c r="C151" s="28"/>
      <c r="D151" s="28"/>
      <c r="E151" s="28"/>
      <c r="F151" s="28"/>
      <c r="G151" s="28"/>
      <c r="H151" s="28"/>
      <c r="I151" s="28"/>
      <c r="J151" s="28"/>
      <c r="K151" s="28"/>
    </row>
    <row r="152" spans="1:11" x14ac:dyDescent="0.25">
      <c r="A152" s="28"/>
      <c r="B152" s="28"/>
      <c r="C152" s="28"/>
      <c r="D152" s="28"/>
      <c r="E152" s="28"/>
      <c r="F152" s="28"/>
      <c r="G152" s="28"/>
      <c r="H152" s="28"/>
      <c r="I152" s="28"/>
      <c r="J152" s="28"/>
      <c r="K152" s="28"/>
    </row>
    <row r="153" spans="1:11" x14ac:dyDescent="0.25">
      <c r="A153" s="28"/>
      <c r="B153" s="28"/>
      <c r="C153" s="28"/>
      <c r="D153" s="28"/>
      <c r="E153" s="28"/>
      <c r="F153" s="28"/>
      <c r="G153" s="28"/>
      <c r="H153" s="28"/>
      <c r="I153" s="28"/>
      <c r="J153" s="28"/>
      <c r="K153" s="28"/>
    </row>
    <row r="154" spans="1:11" x14ac:dyDescent="0.25">
      <c r="A154" s="28"/>
      <c r="B154" s="28"/>
      <c r="C154" s="28"/>
      <c r="D154" s="28"/>
      <c r="E154" s="28"/>
      <c r="F154" s="28"/>
      <c r="G154" s="28"/>
      <c r="H154" s="28"/>
      <c r="I154" s="28"/>
      <c r="J154" s="28"/>
      <c r="K154" s="28"/>
    </row>
    <row r="155" spans="1:11" x14ac:dyDescent="0.25">
      <c r="A155" s="28"/>
      <c r="B155" s="28"/>
      <c r="C155" s="28"/>
      <c r="D155" s="28"/>
      <c r="E155" s="28"/>
      <c r="F155" s="28"/>
      <c r="G155" s="28"/>
      <c r="H155" s="28"/>
      <c r="I155" s="28"/>
      <c r="J155" s="28"/>
      <c r="K155" s="28"/>
    </row>
    <row r="156" spans="1:11" x14ac:dyDescent="0.25">
      <c r="A156" s="28"/>
      <c r="B156" s="28"/>
      <c r="C156" s="28"/>
      <c r="D156" s="28"/>
      <c r="E156" s="28"/>
      <c r="F156" s="28"/>
      <c r="G156" s="28"/>
      <c r="H156" s="28"/>
      <c r="I156" s="28"/>
      <c r="J156" s="28"/>
      <c r="K156" s="28"/>
    </row>
    <row r="157" spans="1:11" x14ac:dyDescent="0.25">
      <c r="A157" s="28"/>
      <c r="B157" s="28"/>
      <c r="C157" s="28"/>
      <c r="D157" s="28"/>
      <c r="E157" s="28"/>
      <c r="F157" s="28"/>
      <c r="G157" s="28"/>
      <c r="H157" s="28"/>
      <c r="I157" s="28"/>
      <c r="J157" s="28"/>
      <c r="K157" s="28"/>
    </row>
    <row r="158" spans="1:11" x14ac:dyDescent="0.25">
      <c r="A158" s="28"/>
      <c r="B158" s="28"/>
      <c r="C158" s="28"/>
      <c r="D158" s="28"/>
      <c r="E158" s="28"/>
      <c r="F158" s="28"/>
      <c r="G158" s="28"/>
      <c r="H158" s="28"/>
      <c r="I158" s="28"/>
      <c r="J158" s="28"/>
      <c r="K158" s="28"/>
    </row>
    <row r="159" spans="1:11" x14ac:dyDescent="0.25">
      <c r="A159" s="28"/>
      <c r="B159" s="28"/>
      <c r="C159" s="28"/>
      <c r="D159" s="28"/>
      <c r="E159" s="28"/>
      <c r="F159" s="28"/>
      <c r="G159" s="28"/>
      <c r="H159" s="28"/>
      <c r="I159" s="28"/>
      <c r="J159" s="28"/>
      <c r="K159" s="28"/>
    </row>
    <row r="160" spans="1:11" x14ac:dyDescent="0.25">
      <c r="A160" s="28"/>
      <c r="B160" s="28"/>
      <c r="C160" s="28"/>
      <c r="D160" s="28"/>
      <c r="E160" s="28"/>
      <c r="F160" s="28"/>
      <c r="G160" s="28"/>
      <c r="H160" s="28"/>
      <c r="I160" s="28"/>
      <c r="J160" s="28"/>
      <c r="K160" s="28"/>
    </row>
    <row r="161" spans="1:11" x14ac:dyDescent="0.25">
      <c r="A161" s="28"/>
      <c r="B161" s="28"/>
      <c r="C161" s="28"/>
      <c r="D161" s="28"/>
      <c r="E161" s="28"/>
      <c r="F161" s="28"/>
      <c r="G161" s="28"/>
      <c r="H161" s="28"/>
      <c r="I161" s="28"/>
      <c r="J161" s="28"/>
      <c r="K161" s="28"/>
    </row>
    <row r="162" spans="1:11" x14ac:dyDescent="0.25">
      <c r="A162" s="28"/>
      <c r="B162" s="28"/>
      <c r="C162" s="28"/>
      <c r="D162" s="28"/>
      <c r="E162" s="28"/>
      <c r="F162" s="28"/>
      <c r="G162" s="28"/>
      <c r="H162" s="28"/>
      <c r="I162" s="28"/>
      <c r="J162" s="28"/>
      <c r="K162" s="28"/>
    </row>
    <row r="163" spans="1:11" x14ac:dyDescent="0.25">
      <c r="A163" s="28"/>
      <c r="B163" s="28"/>
      <c r="C163" s="28"/>
      <c r="D163" s="28"/>
      <c r="E163" s="28"/>
      <c r="F163" s="28"/>
      <c r="G163" s="28"/>
      <c r="H163" s="28"/>
      <c r="I163" s="28"/>
      <c r="J163" s="28"/>
      <c r="K163" s="28"/>
    </row>
    <row r="164" spans="1:11" x14ac:dyDescent="0.25">
      <c r="A164" s="28"/>
      <c r="B164" s="28"/>
      <c r="C164" s="28"/>
      <c r="D164" s="28"/>
      <c r="E164" s="28"/>
      <c r="F164" s="28"/>
      <c r="G164" s="28"/>
      <c r="H164" s="28"/>
      <c r="I164" s="28"/>
      <c r="J164" s="28"/>
      <c r="K164" s="28"/>
    </row>
    <row r="165" spans="1:11" x14ac:dyDescent="0.25">
      <c r="A165" s="107" t="s">
        <v>0</v>
      </c>
      <c r="B165" s="108"/>
      <c r="C165" s="108"/>
      <c r="D165" s="108"/>
      <c r="E165" s="108"/>
      <c r="F165" s="108"/>
      <c r="G165" s="109"/>
      <c r="H165" s="28"/>
      <c r="I165" s="116" t="s">
        <v>1</v>
      </c>
      <c r="J165" s="148" t="str">
        <f>$J$6</f>
        <v>04567</v>
      </c>
      <c r="K165" s="119"/>
    </row>
    <row r="166" spans="1:11" x14ac:dyDescent="0.25">
      <c r="A166" s="110"/>
      <c r="B166" s="111"/>
      <c r="C166" s="111"/>
      <c r="D166" s="111"/>
      <c r="E166" s="111"/>
      <c r="F166" s="111"/>
      <c r="G166" s="112"/>
      <c r="H166" s="28"/>
      <c r="I166" s="117"/>
      <c r="J166" s="120"/>
      <c r="K166" s="121"/>
    </row>
    <row r="167" spans="1:11" x14ac:dyDescent="0.25">
      <c r="A167" s="110"/>
      <c r="B167" s="111"/>
      <c r="C167" s="111"/>
      <c r="D167" s="111"/>
      <c r="E167" s="111"/>
      <c r="F167" s="111"/>
      <c r="G167" s="112"/>
      <c r="H167" s="28"/>
      <c r="I167" s="122" t="s">
        <v>121</v>
      </c>
      <c r="J167" s="123"/>
      <c r="K167" s="124"/>
    </row>
    <row r="168" spans="1:11" x14ac:dyDescent="0.25">
      <c r="A168" s="113"/>
      <c r="B168" s="114"/>
      <c r="C168" s="114"/>
      <c r="D168" s="114"/>
      <c r="E168" s="114"/>
      <c r="F168" s="114"/>
      <c r="G168" s="115"/>
      <c r="H168" s="28"/>
      <c r="I168" s="125"/>
      <c r="J168" s="126"/>
      <c r="K168" s="127"/>
    </row>
    <row r="169" spans="1:11" x14ac:dyDescent="0.25">
      <c r="A169" s="28"/>
      <c r="B169" s="28"/>
      <c r="C169" s="28"/>
      <c r="D169" s="28"/>
      <c r="E169" s="28"/>
      <c r="F169" s="28"/>
      <c r="G169" s="28"/>
      <c r="H169" s="28"/>
      <c r="I169" s="28"/>
      <c r="J169" s="28"/>
      <c r="K169" s="28"/>
    </row>
    <row r="170" spans="1:11" ht="15.75" x14ac:dyDescent="0.25">
      <c r="A170" s="101" t="s">
        <v>266</v>
      </c>
      <c r="B170" s="101"/>
      <c r="C170" s="101"/>
      <c r="D170" s="101"/>
      <c r="E170" s="101"/>
      <c r="F170" s="101"/>
      <c r="G170" s="101"/>
      <c r="H170" s="101"/>
      <c r="I170" s="101"/>
      <c r="J170" s="101"/>
      <c r="K170" s="101"/>
    </row>
    <row r="171" spans="1:11" x14ac:dyDescent="0.25">
      <c r="A171" s="102" t="s">
        <v>115</v>
      </c>
      <c r="B171" s="102"/>
      <c r="C171" s="28"/>
      <c r="D171" s="28"/>
      <c r="E171" s="28"/>
      <c r="F171" s="28"/>
      <c r="G171" s="28"/>
      <c r="H171" s="28"/>
      <c r="I171" s="28"/>
      <c r="J171" s="28"/>
      <c r="K171" s="28"/>
    </row>
    <row r="172" spans="1:11" x14ac:dyDescent="0.25">
      <c r="A172" s="28"/>
      <c r="B172" s="28"/>
      <c r="C172" s="28"/>
      <c r="D172" s="28"/>
      <c r="E172" s="28"/>
      <c r="F172" s="28"/>
      <c r="G172" s="28"/>
      <c r="H172" s="28"/>
      <c r="I172" s="28"/>
      <c r="J172" s="28"/>
      <c r="K172" s="28"/>
    </row>
    <row r="173" spans="1:11" x14ac:dyDescent="0.25">
      <c r="A173" s="157" t="s">
        <v>130</v>
      </c>
      <c r="B173" s="157"/>
      <c r="C173" s="157"/>
      <c r="D173" s="157"/>
      <c r="E173" s="157"/>
      <c r="F173" s="157"/>
      <c r="G173" s="157"/>
      <c r="H173" s="157"/>
      <c r="I173" s="157"/>
      <c r="J173" s="157"/>
      <c r="K173" s="157"/>
    </row>
    <row r="174" spans="1:11" x14ac:dyDescent="0.25">
      <c r="A174" s="157"/>
      <c r="B174" s="157"/>
      <c r="C174" s="157"/>
      <c r="D174" s="157"/>
      <c r="E174" s="157"/>
      <c r="F174" s="157"/>
      <c r="G174" s="157"/>
      <c r="H174" s="157"/>
      <c r="I174" s="157"/>
      <c r="J174" s="157"/>
      <c r="K174" s="157"/>
    </row>
    <row r="175" spans="1:11" x14ac:dyDescent="0.25">
      <c r="A175" s="157"/>
      <c r="B175" s="157"/>
      <c r="C175" s="157"/>
      <c r="D175" s="157"/>
      <c r="E175" s="157"/>
      <c r="F175" s="157"/>
      <c r="G175" s="157"/>
      <c r="H175" s="157"/>
      <c r="I175" s="157"/>
      <c r="J175" s="157"/>
      <c r="K175" s="157"/>
    </row>
    <row r="176" spans="1:11" x14ac:dyDescent="0.25">
      <c r="A176" s="104" t="s">
        <v>267</v>
      </c>
      <c r="B176" s="104"/>
      <c r="C176" s="104"/>
      <c r="D176" s="104"/>
      <c r="E176" s="104"/>
      <c r="F176" s="104"/>
      <c r="G176" s="104"/>
      <c r="H176" s="104"/>
      <c r="I176" s="104"/>
      <c r="J176" s="104"/>
      <c r="K176" s="104"/>
    </row>
    <row r="177" spans="1:11" x14ac:dyDescent="0.25">
      <c r="A177" s="104" t="str">
        <f>IF(E25="A","Frequency 400Hz.","Frequency 60Hz.")</f>
        <v>Frequency 400Hz.</v>
      </c>
      <c r="B177" s="104"/>
      <c r="C177" s="104"/>
      <c r="D177" s="104"/>
      <c r="E177" s="104"/>
      <c r="F177" s="104"/>
      <c r="G177" s="104"/>
      <c r="H177" s="104"/>
      <c r="I177" s="104"/>
      <c r="J177" s="104"/>
      <c r="K177" s="104"/>
    </row>
    <row r="178" spans="1:11" x14ac:dyDescent="0.25">
      <c r="A178" s="28"/>
      <c r="B178" s="28"/>
      <c r="C178" s="28"/>
      <c r="D178" s="28"/>
      <c r="E178" s="28"/>
      <c r="F178" s="28"/>
      <c r="G178" s="28"/>
      <c r="H178" s="28"/>
      <c r="I178" s="28"/>
      <c r="J178" s="28"/>
      <c r="K178" s="28"/>
    </row>
    <row r="179" spans="1:11" ht="31.15" customHeight="1" x14ac:dyDescent="0.25">
      <c r="A179" s="48" t="s">
        <v>12</v>
      </c>
      <c r="B179" s="160" t="s">
        <v>13</v>
      </c>
      <c r="C179" s="160"/>
      <c r="D179" s="160" t="s">
        <v>14</v>
      </c>
      <c r="E179" s="160"/>
      <c r="F179" s="160" t="s">
        <v>15</v>
      </c>
      <c r="G179" s="160"/>
      <c r="H179" s="160" t="s">
        <v>16</v>
      </c>
      <c r="I179" s="160"/>
      <c r="J179" s="160" t="s">
        <v>17</v>
      </c>
      <c r="K179" s="160"/>
    </row>
    <row r="180" spans="1:11" ht="19.149999999999999" customHeight="1" x14ac:dyDescent="0.25">
      <c r="A180" s="48"/>
      <c r="B180" s="160" t="s">
        <v>18</v>
      </c>
      <c r="C180" s="160"/>
      <c r="D180" s="160" t="s">
        <v>18</v>
      </c>
      <c r="E180" s="160"/>
      <c r="F180" s="160" t="s">
        <v>19</v>
      </c>
      <c r="G180" s="160"/>
      <c r="H180" s="160" t="s">
        <v>18</v>
      </c>
      <c r="I180" s="160"/>
      <c r="J180" s="160" t="s">
        <v>19</v>
      </c>
      <c r="K180" s="160"/>
    </row>
    <row r="181" spans="1:11" ht="19.149999999999999" customHeight="1" x14ac:dyDescent="0.25">
      <c r="A181" s="51" t="s">
        <v>116</v>
      </c>
      <c r="B181" s="161">
        <f t="shared" ref="B181:B187" si="4">B130*$D$32</f>
        <v>20</v>
      </c>
      <c r="C181" s="161"/>
      <c r="D181" s="135"/>
      <c r="E181" s="135"/>
      <c r="F181" s="136" t="e">
        <f t="shared" ref="F181:F188" si="5">IF($K$322="LMX",340*0.1/100,IF($K$322="UPC1",354*0.2/100,0.25/100*B181+0.1/100*354))</f>
        <v>#N/A</v>
      </c>
      <c r="G181" s="136"/>
      <c r="H181" s="136"/>
      <c r="I181" s="136"/>
      <c r="J181" s="158" t="e">
        <f t="shared" ref="J181:J188" si="6">$D$32*IF($K$323="LMX",135*0.1/100,IF($K$323="ASX",150*0.5/100,150*0.5/100))</f>
        <v>#N/A</v>
      </c>
      <c r="K181" s="159"/>
    </row>
    <row r="182" spans="1:11" ht="19.149999999999999" customHeight="1" x14ac:dyDescent="0.25">
      <c r="A182" s="51" t="s">
        <v>116</v>
      </c>
      <c r="B182" s="161">
        <f t="shared" si="4"/>
        <v>50</v>
      </c>
      <c r="C182" s="161"/>
      <c r="D182" s="135"/>
      <c r="E182" s="135"/>
      <c r="F182" s="136" t="e">
        <f t="shared" si="5"/>
        <v>#N/A</v>
      </c>
      <c r="G182" s="136"/>
      <c r="H182" s="136"/>
      <c r="I182" s="136"/>
      <c r="J182" s="158" t="e">
        <f t="shared" si="6"/>
        <v>#N/A</v>
      </c>
      <c r="K182" s="159"/>
    </row>
    <row r="183" spans="1:11" ht="19.149999999999999" customHeight="1" x14ac:dyDescent="0.25">
      <c r="A183" s="51" t="s">
        <v>116</v>
      </c>
      <c r="B183" s="161">
        <f t="shared" si="4"/>
        <v>100</v>
      </c>
      <c r="C183" s="161"/>
      <c r="D183" s="135"/>
      <c r="E183" s="135"/>
      <c r="F183" s="136" t="e">
        <f t="shared" si="5"/>
        <v>#N/A</v>
      </c>
      <c r="G183" s="136"/>
      <c r="H183" s="136"/>
      <c r="I183" s="136"/>
      <c r="J183" s="158" t="e">
        <f t="shared" si="6"/>
        <v>#N/A</v>
      </c>
      <c r="K183" s="159"/>
    </row>
    <row r="184" spans="1:11" ht="19.149999999999999" customHeight="1" x14ac:dyDescent="0.25">
      <c r="A184" s="51" t="s">
        <v>116</v>
      </c>
      <c r="B184" s="161">
        <f t="shared" si="4"/>
        <v>150</v>
      </c>
      <c r="C184" s="161"/>
      <c r="D184" s="135"/>
      <c r="E184" s="135"/>
      <c r="F184" s="136" t="e">
        <f t="shared" si="5"/>
        <v>#N/A</v>
      </c>
      <c r="G184" s="136"/>
      <c r="H184" s="136"/>
      <c r="I184" s="136"/>
      <c r="J184" s="158" t="e">
        <f t="shared" si="6"/>
        <v>#N/A</v>
      </c>
      <c r="K184" s="159"/>
    </row>
    <row r="185" spans="1:11" ht="19.149999999999999" customHeight="1" x14ac:dyDescent="0.25">
      <c r="A185" s="51" t="s">
        <v>116</v>
      </c>
      <c r="B185" s="161">
        <f t="shared" si="4"/>
        <v>200</v>
      </c>
      <c r="C185" s="161"/>
      <c r="D185" s="135"/>
      <c r="E185" s="135"/>
      <c r="F185" s="136" t="e">
        <f t="shared" si="5"/>
        <v>#N/A</v>
      </c>
      <c r="G185" s="136"/>
      <c r="H185" s="136"/>
      <c r="I185" s="136"/>
      <c r="J185" s="158" t="e">
        <f t="shared" si="6"/>
        <v>#N/A</v>
      </c>
      <c r="K185" s="159"/>
    </row>
    <row r="186" spans="1:11" ht="19.149999999999999" customHeight="1" x14ac:dyDescent="0.25">
      <c r="A186" s="51" t="s">
        <v>116</v>
      </c>
      <c r="B186" s="161">
        <f t="shared" si="4"/>
        <v>230</v>
      </c>
      <c r="C186" s="161"/>
      <c r="D186" s="135"/>
      <c r="E186" s="135"/>
      <c r="F186" s="136" t="e">
        <f t="shared" si="5"/>
        <v>#N/A</v>
      </c>
      <c r="G186" s="136"/>
      <c r="H186" s="136"/>
      <c r="I186" s="136"/>
      <c r="J186" s="158" t="e">
        <f t="shared" si="6"/>
        <v>#N/A</v>
      </c>
      <c r="K186" s="159"/>
    </row>
    <row r="187" spans="1:11" ht="19.149999999999999" customHeight="1" x14ac:dyDescent="0.25">
      <c r="A187" s="51" t="s">
        <v>116</v>
      </c>
      <c r="B187" s="161">
        <f t="shared" si="4"/>
        <v>250</v>
      </c>
      <c r="C187" s="161"/>
      <c r="D187" s="135"/>
      <c r="E187" s="135"/>
      <c r="F187" s="136" t="e">
        <f t="shared" si="5"/>
        <v>#N/A</v>
      </c>
      <c r="G187" s="136"/>
      <c r="H187" s="136"/>
      <c r="I187" s="136"/>
      <c r="J187" s="158" t="e">
        <f t="shared" si="6"/>
        <v>#N/A</v>
      </c>
      <c r="K187" s="159"/>
    </row>
    <row r="188" spans="1:11" ht="19.149999999999999" customHeight="1" x14ac:dyDescent="0.25">
      <c r="A188" s="51" t="s">
        <v>116</v>
      </c>
      <c r="B188" s="161" t="e">
        <f>B137*$D$32</f>
        <v>#N/A</v>
      </c>
      <c r="C188" s="161"/>
      <c r="D188" s="135"/>
      <c r="E188" s="135"/>
      <c r="F188" s="136" t="e">
        <f t="shared" si="5"/>
        <v>#N/A</v>
      </c>
      <c r="G188" s="136"/>
      <c r="H188" s="136"/>
      <c r="I188" s="136"/>
      <c r="J188" s="158" t="e">
        <f t="shared" si="6"/>
        <v>#N/A</v>
      </c>
      <c r="K188" s="159"/>
    </row>
    <row r="189" spans="1:11" x14ac:dyDescent="0.25">
      <c r="A189" s="28"/>
      <c r="B189" s="28"/>
      <c r="C189" s="28"/>
      <c r="D189" s="28"/>
      <c r="E189" s="28"/>
      <c r="F189" s="28"/>
      <c r="G189" s="28"/>
      <c r="H189" s="28"/>
      <c r="I189" s="28"/>
      <c r="J189" s="28"/>
      <c r="K189" s="28"/>
    </row>
    <row r="190" spans="1:11" x14ac:dyDescent="0.25">
      <c r="A190" s="5" t="s">
        <v>124</v>
      </c>
      <c r="B190" s="5"/>
      <c r="C190" s="5"/>
      <c r="D190" s="5" t="s">
        <v>125</v>
      </c>
      <c r="E190" s="5"/>
      <c r="F190" s="5"/>
      <c r="G190" s="5"/>
      <c r="H190" s="5"/>
      <c r="I190" s="5"/>
      <c r="J190" s="5"/>
      <c r="K190" s="5"/>
    </row>
    <row r="191" spans="1:11" x14ac:dyDescent="0.25">
      <c r="A191" s="28"/>
      <c r="B191" s="28"/>
      <c r="C191" s="28"/>
      <c r="D191" s="28"/>
      <c r="E191" s="28"/>
      <c r="F191" s="28"/>
      <c r="G191" s="28"/>
      <c r="H191" s="28"/>
      <c r="I191" s="28"/>
      <c r="J191" s="28"/>
      <c r="K191" s="28"/>
    </row>
    <row r="192" spans="1:11" x14ac:dyDescent="0.25">
      <c r="A192" s="28"/>
      <c r="B192" s="28"/>
      <c r="C192" s="28"/>
      <c r="D192" s="28"/>
      <c r="E192" s="28"/>
      <c r="F192" s="28"/>
      <c r="G192" s="28"/>
      <c r="H192" s="28"/>
      <c r="I192" s="28"/>
      <c r="J192" s="28"/>
      <c r="K192" s="28"/>
    </row>
    <row r="193" spans="1:11" x14ac:dyDescent="0.25">
      <c r="A193" s="28"/>
      <c r="B193" s="28"/>
      <c r="C193" s="28"/>
      <c r="D193" s="28"/>
      <c r="E193" s="28"/>
      <c r="F193" s="28"/>
      <c r="G193" s="28"/>
      <c r="H193" s="28"/>
      <c r="I193" s="28"/>
      <c r="J193" s="28"/>
      <c r="K193" s="28"/>
    </row>
    <row r="194" spans="1:11" x14ac:dyDescent="0.25">
      <c r="A194" s="28"/>
      <c r="B194" s="28"/>
      <c r="C194" s="28"/>
      <c r="D194" s="28"/>
      <c r="E194" s="28"/>
      <c r="F194" s="28"/>
      <c r="G194" s="28"/>
      <c r="H194" s="28"/>
      <c r="I194" s="28"/>
      <c r="J194" s="28"/>
      <c r="K194" s="28"/>
    </row>
    <row r="195" spans="1:11" x14ac:dyDescent="0.25">
      <c r="A195" s="28"/>
      <c r="B195" s="28"/>
      <c r="C195" s="28"/>
      <c r="D195" s="28"/>
      <c r="E195" s="28"/>
      <c r="F195" s="28"/>
      <c r="G195" s="28"/>
      <c r="H195" s="28"/>
      <c r="I195" s="28"/>
      <c r="J195" s="28"/>
      <c r="K195" s="28"/>
    </row>
    <row r="196" spans="1:11" x14ac:dyDescent="0.25">
      <c r="A196" s="28"/>
      <c r="B196" s="28"/>
      <c r="C196" s="28"/>
      <c r="D196" s="28"/>
      <c r="E196" s="28"/>
      <c r="F196" s="28"/>
      <c r="G196" s="28"/>
      <c r="H196" s="28"/>
      <c r="I196" s="28"/>
      <c r="J196" s="28"/>
      <c r="K196" s="28"/>
    </row>
    <row r="197" spans="1:11" x14ac:dyDescent="0.25">
      <c r="A197" s="28"/>
      <c r="B197" s="28"/>
      <c r="C197" s="28"/>
      <c r="D197" s="28"/>
      <c r="E197" s="28"/>
      <c r="F197" s="28"/>
      <c r="G197" s="28"/>
      <c r="H197" s="28"/>
      <c r="I197" s="28"/>
      <c r="J197" s="28"/>
      <c r="K197" s="28"/>
    </row>
    <row r="198" spans="1:11" x14ac:dyDescent="0.25">
      <c r="A198" s="28"/>
      <c r="B198" s="28"/>
      <c r="C198" s="28"/>
      <c r="D198" s="28"/>
      <c r="E198" s="28"/>
      <c r="F198" s="28"/>
      <c r="G198" s="28"/>
      <c r="H198" s="28"/>
      <c r="I198" s="28"/>
      <c r="J198" s="28"/>
      <c r="K198" s="28"/>
    </row>
    <row r="199" spans="1:11" x14ac:dyDescent="0.25">
      <c r="A199" s="28"/>
      <c r="B199" s="28"/>
      <c r="C199" s="28"/>
      <c r="D199" s="28"/>
      <c r="E199" s="28"/>
      <c r="F199" s="28"/>
      <c r="G199" s="28"/>
      <c r="H199" s="28"/>
      <c r="I199" s="28"/>
      <c r="J199" s="28"/>
      <c r="K199" s="28"/>
    </row>
    <row r="200" spans="1:11" x14ac:dyDescent="0.25">
      <c r="A200" s="28"/>
      <c r="B200" s="28"/>
      <c r="C200" s="28"/>
      <c r="D200" s="28"/>
      <c r="E200" s="28"/>
      <c r="F200" s="28"/>
      <c r="G200" s="28"/>
      <c r="H200" s="28"/>
      <c r="I200" s="28"/>
      <c r="J200" s="28"/>
      <c r="K200" s="28"/>
    </row>
    <row r="201" spans="1:11" x14ac:dyDescent="0.25">
      <c r="A201" s="28"/>
      <c r="B201" s="28"/>
      <c r="C201" s="28"/>
      <c r="D201" s="28"/>
      <c r="E201" s="28"/>
      <c r="F201" s="28"/>
      <c r="G201" s="28"/>
      <c r="H201" s="28"/>
      <c r="I201" s="28"/>
      <c r="J201" s="28"/>
      <c r="K201" s="28"/>
    </row>
    <row r="202" spans="1:11" x14ac:dyDescent="0.25">
      <c r="A202" s="28"/>
      <c r="B202" s="28"/>
      <c r="C202" s="28"/>
      <c r="D202" s="28"/>
      <c r="E202" s="28"/>
      <c r="F202" s="28"/>
      <c r="G202" s="28"/>
      <c r="H202" s="28"/>
      <c r="I202" s="28"/>
      <c r="J202" s="28"/>
      <c r="K202" s="28"/>
    </row>
    <row r="203" spans="1:11" x14ac:dyDescent="0.25">
      <c r="A203" s="28"/>
      <c r="B203" s="28"/>
      <c r="C203" s="28"/>
      <c r="D203" s="28"/>
      <c r="E203" s="28"/>
      <c r="F203" s="28"/>
      <c r="G203" s="28"/>
      <c r="H203" s="28"/>
      <c r="I203" s="28"/>
      <c r="J203" s="28"/>
      <c r="K203" s="28"/>
    </row>
    <row r="204" spans="1:11" x14ac:dyDescent="0.25">
      <c r="A204" s="28"/>
      <c r="B204" s="28"/>
      <c r="C204" s="28"/>
      <c r="D204" s="28"/>
      <c r="E204" s="28"/>
      <c r="F204" s="28"/>
      <c r="G204" s="28"/>
      <c r="H204" s="28"/>
      <c r="I204" s="28"/>
      <c r="J204" s="28"/>
      <c r="K204" s="28"/>
    </row>
    <row r="205" spans="1:11" x14ac:dyDescent="0.25">
      <c r="A205" s="28"/>
      <c r="B205" s="28"/>
      <c r="C205" s="28"/>
      <c r="D205" s="28"/>
      <c r="E205" s="28"/>
      <c r="F205" s="28"/>
      <c r="G205" s="28"/>
      <c r="H205" s="28"/>
      <c r="I205" s="28"/>
      <c r="J205" s="28"/>
      <c r="K205" s="28"/>
    </row>
    <row r="206" spans="1:11" x14ac:dyDescent="0.25">
      <c r="A206" s="28"/>
      <c r="B206" s="28"/>
      <c r="C206" s="28"/>
      <c r="D206" s="28"/>
      <c r="E206" s="28"/>
      <c r="F206" s="28"/>
      <c r="G206" s="28"/>
      <c r="H206" s="28"/>
      <c r="I206" s="28"/>
      <c r="J206" s="28"/>
      <c r="K206" s="28"/>
    </row>
    <row r="207" spans="1:11" x14ac:dyDescent="0.25">
      <c r="A207" s="6"/>
      <c r="B207" s="28"/>
      <c r="C207" s="28"/>
      <c r="D207" s="28"/>
      <c r="E207" s="28"/>
      <c r="F207" s="28"/>
      <c r="G207" s="28"/>
      <c r="H207" s="28"/>
      <c r="I207" s="28"/>
      <c r="J207" s="28"/>
      <c r="K207" s="28"/>
    </row>
    <row r="208" spans="1:11" x14ac:dyDescent="0.25">
      <c r="A208" s="7"/>
      <c r="B208" s="28"/>
      <c r="C208" s="28"/>
      <c r="D208" s="28"/>
      <c r="E208" s="28"/>
      <c r="F208" s="28"/>
      <c r="G208" s="28"/>
      <c r="H208" s="28"/>
      <c r="I208" s="28"/>
      <c r="J208" s="28"/>
      <c r="K208" s="28"/>
    </row>
    <row r="209" spans="1:11" ht="15.75" x14ac:dyDescent="0.25">
      <c r="A209" s="5"/>
      <c r="B209" s="28"/>
      <c r="C209" s="28"/>
      <c r="D209" s="28"/>
      <c r="E209" s="5"/>
      <c r="F209" s="40"/>
      <c r="G209" s="49"/>
      <c r="H209" s="28"/>
      <c r="I209" s="28"/>
      <c r="J209" s="28"/>
      <c r="K209" s="28"/>
    </row>
    <row r="210" spans="1:11" x14ac:dyDescent="0.25">
      <c r="A210" s="5"/>
      <c r="B210" s="28"/>
      <c r="C210" s="28"/>
      <c r="D210" s="28"/>
      <c r="E210" s="28"/>
      <c r="F210" s="28"/>
      <c r="G210" s="28"/>
      <c r="H210" s="28"/>
      <c r="I210" s="28"/>
      <c r="J210" s="28"/>
      <c r="K210" s="28"/>
    </row>
    <row r="211" spans="1:11" ht="15.75" x14ac:dyDescent="0.25">
      <c r="A211" s="5"/>
      <c r="B211" s="28"/>
      <c r="C211" s="28"/>
      <c r="D211" s="28"/>
      <c r="E211" s="5"/>
      <c r="F211" s="40"/>
      <c r="G211" s="28"/>
      <c r="H211" s="28"/>
      <c r="I211" s="28"/>
      <c r="J211" s="28"/>
      <c r="K211" s="28"/>
    </row>
    <row r="212" spans="1:11" x14ac:dyDescent="0.25">
      <c r="A212" s="5"/>
      <c r="B212" s="28"/>
      <c r="C212" s="28"/>
      <c r="D212" s="28"/>
      <c r="E212" s="28"/>
      <c r="F212" s="28"/>
      <c r="G212" s="28"/>
      <c r="H212" s="28"/>
      <c r="I212" s="28"/>
      <c r="J212" s="28"/>
      <c r="K212" s="28"/>
    </row>
    <row r="213" spans="1:11" ht="15.75" x14ac:dyDescent="0.25">
      <c r="A213" s="5"/>
      <c r="B213" s="28"/>
      <c r="C213" s="28"/>
      <c r="D213" s="28"/>
      <c r="E213" s="5"/>
      <c r="F213" s="40"/>
      <c r="G213" s="28"/>
      <c r="H213" s="28"/>
      <c r="I213" s="28"/>
      <c r="J213" s="28"/>
      <c r="K213" s="28"/>
    </row>
    <row r="214" spans="1:11" x14ac:dyDescent="0.25">
      <c r="A214" s="28"/>
      <c r="B214" s="28"/>
      <c r="C214" s="28"/>
      <c r="D214" s="28"/>
      <c r="E214" s="28"/>
      <c r="F214" s="28"/>
      <c r="G214" s="28"/>
      <c r="H214" s="28"/>
      <c r="I214" s="28"/>
      <c r="J214" s="28"/>
      <c r="K214" s="28"/>
    </row>
    <row r="215" spans="1:11" x14ac:dyDescent="0.25">
      <c r="A215" s="28"/>
      <c r="B215" s="28"/>
      <c r="C215" s="28"/>
      <c r="D215" s="28"/>
      <c r="E215" s="28"/>
      <c r="F215" s="28"/>
      <c r="G215" s="28"/>
      <c r="H215" s="28"/>
      <c r="I215" s="28"/>
      <c r="J215" s="28"/>
      <c r="K215" s="28"/>
    </row>
    <row r="216" spans="1:11" x14ac:dyDescent="0.25">
      <c r="A216" s="107" t="s">
        <v>0</v>
      </c>
      <c r="B216" s="108"/>
      <c r="C216" s="108"/>
      <c r="D216" s="108"/>
      <c r="E216" s="108"/>
      <c r="F216" s="108"/>
      <c r="G216" s="109"/>
      <c r="H216" s="28"/>
      <c r="I216" s="116" t="s">
        <v>1</v>
      </c>
      <c r="J216" s="148" t="str">
        <f>$J$6</f>
        <v>04567</v>
      </c>
      <c r="K216" s="119"/>
    </row>
    <row r="217" spans="1:11" x14ac:dyDescent="0.25">
      <c r="A217" s="110"/>
      <c r="B217" s="111"/>
      <c r="C217" s="111"/>
      <c r="D217" s="111"/>
      <c r="E217" s="111"/>
      <c r="F217" s="111"/>
      <c r="G217" s="112"/>
      <c r="H217" s="28"/>
      <c r="I217" s="117"/>
      <c r="J217" s="120"/>
      <c r="K217" s="121"/>
    </row>
    <row r="218" spans="1:11" x14ac:dyDescent="0.25">
      <c r="A218" s="110"/>
      <c r="B218" s="111"/>
      <c r="C218" s="111"/>
      <c r="D218" s="111"/>
      <c r="E218" s="111"/>
      <c r="F218" s="111"/>
      <c r="G218" s="112"/>
      <c r="H218" s="28"/>
      <c r="I218" s="122" t="s">
        <v>122</v>
      </c>
      <c r="J218" s="123"/>
      <c r="K218" s="124"/>
    </row>
    <row r="219" spans="1:11" x14ac:dyDescent="0.25">
      <c r="A219" s="113"/>
      <c r="B219" s="114"/>
      <c r="C219" s="114"/>
      <c r="D219" s="114"/>
      <c r="E219" s="114"/>
      <c r="F219" s="114"/>
      <c r="G219" s="115"/>
      <c r="H219" s="28"/>
      <c r="I219" s="125"/>
      <c r="J219" s="126"/>
      <c r="K219" s="127"/>
    </row>
    <row r="220" spans="1:11" x14ac:dyDescent="0.25">
      <c r="A220" s="28"/>
      <c r="B220" s="28"/>
      <c r="C220" s="28"/>
      <c r="D220" s="28"/>
      <c r="E220" s="28"/>
      <c r="F220" s="28"/>
      <c r="G220" s="28"/>
      <c r="H220" s="28"/>
      <c r="I220" s="28"/>
      <c r="J220" s="28"/>
      <c r="K220" s="28"/>
    </row>
    <row r="221" spans="1:11" ht="15.75" x14ac:dyDescent="0.25">
      <c r="A221" s="101" t="s">
        <v>329</v>
      </c>
      <c r="B221" s="101"/>
      <c r="C221" s="101"/>
      <c r="D221" s="101"/>
      <c r="E221" s="101"/>
      <c r="F221" s="101"/>
      <c r="G221" s="101"/>
      <c r="H221" s="101"/>
      <c r="I221" s="101"/>
      <c r="J221" s="101"/>
      <c r="K221" s="101"/>
    </row>
    <row r="222" spans="1:11" x14ac:dyDescent="0.25">
      <c r="A222" s="102" t="s">
        <v>115</v>
      </c>
      <c r="B222" s="102"/>
      <c r="C222" s="28"/>
      <c r="D222" s="28"/>
      <c r="E222" s="28"/>
      <c r="F222" s="28"/>
      <c r="G222" s="28"/>
      <c r="H222" s="28"/>
      <c r="I222" s="28"/>
      <c r="J222" s="28"/>
      <c r="K222" s="28"/>
    </row>
    <row r="223" spans="1:11" x14ac:dyDescent="0.25">
      <c r="A223" s="28"/>
      <c r="B223" s="28"/>
      <c r="C223" s="28"/>
      <c r="D223" s="28"/>
      <c r="E223" s="28"/>
      <c r="F223" s="28"/>
      <c r="G223" s="28"/>
      <c r="H223" s="28"/>
      <c r="I223" s="28"/>
      <c r="J223" s="28"/>
      <c r="K223" s="28"/>
    </row>
    <row r="224" spans="1:11" x14ac:dyDescent="0.25">
      <c r="A224" s="157" t="s">
        <v>330</v>
      </c>
      <c r="B224" s="157"/>
      <c r="C224" s="157"/>
      <c r="D224" s="157"/>
      <c r="E224" s="157"/>
      <c r="F224" s="157"/>
      <c r="G224" s="157"/>
      <c r="H224" s="157"/>
      <c r="I224" s="157"/>
      <c r="J224" s="157"/>
      <c r="K224" s="157"/>
    </row>
    <row r="225" spans="1:11" x14ac:dyDescent="0.25">
      <c r="A225" s="157"/>
      <c r="B225" s="157"/>
      <c r="C225" s="157"/>
      <c r="D225" s="157"/>
      <c r="E225" s="157"/>
      <c r="F225" s="157"/>
      <c r="G225" s="157"/>
      <c r="H225" s="157"/>
      <c r="I225" s="157"/>
      <c r="J225" s="157"/>
      <c r="K225" s="157"/>
    </row>
    <row r="226" spans="1:11" x14ac:dyDescent="0.25">
      <c r="A226" s="157"/>
      <c r="B226" s="157"/>
      <c r="C226" s="157"/>
      <c r="D226" s="157"/>
      <c r="E226" s="157"/>
      <c r="F226" s="157"/>
      <c r="G226" s="157"/>
      <c r="H226" s="157"/>
      <c r="I226" s="157"/>
      <c r="J226" s="157"/>
      <c r="K226" s="157"/>
    </row>
    <row r="227" spans="1:11" x14ac:dyDescent="0.25">
      <c r="A227" s="104" t="s">
        <v>331</v>
      </c>
      <c r="B227" s="104"/>
      <c r="C227" s="104"/>
      <c r="D227" s="104"/>
      <c r="E227" s="104"/>
      <c r="F227" s="104"/>
      <c r="G227" s="104"/>
      <c r="H227" s="104"/>
      <c r="I227" s="104"/>
      <c r="J227" s="104"/>
      <c r="K227" s="104"/>
    </row>
    <row r="228" spans="1:11" x14ac:dyDescent="0.25">
      <c r="A228" s="28"/>
      <c r="B228" s="28"/>
      <c r="C228" s="28"/>
      <c r="D228" s="28"/>
      <c r="E228" s="28"/>
      <c r="F228" s="28"/>
      <c r="G228" s="28"/>
      <c r="H228" s="28"/>
      <c r="I228" s="28"/>
      <c r="J228" s="28"/>
      <c r="K228" s="28"/>
    </row>
    <row r="229" spans="1:11" ht="27" customHeight="1" x14ac:dyDescent="0.25">
      <c r="A229" s="48" t="s">
        <v>12</v>
      </c>
      <c r="B229" s="160" t="s">
        <v>13</v>
      </c>
      <c r="C229" s="160"/>
      <c r="D229" s="160" t="s">
        <v>140</v>
      </c>
      <c r="E229" s="160"/>
      <c r="F229" s="160" t="s">
        <v>143</v>
      </c>
      <c r="G229" s="160"/>
      <c r="H229" s="160" t="s">
        <v>142</v>
      </c>
      <c r="I229" s="160"/>
      <c r="J229" s="160" t="s">
        <v>17</v>
      </c>
      <c r="K229" s="160"/>
    </row>
    <row r="230" spans="1:11" x14ac:dyDescent="0.25">
      <c r="A230" s="48"/>
      <c r="B230" s="160" t="s">
        <v>139</v>
      </c>
      <c r="C230" s="160"/>
      <c r="D230" s="160" t="s">
        <v>139</v>
      </c>
      <c r="E230" s="160"/>
      <c r="F230" s="160" t="s">
        <v>141</v>
      </c>
      <c r="G230" s="160"/>
      <c r="H230" s="160" t="s">
        <v>18</v>
      </c>
      <c r="I230" s="160"/>
      <c r="J230" s="160" t="s">
        <v>19</v>
      </c>
      <c r="K230" s="160"/>
    </row>
    <row r="231" spans="1:11" ht="19.149999999999999" customHeight="1" x14ac:dyDescent="0.25">
      <c r="A231" s="51" t="s">
        <v>116</v>
      </c>
      <c r="B231" s="161">
        <v>50</v>
      </c>
      <c r="C231" s="161"/>
      <c r="D231" s="161"/>
      <c r="E231" s="161"/>
      <c r="F231" s="169" t="e">
        <f>IF($K$322="LMX",0.1/100*150,IF($K$322="UPC1",0.01/100*150,0.01/100*150))</f>
        <v>#N/A</v>
      </c>
      <c r="G231" s="169"/>
      <c r="H231" s="161"/>
      <c r="I231" s="161"/>
      <c r="J231" s="133" t="e">
        <f>IF($K$323="LMX",135*0.1/100,IF($K$323="ASX",150*0.5/100,150*0.5/100))</f>
        <v>#N/A</v>
      </c>
      <c r="K231" s="134"/>
    </row>
    <row r="232" spans="1:11" ht="19.149999999999999" customHeight="1" x14ac:dyDescent="0.25">
      <c r="A232" s="51" t="s">
        <v>116</v>
      </c>
      <c r="B232" s="161">
        <v>60</v>
      </c>
      <c r="C232" s="161"/>
      <c r="D232" s="161"/>
      <c r="E232" s="161"/>
      <c r="F232" s="169" t="e">
        <f>IF($K$322="LMX",0.1/100*150,IF($K$322="UPC1",0.01/100*150,0.01/100*150))</f>
        <v>#N/A</v>
      </c>
      <c r="G232" s="169"/>
      <c r="H232" s="161"/>
      <c r="I232" s="161"/>
      <c r="J232" s="133" t="e">
        <f>IF($K$323="LMX",135*0.1/100,IF($K$323="ASX",150*0.5/100,150*0.5/100))</f>
        <v>#N/A</v>
      </c>
      <c r="K232" s="134"/>
    </row>
    <row r="233" spans="1:11" ht="19.149999999999999" customHeight="1" x14ac:dyDescent="0.25">
      <c r="A233" s="51" t="s">
        <v>116</v>
      </c>
      <c r="B233" s="161">
        <v>400</v>
      </c>
      <c r="C233" s="161"/>
      <c r="D233" s="161"/>
      <c r="E233" s="161"/>
      <c r="F233" s="169" t="e">
        <f>IF($K$322="LMX",0.1/100*1000,IF($K$322="UPC1",0.01/100*600,0.01/100*1000))</f>
        <v>#N/A</v>
      </c>
      <c r="G233" s="169"/>
      <c r="H233" s="161"/>
      <c r="I233" s="161"/>
      <c r="J233" s="133" t="e">
        <f>IF($K$323="LMX",135*0.1/100,IF($K$323="ASX",150*0.5/100,150*0.5/100))</f>
        <v>#N/A</v>
      </c>
      <c r="K233" s="134"/>
    </row>
    <row r="234" spans="1:11" ht="19.149999999999999" customHeight="1" x14ac:dyDescent="0.25">
      <c r="A234" s="51" t="s">
        <v>116</v>
      </c>
      <c r="B234" s="161">
        <v>1000</v>
      </c>
      <c r="C234" s="161"/>
      <c r="D234" s="161"/>
      <c r="E234" s="161"/>
      <c r="F234" s="169" t="e">
        <f>IF($K$322="LMX",0.1/100*5000,IF($K$322="UPC1",0.01/100*1200,0.01/100*5000))</f>
        <v>#N/A</v>
      </c>
      <c r="G234" s="169"/>
      <c r="H234" s="161"/>
      <c r="I234" s="161"/>
      <c r="J234" s="133" t="e">
        <f>IF($K$323="LMX",135*0.1/100,IF($K$323="ASX",150*0.5/100,150*0.5/100))</f>
        <v>#N/A</v>
      </c>
      <c r="K234" s="134"/>
    </row>
    <row r="235" spans="1:11" ht="19.149999999999999" customHeight="1" x14ac:dyDescent="0.25">
      <c r="A235" s="51" t="s">
        <v>116</v>
      </c>
      <c r="B235" s="161" t="e">
        <f>VLOOKUP(D28,'2PhT data'!A:F,6,0)</f>
        <v>#N/A</v>
      </c>
      <c r="C235" s="161"/>
      <c r="D235" s="161"/>
      <c r="E235" s="161"/>
      <c r="F235" s="169" t="e">
        <f>IF($K$322="LMX",0.1/100*5000,IF($K$322="UPC1",0.01/100*1200,0.01/100*5000))</f>
        <v>#N/A</v>
      </c>
      <c r="G235" s="169"/>
      <c r="H235" s="161"/>
      <c r="I235" s="161"/>
      <c r="J235" s="133" t="e">
        <f>IF($K$323="LMX",135*0.1/100,IF($K$323="ASX",150*0.5/100,150*0.5/100))</f>
        <v>#N/A</v>
      </c>
      <c r="K235" s="134"/>
    </row>
    <row r="236" spans="1:11" x14ac:dyDescent="0.25">
      <c r="A236" s="28"/>
      <c r="B236" s="28"/>
      <c r="C236" s="28"/>
      <c r="D236" s="28"/>
      <c r="E236" s="28"/>
      <c r="F236" s="28"/>
      <c r="G236" s="28"/>
      <c r="H236" s="28"/>
      <c r="I236" s="28"/>
      <c r="J236" s="28"/>
      <c r="K236" s="28"/>
    </row>
    <row r="237" spans="1:11" x14ac:dyDescent="0.25">
      <c r="A237" s="5" t="s">
        <v>124</v>
      </c>
      <c r="B237" s="5"/>
      <c r="C237" s="5"/>
      <c r="D237" s="5" t="s">
        <v>125</v>
      </c>
      <c r="E237" s="5"/>
      <c r="F237" s="28"/>
      <c r="G237" s="28"/>
      <c r="H237" s="28"/>
      <c r="I237" s="28"/>
      <c r="J237" s="28"/>
      <c r="K237" s="28"/>
    </row>
    <row r="238" spans="1:11" x14ac:dyDescent="0.25">
      <c r="A238" s="28"/>
      <c r="B238" s="28"/>
      <c r="C238" s="28"/>
      <c r="D238" s="28" t="s">
        <v>144</v>
      </c>
      <c r="E238" s="28"/>
      <c r="F238" s="28"/>
      <c r="G238" s="28"/>
      <c r="H238" s="28"/>
      <c r="I238" s="28"/>
      <c r="J238" s="28"/>
      <c r="K238" s="28"/>
    </row>
    <row r="239" spans="1:11" x14ac:dyDescent="0.25">
      <c r="A239" s="28"/>
      <c r="B239" s="28"/>
      <c r="C239" s="28"/>
      <c r="D239" s="28"/>
      <c r="E239" s="28"/>
      <c r="F239" s="28"/>
      <c r="G239" s="28"/>
      <c r="H239" s="28"/>
      <c r="I239" s="28"/>
      <c r="J239" s="28"/>
      <c r="K239" s="28"/>
    </row>
    <row r="240" spans="1:11" x14ac:dyDescent="0.25">
      <c r="A240" s="28"/>
      <c r="B240" s="28"/>
      <c r="C240" s="28"/>
      <c r="D240" s="28"/>
      <c r="E240" s="28"/>
      <c r="F240" s="28"/>
      <c r="G240" s="28"/>
      <c r="H240" s="28"/>
      <c r="I240" s="28"/>
      <c r="J240" s="28"/>
      <c r="K240" s="28"/>
    </row>
    <row r="241" spans="1:11" x14ac:dyDescent="0.25">
      <c r="A241" s="28"/>
      <c r="B241" s="28"/>
      <c r="C241" s="28"/>
      <c r="D241" s="28"/>
      <c r="E241" s="28"/>
      <c r="F241" s="28"/>
      <c r="G241" s="28"/>
      <c r="H241" s="28"/>
      <c r="I241" s="28"/>
      <c r="J241" s="28"/>
      <c r="K241" s="28"/>
    </row>
    <row r="242" spans="1:11" x14ac:dyDescent="0.25">
      <c r="A242" s="28"/>
      <c r="B242" s="28"/>
      <c r="C242" s="28"/>
      <c r="D242" s="28"/>
      <c r="E242" s="28"/>
      <c r="F242" s="28"/>
      <c r="G242" s="28"/>
      <c r="H242" s="28"/>
      <c r="I242" s="28"/>
      <c r="J242" s="28"/>
      <c r="K242" s="28"/>
    </row>
    <row r="243" spans="1:11" x14ac:dyDescent="0.25">
      <c r="A243" s="28"/>
      <c r="B243" s="28"/>
      <c r="C243" s="28"/>
      <c r="D243" s="28"/>
      <c r="E243" s="28"/>
      <c r="F243" s="28"/>
      <c r="G243" s="28"/>
      <c r="H243" s="28"/>
      <c r="I243" s="28"/>
      <c r="J243" s="28"/>
      <c r="K243" s="28"/>
    </row>
    <row r="244" spans="1:11" x14ac:dyDescent="0.25">
      <c r="A244" s="28"/>
      <c r="B244" s="28"/>
      <c r="C244" s="28"/>
      <c r="D244" s="28"/>
      <c r="E244" s="28"/>
      <c r="F244" s="28"/>
      <c r="G244" s="28"/>
      <c r="H244" s="28"/>
      <c r="I244" s="28"/>
      <c r="J244" s="28"/>
      <c r="K244" s="28"/>
    </row>
    <row r="245" spans="1:11" x14ac:dyDescent="0.25">
      <c r="A245" s="28"/>
      <c r="B245" s="28"/>
      <c r="C245" s="28"/>
      <c r="D245" s="28"/>
      <c r="E245" s="28"/>
      <c r="F245" s="28"/>
      <c r="G245" s="28"/>
      <c r="H245" s="28"/>
      <c r="I245" s="28"/>
      <c r="J245" s="28"/>
      <c r="K245" s="28"/>
    </row>
    <row r="246" spans="1:11" x14ac:dyDescent="0.25">
      <c r="A246" s="28"/>
      <c r="B246" s="28"/>
      <c r="C246" s="28"/>
      <c r="D246" s="28"/>
      <c r="E246" s="28"/>
      <c r="F246" s="28"/>
      <c r="G246" s="28"/>
      <c r="H246" s="28"/>
      <c r="I246" s="28"/>
      <c r="J246" s="28"/>
      <c r="K246" s="28"/>
    </row>
    <row r="247" spans="1:11" x14ac:dyDescent="0.25">
      <c r="A247" s="28"/>
      <c r="B247" s="28"/>
      <c r="C247" s="28"/>
      <c r="D247" s="28"/>
      <c r="E247" s="28"/>
      <c r="F247" s="28"/>
      <c r="G247" s="28"/>
      <c r="H247" s="28"/>
      <c r="I247" s="28"/>
      <c r="J247" s="28"/>
      <c r="K247" s="28"/>
    </row>
    <row r="248" spans="1:11" x14ac:dyDescent="0.25">
      <c r="A248" s="28"/>
      <c r="B248" s="28"/>
      <c r="C248" s="28"/>
      <c r="D248" s="28"/>
      <c r="E248" s="28"/>
      <c r="F248" s="28"/>
      <c r="G248" s="28"/>
      <c r="H248" s="28"/>
      <c r="I248" s="28"/>
      <c r="J248" s="28"/>
      <c r="K248" s="28"/>
    </row>
    <row r="249" spans="1:11" x14ac:dyDescent="0.25">
      <c r="A249" s="28"/>
      <c r="B249" s="28"/>
      <c r="C249" s="28"/>
      <c r="D249" s="28"/>
      <c r="E249" s="28"/>
      <c r="F249" s="28"/>
      <c r="G249" s="28"/>
      <c r="H249" s="28"/>
      <c r="I249" s="28"/>
      <c r="J249" s="28"/>
      <c r="K249" s="28"/>
    </row>
    <row r="250" spans="1:11" x14ac:dyDescent="0.25">
      <c r="A250" s="28"/>
      <c r="B250" s="28"/>
      <c r="C250" s="28"/>
      <c r="D250" s="28"/>
      <c r="E250" s="28"/>
      <c r="F250" s="28"/>
      <c r="G250" s="28"/>
      <c r="H250" s="28"/>
      <c r="I250" s="28"/>
      <c r="J250" s="28"/>
      <c r="K250" s="28"/>
    </row>
    <row r="251" spans="1:11" x14ac:dyDescent="0.25">
      <c r="A251" s="28"/>
      <c r="B251" s="28"/>
      <c r="C251" s="28"/>
      <c r="D251" s="28"/>
      <c r="E251" s="28"/>
      <c r="F251" s="28"/>
      <c r="G251" s="28"/>
      <c r="H251" s="28"/>
      <c r="I251" s="28"/>
      <c r="J251" s="28"/>
      <c r="K251" s="28"/>
    </row>
    <row r="252" spans="1:11" x14ac:dyDescent="0.25">
      <c r="A252" s="28"/>
      <c r="B252" s="28"/>
      <c r="C252" s="28"/>
      <c r="D252" s="28"/>
      <c r="E252" s="28"/>
      <c r="F252" s="28"/>
      <c r="G252" s="28"/>
      <c r="H252" s="28"/>
      <c r="I252" s="28"/>
      <c r="J252" s="28"/>
      <c r="K252" s="28"/>
    </row>
    <row r="253" spans="1:11" x14ac:dyDescent="0.25">
      <c r="A253" s="28"/>
      <c r="B253" s="28"/>
      <c r="C253" s="28"/>
      <c r="D253" s="28"/>
      <c r="E253" s="28"/>
      <c r="F253" s="28"/>
      <c r="G253" s="28"/>
      <c r="H253" s="28"/>
      <c r="I253" s="28"/>
      <c r="J253" s="28"/>
      <c r="K253" s="28"/>
    </row>
    <row r="254" spans="1:11" x14ac:dyDescent="0.25">
      <c r="A254" s="28"/>
      <c r="B254" s="28"/>
      <c r="C254" s="28"/>
      <c r="D254" s="28"/>
      <c r="E254" s="28"/>
      <c r="F254" s="28"/>
      <c r="G254" s="28"/>
      <c r="H254" s="28"/>
      <c r="I254" s="28"/>
      <c r="J254" s="28"/>
      <c r="K254" s="28"/>
    </row>
    <row r="255" spans="1:11" x14ac:dyDescent="0.25">
      <c r="A255" s="28"/>
      <c r="B255" s="28"/>
      <c r="C255" s="28"/>
      <c r="D255" s="28"/>
      <c r="E255" s="28"/>
      <c r="F255" s="28"/>
      <c r="G255" s="28"/>
      <c r="H255" s="28"/>
      <c r="I255" s="28"/>
      <c r="J255" s="28"/>
      <c r="K255" s="28"/>
    </row>
    <row r="256" spans="1:11" x14ac:dyDescent="0.25">
      <c r="A256" s="28"/>
      <c r="B256" s="28"/>
      <c r="C256" s="28"/>
      <c r="D256" s="28"/>
      <c r="E256" s="28"/>
      <c r="F256" s="28"/>
      <c r="G256" s="28"/>
      <c r="H256" s="28"/>
      <c r="I256" s="28"/>
      <c r="J256" s="28"/>
      <c r="K256" s="28"/>
    </row>
    <row r="257" spans="1:11" x14ac:dyDescent="0.25">
      <c r="A257" s="28"/>
      <c r="B257" s="28"/>
      <c r="C257" s="28"/>
      <c r="D257" s="28"/>
      <c r="E257" s="28"/>
      <c r="F257" s="28"/>
      <c r="G257" s="28"/>
      <c r="H257" s="28"/>
      <c r="I257" s="28"/>
      <c r="J257" s="28"/>
      <c r="K257" s="28"/>
    </row>
    <row r="258" spans="1:11" x14ac:dyDescent="0.25">
      <c r="A258" s="28"/>
      <c r="B258" s="28"/>
      <c r="C258" s="28"/>
      <c r="D258" s="28"/>
      <c r="E258" s="28"/>
      <c r="F258" s="28"/>
      <c r="G258" s="28"/>
      <c r="H258" s="28"/>
      <c r="I258" s="28"/>
      <c r="J258" s="28"/>
      <c r="K258" s="28"/>
    </row>
    <row r="259" spans="1:11" x14ac:dyDescent="0.25">
      <c r="A259" s="28"/>
      <c r="B259" s="28"/>
      <c r="C259" s="28"/>
      <c r="D259" s="28"/>
      <c r="E259" s="28"/>
      <c r="F259" s="28"/>
      <c r="G259" s="28"/>
      <c r="H259" s="28"/>
      <c r="I259" s="28"/>
      <c r="J259" s="28"/>
      <c r="K259" s="28"/>
    </row>
    <row r="260" spans="1:11" x14ac:dyDescent="0.25">
      <c r="A260" s="28"/>
      <c r="B260" s="28"/>
      <c r="C260" s="28"/>
      <c r="D260" s="28"/>
      <c r="E260" s="28"/>
      <c r="F260" s="28"/>
      <c r="G260" s="28"/>
      <c r="H260" s="28"/>
      <c r="I260" s="28"/>
      <c r="J260" s="28"/>
      <c r="K260" s="28"/>
    </row>
    <row r="261" spans="1:11" x14ac:dyDescent="0.25">
      <c r="A261" s="28"/>
      <c r="B261" s="28"/>
      <c r="C261" s="28"/>
      <c r="D261" s="28"/>
      <c r="E261" s="28"/>
      <c r="F261" s="28"/>
      <c r="G261" s="28"/>
      <c r="H261" s="28"/>
      <c r="I261" s="28"/>
      <c r="J261" s="28"/>
      <c r="K261" s="28"/>
    </row>
    <row r="262" spans="1:11" x14ac:dyDescent="0.25">
      <c r="A262" s="28"/>
      <c r="B262" s="28"/>
      <c r="C262" s="28"/>
      <c r="D262" s="28"/>
      <c r="E262" s="28"/>
      <c r="F262" s="28"/>
      <c r="G262" s="28"/>
      <c r="H262" s="28"/>
      <c r="I262" s="28"/>
      <c r="J262" s="28"/>
      <c r="K262" s="28"/>
    </row>
    <row r="263" spans="1:11" x14ac:dyDescent="0.25">
      <c r="A263" s="28"/>
      <c r="B263" s="28"/>
      <c r="C263" s="28"/>
      <c r="D263" s="28"/>
      <c r="E263" s="28"/>
      <c r="F263" s="28"/>
      <c r="G263" s="28"/>
      <c r="H263" s="28"/>
      <c r="I263" s="28"/>
      <c r="J263" s="28"/>
      <c r="K263" s="28"/>
    </row>
    <row r="264" spans="1:11" x14ac:dyDescent="0.25">
      <c r="A264" s="28"/>
      <c r="B264" s="28"/>
      <c r="C264" s="28"/>
      <c r="D264" s="28"/>
      <c r="E264" s="28"/>
      <c r="F264" s="28"/>
      <c r="G264" s="28"/>
      <c r="H264" s="28"/>
      <c r="I264" s="28"/>
      <c r="J264" s="28"/>
      <c r="K264" s="28"/>
    </row>
    <row r="265" spans="1:11" x14ac:dyDescent="0.25">
      <c r="A265" s="28"/>
      <c r="B265" s="28"/>
      <c r="C265" s="28"/>
      <c r="D265" s="28"/>
      <c r="E265" s="28"/>
      <c r="F265" s="28"/>
      <c r="G265" s="28"/>
      <c r="H265" s="28"/>
      <c r="I265" s="28"/>
      <c r="J265" s="28"/>
      <c r="K265" s="28"/>
    </row>
    <row r="266" spans="1:11" x14ac:dyDescent="0.25">
      <c r="A266" s="28"/>
      <c r="B266" s="28"/>
      <c r="C266" s="28"/>
      <c r="D266" s="28"/>
      <c r="E266" s="28"/>
      <c r="F266" s="28"/>
      <c r="G266" s="28"/>
      <c r="H266" s="28"/>
      <c r="I266" s="28"/>
      <c r="J266" s="28"/>
      <c r="K266" s="28"/>
    </row>
    <row r="267" spans="1:11" x14ac:dyDescent="0.25">
      <c r="A267" s="28"/>
      <c r="B267" s="28"/>
      <c r="C267" s="28"/>
      <c r="D267" s="28"/>
      <c r="E267" s="28"/>
      <c r="F267" s="28"/>
      <c r="G267" s="28"/>
      <c r="H267" s="28"/>
      <c r="I267" s="28"/>
      <c r="J267" s="28"/>
      <c r="K267" s="28"/>
    </row>
    <row r="268" spans="1:11" x14ac:dyDescent="0.25">
      <c r="A268" s="28"/>
      <c r="B268" s="28"/>
      <c r="C268" s="28"/>
      <c r="D268" s="28"/>
      <c r="E268" s="28"/>
      <c r="F268" s="28"/>
      <c r="G268" s="28"/>
      <c r="H268" s="28"/>
      <c r="I268" s="28"/>
      <c r="J268" s="28"/>
      <c r="K268" s="28"/>
    </row>
    <row r="269" spans="1:11" x14ac:dyDescent="0.25">
      <c r="A269" s="107" t="s">
        <v>0</v>
      </c>
      <c r="B269" s="108"/>
      <c r="C269" s="108"/>
      <c r="D269" s="108"/>
      <c r="E269" s="108"/>
      <c r="F269" s="108"/>
      <c r="G269" s="109"/>
      <c r="H269" s="28"/>
      <c r="I269" s="116" t="s">
        <v>1</v>
      </c>
      <c r="J269" s="148" t="str">
        <f>$J$6</f>
        <v>04567</v>
      </c>
      <c r="K269" s="119"/>
    </row>
    <row r="270" spans="1:11" x14ac:dyDescent="0.25">
      <c r="A270" s="110"/>
      <c r="B270" s="111"/>
      <c r="C270" s="111"/>
      <c r="D270" s="111"/>
      <c r="E270" s="111"/>
      <c r="F270" s="111"/>
      <c r="G270" s="112"/>
      <c r="H270" s="28"/>
      <c r="I270" s="117"/>
      <c r="J270" s="120"/>
      <c r="K270" s="121"/>
    </row>
    <row r="271" spans="1:11" x14ac:dyDescent="0.25">
      <c r="A271" s="110"/>
      <c r="B271" s="111"/>
      <c r="C271" s="111"/>
      <c r="D271" s="111"/>
      <c r="E271" s="111"/>
      <c r="F271" s="111"/>
      <c r="G271" s="112"/>
      <c r="H271" s="28"/>
      <c r="I271" s="122" t="s">
        <v>123</v>
      </c>
      <c r="J271" s="123"/>
      <c r="K271" s="124"/>
    </row>
    <row r="272" spans="1:11" x14ac:dyDescent="0.25">
      <c r="A272" s="113"/>
      <c r="B272" s="114"/>
      <c r="C272" s="114"/>
      <c r="D272" s="114"/>
      <c r="E272" s="114"/>
      <c r="F272" s="114"/>
      <c r="G272" s="115"/>
      <c r="H272" s="28"/>
      <c r="I272" s="125"/>
      <c r="J272" s="126"/>
      <c r="K272" s="127"/>
    </row>
    <row r="273" spans="1:11" x14ac:dyDescent="0.25">
      <c r="A273" s="28"/>
      <c r="B273" s="28"/>
      <c r="C273" s="28"/>
      <c r="D273" s="28"/>
      <c r="E273" s="28"/>
      <c r="F273" s="28"/>
      <c r="G273" s="28"/>
      <c r="H273" s="28"/>
      <c r="I273" s="28"/>
      <c r="J273" s="28"/>
      <c r="K273" s="28"/>
    </row>
    <row r="274" spans="1:11" ht="15.75" x14ac:dyDescent="0.25">
      <c r="A274" s="101" t="s">
        <v>333</v>
      </c>
      <c r="B274" s="101"/>
      <c r="C274" s="101"/>
      <c r="D274" s="101"/>
      <c r="E274" s="101"/>
      <c r="F274" s="101"/>
      <c r="G274" s="101"/>
      <c r="H274" s="101"/>
      <c r="I274" s="101"/>
      <c r="J274" s="101"/>
      <c r="K274" s="101"/>
    </row>
    <row r="275" spans="1:11" x14ac:dyDescent="0.25">
      <c r="A275" s="102" t="s">
        <v>115</v>
      </c>
      <c r="B275" s="102"/>
      <c r="C275" s="28"/>
      <c r="D275" s="28"/>
      <c r="E275" s="28"/>
      <c r="F275" s="28"/>
      <c r="G275" s="28"/>
      <c r="H275" s="28"/>
      <c r="I275" s="28"/>
      <c r="J275" s="28"/>
      <c r="K275" s="28"/>
    </row>
    <row r="276" spans="1:11" x14ac:dyDescent="0.25">
      <c r="A276" s="28"/>
      <c r="B276" s="28"/>
      <c r="C276" s="28"/>
      <c r="D276" s="28"/>
      <c r="E276" s="28"/>
      <c r="F276" s="28"/>
      <c r="G276" s="28"/>
      <c r="H276" s="28"/>
      <c r="I276" s="28"/>
      <c r="J276" s="28"/>
      <c r="K276" s="28"/>
    </row>
    <row r="277" spans="1:11" x14ac:dyDescent="0.25">
      <c r="A277" s="157" t="s">
        <v>334</v>
      </c>
      <c r="B277" s="157"/>
      <c r="C277" s="157"/>
      <c r="D277" s="157"/>
      <c r="E277" s="157"/>
      <c r="F277" s="157"/>
      <c r="G277" s="157"/>
      <c r="H277" s="157"/>
      <c r="I277" s="157"/>
      <c r="J277" s="157"/>
      <c r="K277" s="157"/>
    </row>
    <row r="278" spans="1:11" x14ac:dyDescent="0.25">
      <c r="A278" s="157"/>
      <c r="B278" s="157"/>
      <c r="C278" s="157"/>
      <c r="D278" s="157"/>
      <c r="E278" s="157"/>
      <c r="F278" s="157"/>
      <c r="G278" s="157"/>
      <c r="H278" s="157"/>
      <c r="I278" s="157"/>
      <c r="J278" s="157"/>
      <c r="K278" s="157"/>
    </row>
    <row r="279" spans="1:11" x14ac:dyDescent="0.25">
      <c r="A279" s="157"/>
      <c r="B279" s="157"/>
      <c r="C279" s="157"/>
      <c r="D279" s="157"/>
      <c r="E279" s="157"/>
      <c r="F279" s="157"/>
      <c r="G279" s="157"/>
      <c r="H279" s="157"/>
      <c r="I279" s="157"/>
      <c r="J279" s="157"/>
      <c r="K279" s="157"/>
    </row>
    <row r="280" spans="1:11" x14ac:dyDescent="0.25">
      <c r="A280" s="104" t="s">
        <v>335</v>
      </c>
      <c r="B280" s="104"/>
      <c r="C280" s="104"/>
      <c r="D280" s="104"/>
      <c r="E280" s="104"/>
      <c r="F280" s="104"/>
      <c r="G280" s="104"/>
      <c r="H280" s="104"/>
      <c r="I280" s="104"/>
      <c r="J280" s="104"/>
      <c r="K280" s="104"/>
    </row>
    <row r="281" spans="1:11" x14ac:dyDescent="0.25">
      <c r="A281" s="54" t="str">
        <f>IF(E25="A","Frequency 400Hz.","Frequency 60Hz.")</f>
        <v>Frequency 400Hz.</v>
      </c>
      <c r="B281" s="54"/>
      <c r="C281" s="54"/>
      <c r="D281" s="54"/>
      <c r="E281" s="54"/>
      <c r="F281" s="54"/>
      <c r="G281" s="54"/>
      <c r="H281" s="54"/>
      <c r="I281" s="54"/>
      <c r="J281" s="54"/>
      <c r="K281" s="54"/>
    </row>
    <row r="282" spans="1:11" x14ac:dyDescent="0.25">
      <c r="A282" s="28"/>
      <c r="B282" s="28"/>
      <c r="C282" s="28"/>
      <c r="D282" s="28"/>
      <c r="E282" s="28"/>
      <c r="F282" s="28"/>
      <c r="G282" s="28"/>
      <c r="H282" s="28"/>
      <c r="I282" s="28"/>
      <c r="J282" s="28"/>
      <c r="K282" s="28"/>
    </row>
    <row r="283" spans="1:11" ht="46.5" customHeight="1" x14ac:dyDescent="0.25">
      <c r="A283" s="71" t="s">
        <v>152</v>
      </c>
      <c r="B283" s="196" t="s">
        <v>336</v>
      </c>
      <c r="C283" s="197"/>
      <c r="D283" s="71" t="s">
        <v>152</v>
      </c>
      <c r="E283" s="196" t="s">
        <v>337</v>
      </c>
      <c r="F283" s="197"/>
      <c r="G283" s="71" t="s">
        <v>152</v>
      </c>
      <c r="H283" s="196" t="s">
        <v>339</v>
      </c>
      <c r="I283" s="197"/>
      <c r="J283" s="196" t="s">
        <v>150</v>
      </c>
      <c r="K283" s="197"/>
    </row>
    <row r="284" spans="1:11" ht="19.149999999999999" customHeight="1" x14ac:dyDescent="0.25">
      <c r="A284" s="48" t="s">
        <v>153</v>
      </c>
      <c r="B284" s="187" t="s">
        <v>153</v>
      </c>
      <c r="C284" s="189"/>
      <c r="D284" s="48" t="s">
        <v>153</v>
      </c>
      <c r="E284" s="187" t="s">
        <v>153</v>
      </c>
      <c r="F284" s="189"/>
      <c r="G284" s="48" t="s">
        <v>153</v>
      </c>
      <c r="H284" s="187" t="s">
        <v>153</v>
      </c>
      <c r="I284" s="189"/>
      <c r="J284" s="187" t="s">
        <v>154</v>
      </c>
      <c r="K284" s="189"/>
    </row>
    <row r="285" spans="1:11" ht="19.149999999999999" customHeight="1" x14ac:dyDescent="0.25">
      <c r="A285" s="52" t="e">
        <f>VLOOKUP($D$28,'2PhT data'!A:N,7,0)</f>
        <v>#N/A</v>
      </c>
      <c r="B285" s="190"/>
      <c r="C285" s="191"/>
      <c r="D285" s="52" t="e">
        <f t="shared" ref="D285:D292" si="7">IF(A285&gt;$A$292/2,"N/A",A285)</f>
        <v>#N/A</v>
      </c>
      <c r="E285" s="190"/>
      <c r="F285" s="191"/>
      <c r="G285" s="52" t="e">
        <f t="shared" ref="G285:G292" si="8">IF(A285&gt;$A$292/$D$32,"N/A",A285)</f>
        <v>#N/A</v>
      </c>
      <c r="H285" s="192"/>
      <c r="I285" s="193"/>
      <c r="J285" s="172" t="e">
        <f>IF($K$322="LMX",VLOOKUP($B$323,'2PhT data'!A:Q,17,0)*0.1/100,IF($K$322="UPC1",VLOOKUP($B$323,'2PhT data'!A:S,19,0)*0.2/100,VLOOKUP($B$323,'2PhT data'!A:S,19,0)*0.1/100+0.25/100*A285))</f>
        <v>#N/A</v>
      </c>
      <c r="K285" s="173"/>
    </row>
    <row r="286" spans="1:11" ht="19.149999999999999" customHeight="1" x14ac:dyDescent="0.25">
      <c r="A286" s="52" t="e">
        <f>VLOOKUP($D$28,'2PhT data'!A:N,8,0)</f>
        <v>#N/A</v>
      </c>
      <c r="B286" s="190"/>
      <c r="C286" s="191"/>
      <c r="D286" s="52" t="e">
        <f t="shared" si="7"/>
        <v>#N/A</v>
      </c>
      <c r="E286" s="190"/>
      <c r="F286" s="191"/>
      <c r="G286" s="52" t="e">
        <f t="shared" si="8"/>
        <v>#N/A</v>
      </c>
      <c r="H286" s="192"/>
      <c r="I286" s="193"/>
      <c r="J286" s="172" t="e">
        <f>IF($K$322="LMX",VLOOKUP($B$323,'2PhT data'!A:Q,17,0)*0.1/100,IF($K$322="UPC1",VLOOKUP($B$323,'2PhT data'!A:S,19,0)*0.2/100,VLOOKUP($B$323,'2PhT data'!A:S,19,0)*0.1/100+0.25/100*A286))</f>
        <v>#N/A</v>
      </c>
      <c r="K286" s="173"/>
    </row>
    <row r="287" spans="1:11" ht="19.149999999999999" customHeight="1" x14ac:dyDescent="0.25">
      <c r="A287" s="52" t="e">
        <f>VLOOKUP($D$28,'2PhT data'!A:N,9,0)</f>
        <v>#N/A</v>
      </c>
      <c r="B287" s="190"/>
      <c r="C287" s="191"/>
      <c r="D287" s="52" t="e">
        <f t="shared" si="7"/>
        <v>#N/A</v>
      </c>
      <c r="E287" s="190"/>
      <c r="F287" s="191"/>
      <c r="G287" s="52" t="e">
        <f t="shared" si="8"/>
        <v>#N/A</v>
      </c>
      <c r="H287" s="192"/>
      <c r="I287" s="193"/>
      <c r="J287" s="172" t="e">
        <f>IF($K$322="LMX",VLOOKUP($B$323,'2PhT data'!A:Q,17,0)*0.1/100,IF($K$322="UPC1",VLOOKUP($B$323,'2PhT data'!A:S,19,0)*0.2/100,VLOOKUP($B$323,'2PhT data'!A:S,19,0)*0.1/100+0.25/100*A287))</f>
        <v>#N/A</v>
      </c>
      <c r="K287" s="173"/>
    </row>
    <row r="288" spans="1:11" ht="19.149999999999999" customHeight="1" x14ac:dyDescent="0.25">
      <c r="A288" s="52" t="e">
        <f>VLOOKUP($D$28,'2PhT data'!A:N,10,0)</f>
        <v>#N/A</v>
      </c>
      <c r="B288" s="190"/>
      <c r="C288" s="191"/>
      <c r="D288" s="52" t="e">
        <f t="shared" si="7"/>
        <v>#N/A</v>
      </c>
      <c r="E288" s="190"/>
      <c r="F288" s="191"/>
      <c r="G288" s="52" t="e">
        <f t="shared" si="8"/>
        <v>#N/A</v>
      </c>
      <c r="H288" s="192"/>
      <c r="I288" s="193"/>
      <c r="J288" s="172" t="e">
        <f>IF($K$322="LMX",VLOOKUP($B$323,'2PhT data'!A:Q,17,0)*0.1/100,IF($K$322="UPC1",VLOOKUP($B$323,'2PhT data'!A:S,19,0)*0.2/100,VLOOKUP($B$323,'2PhT data'!A:S,19,0)*0.1/100+0.25/100*A288))</f>
        <v>#N/A</v>
      </c>
      <c r="K288" s="173"/>
    </row>
    <row r="289" spans="1:11" ht="19.149999999999999" customHeight="1" x14ac:dyDescent="0.25">
      <c r="A289" s="52" t="e">
        <f>VLOOKUP($D$28,'2PhT data'!A:N,11,0)</f>
        <v>#N/A</v>
      </c>
      <c r="B289" s="190"/>
      <c r="C289" s="191"/>
      <c r="D289" s="52" t="e">
        <f t="shared" si="7"/>
        <v>#N/A</v>
      </c>
      <c r="E289" s="190"/>
      <c r="F289" s="191"/>
      <c r="G289" s="52" t="e">
        <f t="shared" si="8"/>
        <v>#N/A</v>
      </c>
      <c r="H289" s="192"/>
      <c r="I289" s="193"/>
      <c r="J289" s="172" t="e">
        <f>IF($K$322="LMX",VLOOKUP($B$323,'2PhT data'!A:Q,17,0)*0.1/100,IF($K$322="UPC1",VLOOKUP($B$323,'2PhT data'!A:S,19,0)*0.2/100,VLOOKUP($B$323,'2PhT data'!A:S,19,0)*0.1/100+0.25/100*A289))</f>
        <v>#N/A</v>
      </c>
      <c r="K289" s="173"/>
    </row>
    <row r="290" spans="1:11" ht="19.149999999999999" customHeight="1" x14ac:dyDescent="0.25">
      <c r="A290" s="52" t="e">
        <f>VLOOKUP($D$28,'2PhT data'!A:N,12,0)</f>
        <v>#N/A</v>
      </c>
      <c r="B290" s="190"/>
      <c r="C290" s="191"/>
      <c r="D290" s="52" t="e">
        <f t="shared" si="7"/>
        <v>#N/A</v>
      </c>
      <c r="E290" s="190"/>
      <c r="F290" s="191"/>
      <c r="G290" s="52" t="e">
        <f t="shared" si="8"/>
        <v>#N/A</v>
      </c>
      <c r="H290" s="192"/>
      <c r="I290" s="193"/>
      <c r="J290" s="172" t="e">
        <f>IF($K$322="LMX",VLOOKUP($B$323,'2PhT data'!A:Q,17,0)*0.1/100,IF($K$322="UPC1",VLOOKUP($B$323,'2PhT data'!A:S,19,0)*0.2/100,VLOOKUP($B$323,'2PhT data'!A:S,19,0)*0.1/100+0.25/100*A290))</f>
        <v>#N/A</v>
      </c>
      <c r="K290" s="173"/>
    </row>
    <row r="291" spans="1:11" ht="19.149999999999999" customHeight="1" x14ac:dyDescent="0.25">
      <c r="A291" s="52" t="e">
        <f>VLOOKUP($D$28,'2PhT data'!A:N,13,0)</f>
        <v>#N/A</v>
      </c>
      <c r="B291" s="190"/>
      <c r="C291" s="191"/>
      <c r="D291" s="52" t="e">
        <f t="shared" si="7"/>
        <v>#N/A</v>
      </c>
      <c r="E291" s="190"/>
      <c r="F291" s="191"/>
      <c r="G291" s="52" t="e">
        <f t="shared" si="8"/>
        <v>#N/A</v>
      </c>
      <c r="H291" s="192"/>
      <c r="I291" s="193"/>
      <c r="J291" s="172" t="e">
        <f>IF($K$322="LMX",VLOOKUP($B$323,'2PhT data'!A:Q,17,0)*0.1/100,IF($K$322="UPC1",VLOOKUP($B$323,'2PhT data'!A:S,19,0)*0.2/100,VLOOKUP($B$323,'2PhT data'!A:S,19,0)*0.1/100+0.25/100*A291))</f>
        <v>#N/A</v>
      </c>
      <c r="K291" s="173"/>
    </row>
    <row r="292" spans="1:11" ht="19.149999999999999" customHeight="1" x14ac:dyDescent="0.25">
      <c r="A292" s="52" t="e">
        <f>VLOOKUP($D$28,'2PhT data'!A:N,14,0)</f>
        <v>#N/A</v>
      </c>
      <c r="B292" s="190"/>
      <c r="C292" s="191"/>
      <c r="D292" s="52" t="e">
        <f t="shared" si="7"/>
        <v>#N/A</v>
      </c>
      <c r="E292" s="190"/>
      <c r="F292" s="191"/>
      <c r="G292" s="52" t="e">
        <f t="shared" si="8"/>
        <v>#N/A</v>
      </c>
      <c r="H292" s="192"/>
      <c r="I292" s="193"/>
      <c r="J292" s="172" t="e">
        <f>IF($K$322="LMX",VLOOKUP($B$323,'2PhT data'!A:Q,17,0)*0.1/100,IF($K$322="UPC1",VLOOKUP($B$323,'2PhT data'!A:S,19,0)*0.2/100,VLOOKUP($B$323,'2PhT data'!A:S,19,0)*0.1/100+0.25/100*A292))</f>
        <v>#N/A</v>
      </c>
      <c r="K292" s="173"/>
    </row>
    <row r="293" spans="1:11" x14ac:dyDescent="0.25">
      <c r="A293" s="28"/>
      <c r="B293" s="28"/>
      <c r="C293" s="28"/>
      <c r="D293" s="28"/>
      <c r="E293" s="28"/>
      <c r="F293" s="28"/>
      <c r="G293" s="28"/>
      <c r="H293" s="28"/>
      <c r="I293" s="28"/>
      <c r="J293" s="28"/>
      <c r="K293" s="28"/>
    </row>
    <row r="294" spans="1:11" ht="15.75" x14ac:dyDescent="0.25">
      <c r="A294" s="8" t="s">
        <v>124</v>
      </c>
      <c r="B294" s="28"/>
      <c r="C294" s="28" t="s">
        <v>156</v>
      </c>
      <c r="D294" s="28"/>
      <c r="E294" s="28"/>
      <c r="F294" s="28"/>
      <c r="G294" s="28"/>
      <c r="H294" s="28"/>
      <c r="I294" s="28"/>
      <c r="J294" s="28"/>
      <c r="K294" s="28"/>
    </row>
    <row r="295" spans="1:11" x14ac:dyDescent="0.25">
      <c r="A295" s="28"/>
      <c r="B295" s="28"/>
      <c r="C295" s="28" t="s">
        <v>157</v>
      </c>
      <c r="D295" s="28"/>
      <c r="E295" s="28"/>
      <c r="F295" s="28"/>
      <c r="G295" s="28"/>
      <c r="H295" s="28"/>
      <c r="I295" s="28"/>
      <c r="J295" s="28"/>
      <c r="K295" s="28"/>
    </row>
    <row r="296" spans="1:11" x14ac:dyDescent="0.25">
      <c r="A296" s="28"/>
      <c r="B296" s="28"/>
      <c r="C296" s="28"/>
      <c r="D296" s="28"/>
      <c r="E296" s="28"/>
      <c r="F296" s="28"/>
      <c r="G296" s="28"/>
      <c r="H296" s="28"/>
      <c r="I296" s="28"/>
      <c r="J296" s="28"/>
      <c r="K296" s="28"/>
    </row>
    <row r="297" spans="1:11" x14ac:dyDescent="0.25">
      <c r="A297" s="28"/>
      <c r="B297" s="28"/>
      <c r="C297" s="28"/>
      <c r="D297" s="28"/>
      <c r="E297" s="28"/>
      <c r="F297" s="28"/>
      <c r="G297" s="28"/>
      <c r="H297" s="28"/>
      <c r="I297" s="28"/>
      <c r="J297" s="28"/>
      <c r="K297" s="28"/>
    </row>
    <row r="298" spans="1:11" x14ac:dyDescent="0.25">
      <c r="A298" s="28"/>
      <c r="B298" s="28"/>
      <c r="C298" s="28"/>
      <c r="D298" s="28"/>
      <c r="E298" s="28"/>
      <c r="F298" s="28"/>
      <c r="G298" s="28"/>
      <c r="H298" s="28"/>
      <c r="I298" s="28"/>
      <c r="J298" s="28"/>
      <c r="K298" s="28"/>
    </row>
    <row r="299" spans="1:11" x14ac:dyDescent="0.25">
      <c r="A299" s="28"/>
      <c r="B299" s="28"/>
      <c r="C299" s="28"/>
      <c r="D299" s="28"/>
      <c r="E299" s="28"/>
      <c r="F299" s="28"/>
      <c r="G299" s="28"/>
      <c r="H299" s="28"/>
      <c r="I299" s="28"/>
      <c r="J299" s="28"/>
      <c r="K299" s="28"/>
    </row>
    <row r="300" spans="1:11" x14ac:dyDescent="0.25">
      <c r="A300" s="28"/>
      <c r="B300" s="28"/>
      <c r="C300" s="28"/>
      <c r="D300" s="28"/>
      <c r="E300" s="28"/>
      <c r="F300" s="28"/>
      <c r="G300" s="28"/>
      <c r="H300" s="28"/>
      <c r="I300" s="28"/>
      <c r="J300" s="28"/>
      <c r="K300" s="28"/>
    </row>
    <row r="301" spans="1:11" x14ac:dyDescent="0.25">
      <c r="A301" s="28"/>
      <c r="B301" s="28"/>
      <c r="C301" s="28"/>
      <c r="D301" s="28"/>
      <c r="E301" s="28"/>
      <c r="F301" s="28"/>
      <c r="G301" s="28"/>
      <c r="H301" s="28"/>
      <c r="I301" s="28"/>
      <c r="J301" s="28"/>
      <c r="K301" s="28"/>
    </row>
    <row r="302" spans="1:11" x14ac:dyDescent="0.25">
      <c r="A302" s="28"/>
      <c r="B302" s="28"/>
      <c r="C302" s="28"/>
      <c r="D302" s="28"/>
      <c r="E302" s="28"/>
      <c r="F302" s="28"/>
      <c r="G302" s="28"/>
      <c r="H302" s="28"/>
      <c r="I302" s="28"/>
      <c r="J302" s="28"/>
      <c r="K302" s="28"/>
    </row>
    <row r="303" spans="1:11" x14ac:dyDescent="0.25">
      <c r="A303" s="28"/>
      <c r="B303" s="28"/>
      <c r="C303" s="28"/>
      <c r="D303" s="28"/>
      <c r="E303" s="28"/>
      <c r="F303" s="28"/>
      <c r="G303" s="28"/>
      <c r="H303" s="28"/>
      <c r="I303" s="28"/>
      <c r="J303" s="28"/>
      <c r="K303" s="28"/>
    </row>
    <row r="304" spans="1:11" x14ac:dyDescent="0.25">
      <c r="A304" s="28"/>
      <c r="B304" s="28"/>
      <c r="C304" s="28"/>
      <c r="D304" s="28"/>
      <c r="E304" s="28"/>
      <c r="F304" s="28"/>
      <c r="G304" s="28"/>
      <c r="H304" s="28"/>
      <c r="I304" s="28"/>
      <c r="J304" s="28"/>
      <c r="K304" s="28"/>
    </row>
    <row r="305" spans="1:11" x14ac:dyDescent="0.25">
      <c r="A305" s="28"/>
      <c r="B305" s="28"/>
      <c r="C305" s="28"/>
      <c r="D305" s="28"/>
      <c r="E305" s="28"/>
      <c r="F305" s="28"/>
      <c r="G305" s="28"/>
      <c r="H305" s="28"/>
      <c r="I305" s="28"/>
      <c r="J305" s="28"/>
      <c r="K305" s="28"/>
    </row>
    <row r="306" spans="1:11" x14ac:dyDescent="0.25">
      <c r="A306" s="28"/>
      <c r="B306" s="28"/>
      <c r="C306" s="28"/>
      <c r="D306" s="28"/>
      <c r="E306" s="28"/>
      <c r="F306" s="28"/>
      <c r="G306" s="28"/>
      <c r="H306" s="28"/>
      <c r="I306" s="28"/>
      <c r="J306" s="28"/>
      <c r="K306" s="28"/>
    </row>
    <row r="307" spans="1:11" x14ac:dyDescent="0.25">
      <c r="A307" s="28"/>
      <c r="B307" s="28"/>
      <c r="C307" s="28"/>
      <c r="D307" s="28"/>
      <c r="E307" s="28"/>
      <c r="F307" s="28"/>
      <c r="G307" s="28"/>
      <c r="H307" s="28"/>
      <c r="I307" s="28"/>
      <c r="J307" s="28"/>
      <c r="K307" s="28"/>
    </row>
    <row r="308" spans="1:11" x14ac:dyDescent="0.25">
      <c r="A308" s="28"/>
      <c r="B308" s="28"/>
      <c r="C308" s="28"/>
      <c r="D308" s="28"/>
      <c r="E308" s="28"/>
      <c r="F308" s="28"/>
      <c r="G308" s="28"/>
      <c r="H308" s="28"/>
      <c r="I308" s="28"/>
      <c r="J308" s="28"/>
      <c r="K308" s="28"/>
    </row>
    <row r="309" spans="1:11" x14ac:dyDescent="0.25">
      <c r="A309" s="28"/>
      <c r="B309" s="28"/>
      <c r="C309" s="28"/>
      <c r="D309" s="28"/>
      <c r="E309" s="28"/>
      <c r="F309" s="28"/>
      <c r="G309" s="28"/>
      <c r="H309" s="28"/>
      <c r="I309" s="28"/>
      <c r="J309" s="28"/>
      <c r="K309" s="28"/>
    </row>
    <row r="310" spans="1:11" x14ac:dyDescent="0.25">
      <c r="A310" s="28"/>
      <c r="B310" s="28"/>
      <c r="C310" s="28"/>
      <c r="D310" s="28"/>
      <c r="E310" s="28"/>
      <c r="F310" s="28"/>
      <c r="G310" s="28"/>
      <c r="H310" s="28"/>
      <c r="I310" s="28"/>
      <c r="J310" s="28"/>
      <c r="K310" s="28"/>
    </row>
    <row r="311" spans="1:11" x14ac:dyDescent="0.25">
      <c r="A311" s="28"/>
      <c r="B311" s="28"/>
      <c r="C311" s="28"/>
      <c r="D311" s="28"/>
      <c r="E311" s="28"/>
      <c r="F311" s="28"/>
      <c r="G311" s="28"/>
      <c r="H311" s="28"/>
      <c r="I311" s="28"/>
      <c r="J311" s="28"/>
      <c r="K311" s="28"/>
    </row>
    <row r="312" spans="1:11" x14ac:dyDescent="0.25">
      <c r="A312" s="28"/>
      <c r="B312" s="28"/>
      <c r="C312" s="28"/>
      <c r="D312" s="28"/>
      <c r="E312" s="28"/>
      <c r="F312" s="28"/>
      <c r="G312" s="28"/>
      <c r="H312" s="28"/>
      <c r="I312" s="28"/>
      <c r="J312" s="28"/>
      <c r="K312" s="28"/>
    </row>
    <row r="313" spans="1:11" x14ac:dyDescent="0.25">
      <c r="A313" s="28"/>
      <c r="B313" s="28"/>
      <c r="C313" s="28"/>
      <c r="D313" s="28"/>
      <c r="E313" s="28"/>
      <c r="F313" s="28"/>
      <c r="G313" s="28"/>
      <c r="H313" s="28"/>
      <c r="I313" s="28"/>
      <c r="J313" s="28"/>
      <c r="K313" s="28"/>
    </row>
    <row r="314" spans="1:11" x14ac:dyDescent="0.25">
      <c r="A314" s="28"/>
      <c r="B314" s="28"/>
      <c r="C314" s="28"/>
      <c r="D314" s="28"/>
      <c r="E314" s="28"/>
      <c r="F314" s="28"/>
      <c r="G314" s="28"/>
      <c r="H314" s="28"/>
      <c r="I314" s="28"/>
      <c r="J314" s="28"/>
      <c r="K314" s="28"/>
    </row>
    <row r="315" spans="1:11" x14ac:dyDescent="0.25">
      <c r="A315" s="28"/>
      <c r="B315" s="28"/>
      <c r="C315" s="28"/>
      <c r="D315" s="28"/>
      <c r="E315" s="28"/>
      <c r="F315" s="28"/>
      <c r="G315" s="28"/>
      <c r="H315" s="28"/>
      <c r="I315" s="28"/>
      <c r="J315" s="28"/>
      <c r="K315" s="28"/>
    </row>
    <row r="316" spans="1:11" x14ac:dyDescent="0.25">
      <c r="A316" s="28"/>
      <c r="B316" s="28"/>
      <c r="C316" s="28"/>
      <c r="D316" s="28"/>
      <c r="E316" s="28"/>
      <c r="F316" s="28"/>
      <c r="G316" s="28"/>
      <c r="H316" s="28"/>
      <c r="I316" s="28"/>
      <c r="J316" s="28"/>
      <c r="K316" s="28"/>
    </row>
    <row r="317" spans="1:11" x14ac:dyDescent="0.25">
      <c r="A317" s="28"/>
      <c r="B317" s="28"/>
      <c r="C317" s="28"/>
      <c r="D317" s="28"/>
      <c r="E317" s="28"/>
      <c r="F317" s="28"/>
      <c r="G317" s="28"/>
      <c r="H317" s="28"/>
      <c r="I317" s="28"/>
      <c r="J317" s="28"/>
      <c r="K317" s="28"/>
    </row>
    <row r="318" spans="1:11" x14ac:dyDescent="0.25">
      <c r="A318" s="153" t="s">
        <v>158</v>
      </c>
      <c r="B318" s="153"/>
      <c r="C318" s="153"/>
      <c r="D318" s="153"/>
      <c r="E318" s="153"/>
      <c r="F318" s="153"/>
      <c r="G318" s="153"/>
      <c r="H318" s="153"/>
      <c r="I318" s="153"/>
      <c r="J318" s="153"/>
      <c r="K318" s="153"/>
    </row>
    <row r="319" spans="1:11" x14ac:dyDescent="0.25">
      <c r="A319" s="28"/>
      <c r="B319" s="28"/>
      <c r="C319" s="28"/>
      <c r="D319" s="28"/>
      <c r="E319" s="28"/>
      <c r="F319" s="28"/>
      <c r="G319" s="28"/>
      <c r="H319" s="28"/>
      <c r="I319" s="28"/>
      <c r="J319" s="28"/>
      <c r="K319" s="28"/>
    </row>
    <row r="320" spans="1:11" x14ac:dyDescent="0.25">
      <c r="A320" s="177" t="s">
        <v>163</v>
      </c>
      <c r="B320" s="177"/>
      <c r="C320" s="177"/>
      <c r="D320" s="177"/>
      <c r="E320" s="177"/>
      <c r="F320" s="177"/>
      <c r="G320" s="177"/>
      <c r="H320" s="177"/>
      <c r="I320" s="177"/>
      <c r="J320" s="177"/>
      <c r="K320" s="177"/>
    </row>
    <row r="321" spans="1:11" x14ac:dyDescent="0.25">
      <c r="A321" s="177"/>
      <c r="B321" s="177"/>
      <c r="C321" s="177"/>
      <c r="D321" s="177"/>
      <c r="E321" s="177"/>
      <c r="F321" s="177"/>
      <c r="G321" s="177"/>
      <c r="H321" s="177"/>
      <c r="I321" s="177"/>
      <c r="J321" s="177"/>
      <c r="K321" s="177"/>
    </row>
    <row r="322" spans="1:11" x14ac:dyDescent="0.25">
      <c r="A322" s="50" t="s">
        <v>164</v>
      </c>
      <c r="B322" s="178" t="str">
        <f>D17</f>
        <v>Caltest Instruments Ltd</v>
      </c>
      <c r="C322" s="178"/>
      <c r="D322" s="178"/>
      <c r="E322" s="178"/>
      <c r="F322" s="50" t="s">
        <v>165</v>
      </c>
      <c r="G322" s="178">
        <f>D30</f>
        <v>1243</v>
      </c>
      <c r="H322" s="178"/>
      <c r="I322" s="39" t="s">
        <v>214</v>
      </c>
      <c r="J322" s="39"/>
      <c r="K322" s="39" t="e">
        <f>VLOOKUP(B323,'2PhT data'!A:C,3,0)</f>
        <v>#N/A</v>
      </c>
    </row>
    <row r="323" spans="1:11" x14ac:dyDescent="0.25">
      <c r="A323" s="50" t="s">
        <v>83</v>
      </c>
      <c r="B323" s="178" t="str">
        <f>D28</f>
        <v/>
      </c>
      <c r="C323" s="178"/>
      <c r="D323" s="178"/>
      <c r="E323" s="178"/>
      <c r="F323" s="50" t="s">
        <v>166</v>
      </c>
      <c r="G323" s="179">
        <f>D35</f>
        <v>44175</v>
      </c>
      <c r="H323" s="179"/>
      <c r="I323" s="39" t="s">
        <v>233</v>
      </c>
      <c r="J323" s="39"/>
      <c r="K323" s="39" t="e">
        <f>VLOOKUP(B323,'2PhT data'!A:C,2,0)</f>
        <v>#N/A</v>
      </c>
    </row>
    <row r="324" spans="1:11" x14ac:dyDescent="0.25">
      <c r="A324" s="28"/>
      <c r="B324" s="28"/>
      <c r="C324" s="28"/>
      <c r="D324" s="28"/>
      <c r="E324" s="28"/>
      <c r="F324" s="28"/>
      <c r="G324" s="28"/>
      <c r="H324" s="28"/>
      <c r="I324" s="28"/>
      <c r="J324" s="28"/>
      <c r="K324" s="28"/>
    </row>
    <row r="325" spans="1:11" x14ac:dyDescent="0.25">
      <c r="A325" s="175" t="s">
        <v>167</v>
      </c>
      <c r="B325" s="175"/>
      <c r="C325" s="175"/>
      <c r="D325" s="175"/>
      <c r="E325" s="175"/>
      <c r="F325" s="175"/>
      <c r="G325" s="175"/>
      <c r="H325" s="175"/>
      <c r="I325" s="175"/>
      <c r="J325" s="175"/>
      <c r="K325" s="175"/>
    </row>
    <row r="326" spans="1:11" x14ac:dyDescent="0.25">
      <c r="A326" s="39" t="s">
        <v>168</v>
      </c>
      <c r="B326" s="39" t="s">
        <v>12</v>
      </c>
      <c r="C326" s="176" t="s">
        <v>169</v>
      </c>
      <c r="D326" s="176"/>
      <c r="E326" s="39" t="s">
        <v>12</v>
      </c>
      <c r="F326" s="176" t="s">
        <v>169</v>
      </c>
      <c r="G326" s="176"/>
      <c r="H326" s="39" t="s">
        <v>12</v>
      </c>
      <c r="I326" s="176" t="s">
        <v>169</v>
      </c>
      <c r="J326" s="176"/>
      <c r="K326" s="39"/>
    </row>
    <row r="327" spans="1:11" x14ac:dyDescent="0.25">
      <c r="A327" s="39" t="s">
        <v>170</v>
      </c>
      <c r="B327" s="39" t="s">
        <v>173</v>
      </c>
      <c r="C327" s="176"/>
      <c r="D327" s="176"/>
      <c r="E327" s="39" t="s">
        <v>174</v>
      </c>
      <c r="F327" s="176"/>
      <c r="G327" s="176"/>
      <c r="H327" s="39" t="s">
        <v>175</v>
      </c>
      <c r="I327" s="176"/>
      <c r="J327" s="176"/>
      <c r="K327" s="39"/>
    </row>
    <row r="328" spans="1:11" x14ac:dyDescent="0.25">
      <c r="A328" s="39" t="s">
        <v>171</v>
      </c>
      <c r="B328" s="39" t="s">
        <v>173</v>
      </c>
      <c r="C328" s="176"/>
      <c r="D328" s="176"/>
      <c r="E328" s="39" t="s">
        <v>174</v>
      </c>
      <c r="F328" s="176"/>
      <c r="G328" s="176"/>
      <c r="H328" s="39" t="s">
        <v>175</v>
      </c>
      <c r="I328" s="176"/>
      <c r="J328" s="176"/>
      <c r="K328" s="39"/>
    </row>
    <row r="329" spans="1:11" x14ac:dyDescent="0.25">
      <c r="A329" s="39" t="s">
        <v>170</v>
      </c>
      <c r="B329" s="39" t="s">
        <v>173</v>
      </c>
      <c r="C329" s="176"/>
      <c r="D329" s="176"/>
      <c r="E329" s="39" t="s">
        <v>174</v>
      </c>
      <c r="F329" s="176"/>
      <c r="G329" s="176"/>
      <c r="H329" s="39" t="s">
        <v>175</v>
      </c>
      <c r="I329" s="176"/>
      <c r="J329" s="176"/>
      <c r="K329" s="39"/>
    </row>
    <row r="330" spans="1:11" x14ac:dyDescent="0.25">
      <c r="A330" s="39" t="s">
        <v>172</v>
      </c>
      <c r="B330" s="39" t="s">
        <v>173</v>
      </c>
      <c r="C330" s="176"/>
      <c r="D330" s="176"/>
      <c r="E330" s="39" t="s">
        <v>174</v>
      </c>
      <c r="F330" s="176"/>
      <c r="G330" s="176"/>
      <c r="H330" s="39" t="s">
        <v>175</v>
      </c>
      <c r="I330" s="176"/>
      <c r="J330" s="176"/>
      <c r="K330" s="39"/>
    </row>
    <row r="331" spans="1:11" x14ac:dyDescent="0.25">
      <c r="A331" s="28"/>
      <c r="B331" s="28"/>
      <c r="C331" s="28"/>
      <c r="D331" s="28"/>
      <c r="E331" s="28"/>
      <c r="F331" s="28"/>
      <c r="G331" s="28"/>
      <c r="H331" s="28"/>
      <c r="I331" s="28"/>
      <c r="J331" s="28"/>
      <c r="K331" s="28"/>
    </row>
    <row r="332" spans="1:11" x14ac:dyDescent="0.25">
      <c r="A332" s="28"/>
      <c r="B332" s="160" t="s">
        <v>176</v>
      </c>
      <c r="C332" s="160"/>
      <c r="D332" s="160"/>
      <c r="E332" s="28"/>
      <c r="F332" s="28"/>
      <c r="G332" s="160" t="s">
        <v>177</v>
      </c>
      <c r="H332" s="160"/>
      <c r="I332" s="160"/>
      <c r="J332" s="28"/>
      <c r="K332" s="28"/>
    </row>
    <row r="333" spans="1:11" x14ac:dyDescent="0.25">
      <c r="A333" s="28"/>
      <c r="B333" s="160"/>
      <c r="C333" s="160"/>
      <c r="D333" s="160"/>
      <c r="E333" s="28"/>
      <c r="F333" s="28"/>
      <c r="G333" s="160"/>
      <c r="H333" s="160"/>
      <c r="I333" s="160"/>
      <c r="J333" s="28"/>
      <c r="K333" s="28"/>
    </row>
    <row r="334" spans="1:11" x14ac:dyDescent="0.25">
      <c r="A334" s="28"/>
      <c r="B334" s="39" t="s">
        <v>168</v>
      </c>
      <c r="C334" s="176"/>
      <c r="D334" s="176"/>
      <c r="E334" s="28"/>
      <c r="F334" s="28"/>
      <c r="G334" s="39" t="s">
        <v>168</v>
      </c>
      <c r="H334" s="176"/>
      <c r="I334" s="176"/>
      <c r="J334" s="28"/>
      <c r="K334" s="28"/>
    </row>
    <row r="335" spans="1:11" x14ac:dyDescent="0.25">
      <c r="A335" s="28"/>
      <c r="B335" s="39" t="s">
        <v>170</v>
      </c>
      <c r="C335" s="176"/>
      <c r="D335" s="176"/>
      <c r="E335" s="28"/>
      <c r="F335" s="28"/>
      <c r="G335" s="39" t="s">
        <v>170</v>
      </c>
      <c r="H335" s="176"/>
      <c r="I335" s="176"/>
      <c r="J335" s="28"/>
      <c r="K335" s="28"/>
    </row>
    <row r="336" spans="1:11" x14ac:dyDescent="0.25">
      <c r="A336" s="28"/>
      <c r="B336" s="39" t="s">
        <v>171</v>
      </c>
      <c r="C336" s="176"/>
      <c r="D336" s="176"/>
      <c r="E336" s="28"/>
      <c r="F336" s="28"/>
      <c r="G336" s="39" t="s">
        <v>171</v>
      </c>
      <c r="H336" s="176"/>
      <c r="I336" s="176"/>
      <c r="J336" s="28"/>
      <c r="K336" s="28"/>
    </row>
    <row r="337" spans="1:11" x14ac:dyDescent="0.25">
      <c r="A337" s="28"/>
      <c r="B337" s="39" t="s">
        <v>170</v>
      </c>
      <c r="C337" s="176"/>
      <c r="D337" s="176"/>
      <c r="E337" s="28"/>
      <c r="F337" s="28"/>
      <c r="G337" s="39" t="s">
        <v>170</v>
      </c>
      <c r="H337" s="176"/>
      <c r="I337" s="176"/>
      <c r="J337" s="28"/>
      <c r="K337" s="28"/>
    </row>
    <row r="338" spans="1:11" x14ac:dyDescent="0.25">
      <c r="A338" s="28"/>
      <c r="B338" s="39" t="s">
        <v>172</v>
      </c>
      <c r="C338" s="176"/>
      <c r="D338" s="176"/>
      <c r="E338" s="28"/>
      <c r="F338" s="28"/>
      <c r="G338" s="39" t="s">
        <v>172</v>
      </c>
      <c r="H338" s="176"/>
      <c r="I338" s="176"/>
      <c r="J338" s="28"/>
      <c r="K338" s="28"/>
    </row>
    <row r="339" spans="1:11" x14ac:dyDescent="0.25">
      <c r="A339" s="28"/>
      <c r="B339" s="28"/>
      <c r="C339" s="28"/>
      <c r="D339" s="28"/>
      <c r="E339" s="28"/>
      <c r="F339" s="28"/>
      <c r="G339" s="28"/>
      <c r="H339" s="28"/>
      <c r="I339" s="28"/>
      <c r="J339" s="28"/>
      <c r="K339" s="28"/>
    </row>
    <row r="340" spans="1:11" x14ac:dyDescent="0.25">
      <c r="A340" s="28"/>
      <c r="B340" s="106" t="s">
        <v>178</v>
      </c>
      <c r="C340" s="106"/>
      <c r="D340" s="106"/>
      <c r="E340" s="106"/>
      <c r="F340" s="106"/>
      <c r="G340" s="106"/>
      <c r="H340" s="106"/>
      <c r="I340" s="106"/>
      <c r="J340" s="106"/>
      <c r="K340" s="28"/>
    </row>
    <row r="341" spans="1:11" x14ac:dyDescent="0.25">
      <c r="A341" s="28"/>
      <c r="B341" s="28"/>
      <c r="C341" s="28"/>
      <c r="D341" s="28"/>
      <c r="E341" s="28"/>
      <c r="F341" s="28"/>
      <c r="G341" s="28"/>
      <c r="H341" s="28"/>
      <c r="I341" s="28"/>
      <c r="J341" s="28"/>
      <c r="K341" s="28"/>
    </row>
    <row r="342" spans="1:11" x14ac:dyDescent="0.25">
      <c r="A342" s="28"/>
      <c r="B342" s="28" t="s">
        <v>179</v>
      </c>
      <c r="C342" s="28"/>
      <c r="D342" s="28"/>
      <c r="E342" s="28"/>
      <c r="F342" s="28"/>
      <c r="G342" s="28"/>
      <c r="H342" s="28"/>
      <c r="I342" s="28"/>
      <c r="J342" s="28"/>
      <c r="K342" s="28"/>
    </row>
    <row r="343" spans="1:11" x14ac:dyDescent="0.25">
      <c r="A343" s="175" t="s">
        <v>180</v>
      </c>
      <c r="B343" s="175"/>
      <c r="C343" s="175"/>
      <c r="D343" s="175"/>
      <c r="E343" s="175"/>
      <c r="F343" s="175"/>
      <c r="G343" s="175"/>
      <c r="H343" s="175"/>
      <c r="I343" s="175"/>
      <c r="J343" s="175"/>
      <c r="K343" s="175"/>
    </row>
    <row r="344" spans="1:11" x14ac:dyDescent="0.25">
      <c r="A344" s="39" t="s">
        <v>181</v>
      </c>
      <c r="B344" s="39"/>
      <c r="C344" s="182"/>
      <c r="D344" s="183"/>
      <c r="E344" s="184"/>
      <c r="F344" s="39" t="s">
        <v>182</v>
      </c>
      <c r="G344" s="39"/>
      <c r="H344" s="182"/>
      <c r="I344" s="184"/>
      <c r="J344" s="39" t="s">
        <v>119</v>
      </c>
      <c r="K344" s="39"/>
    </row>
    <row r="345" spans="1:11" x14ac:dyDescent="0.25">
      <c r="A345" s="39" t="s">
        <v>183</v>
      </c>
      <c r="B345" s="39"/>
      <c r="C345" s="180"/>
      <c r="D345" s="185"/>
      <c r="E345" s="185"/>
      <c r="F345" s="185"/>
      <c r="G345" s="185"/>
      <c r="H345" s="185"/>
      <c r="I345" s="185"/>
      <c r="J345" s="185"/>
      <c r="K345" s="181"/>
    </row>
    <row r="346" spans="1:11" x14ac:dyDescent="0.25">
      <c r="A346" s="39" t="s">
        <v>184</v>
      </c>
      <c r="B346" s="39"/>
      <c r="C346" s="39"/>
      <c r="D346" s="182"/>
      <c r="E346" s="184"/>
      <c r="F346" s="39" t="s">
        <v>185</v>
      </c>
      <c r="G346" s="182"/>
      <c r="H346" s="183"/>
      <c r="I346" s="183"/>
      <c r="J346" s="183"/>
      <c r="K346" s="184"/>
    </row>
    <row r="347" spans="1:11" x14ac:dyDescent="0.25">
      <c r="A347" s="39" t="s">
        <v>186</v>
      </c>
      <c r="B347" s="39"/>
      <c r="C347" s="39"/>
      <c r="D347" s="182"/>
      <c r="E347" s="184"/>
      <c r="F347" s="39" t="s">
        <v>187</v>
      </c>
      <c r="G347" s="182"/>
      <c r="H347" s="183"/>
      <c r="I347" s="184"/>
      <c r="J347" s="39" t="s">
        <v>192</v>
      </c>
      <c r="K347" s="39"/>
    </row>
    <row r="348" spans="1:11" x14ac:dyDescent="0.25">
      <c r="A348" s="28"/>
      <c r="B348" s="28"/>
      <c r="C348" s="28"/>
      <c r="D348" s="28"/>
      <c r="E348" s="28"/>
      <c r="F348" s="28"/>
      <c r="G348" s="28"/>
      <c r="H348" s="28"/>
      <c r="I348" s="28"/>
      <c r="J348" s="28"/>
      <c r="K348" s="28"/>
    </row>
    <row r="349" spans="1:11" x14ac:dyDescent="0.25">
      <c r="A349" s="28"/>
      <c r="B349" s="28"/>
      <c r="C349" s="28"/>
      <c r="D349" s="28"/>
      <c r="E349" s="28"/>
      <c r="F349" s="28"/>
      <c r="G349" s="28"/>
      <c r="H349" s="28"/>
      <c r="I349" s="28"/>
      <c r="J349" s="28"/>
      <c r="K349" s="28"/>
    </row>
    <row r="350" spans="1:11" x14ac:dyDescent="0.25">
      <c r="A350" s="175" t="s">
        <v>188</v>
      </c>
      <c r="B350" s="175"/>
      <c r="C350" s="175"/>
      <c r="D350" s="175"/>
      <c r="E350" s="175"/>
      <c r="F350" s="175"/>
      <c r="G350" s="175"/>
      <c r="H350" s="175"/>
      <c r="I350" s="175"/>
      <c r="J350" s="175"/>
      <c r="K350" s="175"/>
    </row>
    <row r="351" spans="1:11" x14ac:dyDescent="0.25">
      <c r="A351" s="50" t="s">
        <v>181</v>
      </c>
      <c r="B351" s="50"/>
      <c r="C351" s="182"/>
      <c r="D351" s="183"/>
      <c r="E351" s="184"/>
      <c r="F351" s="178" t="s">
        <v>182</v>
      </c>
      <c r="G351" s="178"/>
      <c r="H351" s="182"/>
      <c r="I351" s="184"/>
      <c r="J351" s="39" t="s">
        <v>119</v>
      </c>
      <c r="K351" s="39"/>
    </row>
    <row r="352" spans="1:11" x14ac:dyDescent="0.25">
      <c r="A352" s="180" t="s">
        <v>189</v>
      </c>
      <c r="B352" s="181"/>
      <c r="C352" s="182"/>
      <c r="D352" s="183"/>
      <c r="E352" s="184"/>
      <c r="F352" s="39" t="s">
        <v>190</v>
      </c>
      <c r="G352" s="182"/>
      <c r="H352" s="183"/>
      <c r="I352" s="183"/>
      <c r="J352" s="183"/>
      <c r="K352" s="184"/>
    </row>
    <row r="353" spans="1:11" x14ac:dyDescent="0.25">
      <c r="A353" s="50" t="s">
        <v>184</v>
      </c>
      <c r="B353" s="50"/>
      <c r="C353" s="50"/>
      <c r="D353" s="182"/>
      <c r="E353" s="184"/>
      <c r="F353" s="39" t="s">
        <v>185</v>
      </c>
      <c r="G353" s="182"/>
      <c r="H353" s="183"/>
      <c r="I353" s="183"/>
      <c r="J353" s="183"/>
      <c r="K353" s="184"/>
    </row>
    <row r="354" spans="1:11" x14ac:dyDescent="0.25">
      <c r="A354" s="50" t="s">
        <v>186</v>
      </c>
      <c r="B354" s="50"/>
      <c r="C354" s="50"/>
      <c r="D354" s="182"/>
      <c r="E354" s="184"/>
      <c r="F354" s="39" t="s">
        <v>187</v>
      </c>
      <c r="G354" s="182"/>
      <c r="H354" s="183"/>
      <c r="I354" s="184"/>
      <c r="J354" s="39" t="s">
        <v>192</v>
      </c>
      <c r="K354" s="39"/>
    </row>
    <row r="355" spans="1:11" x14ac:dyDescent="0.25">
      <c r="A355" s="28"/>
      <c r="B355" s="28"/>
      <c r="C355" s="28"/>
      <c r="D355" s="28"/>
      <c r="E355" s="28"/>
      <c r="F355" s="28"/>
      <c r="G355" s="28"/>
      <c r="H355" s="28"/>
      <c r="I355" s="28"/>
      <c r="J355" s="28"/>
      <c r="K355" s="28"/>
    </row>
    <row r="356" spans="1:11" x14ac:dyDescent="0.25">
      <c r="A356" s="28"/>
      <c r="B356" s="28"/>
      <c r="C356" s="28"/>
      <c r="D356" s="28"/>
      <c r="E356" s="28"/>
      <c r="F356" s="28"/>
      <c r="G356" s="28"/>
      <c r="H356" s="28"/>
      <c r="I356" s="28"/>
      <c r="J356" s="28"/>
      <c r="K356" s="28"/>
    </row>
    <row r="357" spans="1:11" x14ac:dyDescent="0.25">
      <c r="A357" s="28"/>
      <c r="B357" s="28"/>
      <c r="C357" s="28"/>
      <c r="D357" s="28"/>
      <c r="E357" s="28"/>
      <c r="F357" s="28"/>
      <c r="G357" s="28"/>
      <c r="H357" s="28"/>
      <c r="I357" s="28"/>
      <c r="J357" s="28"/>
      <c r="K357" s="28"/>
    </row>
    <row r="358" spans="1:11" x14ac:dyDescent="0.25">
      <c r="A358" s="28"/>
      <c r="B358" s="28"/>
      <c r="C358" s="28"/>
      <c r="D358" s="28"/>
      <c r="E358" s="28"/>
      <c r="F358" s="28"/>
      <c r="G358" s="28"/>
      <c r="H358" s="28"/>
      <c r="I358" s="28"/>
      <c r="J358" s="28"/>
      <c r="K358" s="28"/>
    </row>
    <row r="359" spans="1:11" x14ac:dyDescent="0.25">
      <c r="A359" s="28"/>
      <c r="B359" s="28"/>
      <c r="C359" s="28"/>
      <c r="D359" s="28"/>
      <c r="E359" s="28"/>
      <c r="F359" s="28"/>
      <c r="G359" s="28"/>
      <c r="H359" s="28"/>
      <c r="I359" s="28"/>
      <c r="J359" s="28"/>
      <c r="K359" s="28"/>
    </row>
    <row r="360" spans="1:11" x14ac:dyDescent="0.25">
      <c r="A360" s="28"/>
      <c r="B360" s="28"/>
      <c r="C360" s="28"/>
      <c r="D360" s="28"/>
      <c r="E360" s="28"/>
      <c r="F360" s="28"/>
      <c r="G360" s="28"/>
      <c r="H360" s="28"/>
      <c r="I360" s="28"/>
      <c r="J360" s="28"/>
      <c r="K360" s="28"/>
    </row>
    <row r="361" spans="1:11" x14ac:dyDescent="0.25">
      <c r="A361" s="28"/>
      <c r="B361" s="28"/>
      <c r="C361" s="28"/>
      <c r="D361" s="28"/>
      <c r="E361" s="28"/>
      <c r="F361" s="28"/>
      <c r="G361" s="28"/>
      <c r="H361" s="28"/>
      <c r="I361" s="28"/>
      <c r="J361" s="28"/>
      <c r="K361" s="28"/>
    </row>
    <row r="362" spans="1:11" x14ac:dyDescent="0.25">
      <c r="A362" s="28"/>
      <c r="B362" s="28"/>
      <c r="C362" s="28"/>
      <c r="D362" s="28"/>
      <c r="E362" s="28"/>
      <c r="F362" s="28"/>
      <c r="G362" s="28"/>
      <c r="H362" s="28"/>
      <c r="I362" s="28"/>
      <c r="J362" s="28"/>
      <c r="K362" s="28"/>
    </row>
    <row r="363" spans="1:11" x14ac:dyDescent="0.25">
      <c r="A363" s="28"/>
      <c r="B363" s="28"/>
      <c r="C363" s="28"/>
      <c r="D363" s="28"/>
      <c r="E363" s="28"/>
      <c r="F363" s="28"/>
      <c r="G363" s="28"/>
      <c r="H363" s="28"/>
      <c r="I363" s="28"/>
      <c r="J363" s="28"/>
      <c r="K363" s="28"/>
    </row>
    <row r="364" spans="1:11" x14ac:dyDescent="0.25">
      <c r="A364" s="28"/>
      <c r="B364" s="28"/>
      <c r="C364" s="28"/>
      <c r="D364" s="28"/>
      <c r="E364" s="28"/>
      <c r="F364" s="28"/>
      <c r="G364" s="28"/>
      <c r="H364" s="28"/>
      <c r="I364" s="28"/>
      <c r="J364" s="28"/>
      <c r="K364" s="28"/>
    </row>
    <row r="365" spans="1:11" x14ac:dyDescent="0.25">
      <c r="A365" s="28"/>
      <c r="B365" s="28"/>
      <c r="C365" s="28"/>
      <c r="D365" s="28"/>
      <c r="E365" s="28"/>
      <c r="F365" s="28"/>
      <c r="G365" s="28"/>
      <c r="H365" s="28"/>
      <c r="I365" s="28"/>
      <c r="J365" s="28"/>
      <c r="K365" s="28"/>
    </row>
    <row r="366" spans="1:11" x14ac:dyDescent="0.25">
      <c r="A366" s="28"/>
      <c r="B366" s="28"/>
      <c r="C366" s="28"/>
      <c r="D366" s="28"/>
      <c r="E366" s="28"/>
      <c r="F366" s="28"/>
      <c r="G366" s="28"/>
      <c r="H366" s="28"/>
      <c r="I366" s="28"/>
      <c r="J366" s="28"/>
      <c r="K366" s="28"/>
    </row>
    <row r="367" spans="1:11" x14ac:dyDescent="0.25">
      <c r="A367" s="28"/>
      <c r="B367" s="28"/>
      <c r="C367" s="28"/>
      <c r="D367" s="28"/>
      <c r="E367" s="28"/>
      <c r="F367" s="28"/>
      <c r="G367" s="28"/>
      <c r="H367" s="28"/>
      <c r="I367" s="28"/>
      <c r="J367" s="28"/>
      <c r="K367" s="28"/>
    </row>
    <row r="368" spans="1:11" x14ac:dyDescent="0.25">
      <c r="A368" s="28"/>
      <c r="B368" s="28"/>
      <c r="C368" s="28"/>
      <c r="D368" s="28"/>
      <c r="E368" s="28"/>
      <c r="F368" s="28"/>
      <c r="G368" s="28"/>
      <c r="H368" s="28"/>
      <c r="I368" s="28"/>
      <c r="J368" s="28"/>
      <c r="K368" s="28"/>
    </row>
    <row r="369" spans="1:11" x14ac:dyDescent="0.25">
      <c r="A369" s="28"/>
      <c r="B369" s="28"/>
      <c r="C369" s="28"/>
      <c r="D369" s="28"/>
      <c r="E369" s="28"/>
      <c r="F369" s="28"/>
      <c r="G369" s="28"/>
      <c r="H369" s="28"/>
      <c r="I369" s="28"/>
      <c r="J369" s="28"/>
      <c r="K369" s="28"/>
    </row>
    <row r="370" spans="1:11" x14ac:dyDescent="0.25">
      <c r="A370" s="28"/>
      <c r="B370" s="28"/>
      <c r="C370" s="28"/>
      <c r="D370" s="28"/>
      <c r="E370" s="28"/>
      <c r="F370" s="28"/>
      <c r="G370" s="28"/>
      <c r="H370" s="28"/>
      <c r="I370" s="28"/>
      <c r="J370" s="28"/>
      <c r="K370" s="28"/>
    </row>
  </sheetData>
  <mergeCells count="352">
    <mergeCell ref="A352:B352"/>
    <mergeCell ref="C352:E352"/>
    <mergeCell ref="G352:K352"/>
    <mergeCell ref="D353:E353"/>
    <mergeCell ref="G353:K353"/>
    <mergeCell ref="D354:E354"/>
    <mergeCell ref="G354:I354"/>
    <mergeCell ref="D347:E347"/>
    <mergeCell ref="G347:I347"/>
    <mergeCell ref="A350:K350"/>
    <mergeCell ref="C351:E351"/>
    <mergeCell ref="F351:G351"/>
    <mergeCell ref="H351:I351"/>
    <mergeCell ref="B340:J340"/>
    <mergeCell ref="A343:K343"/>
    <mergeCell ref="C344:E344"/>
    <mergeCell ref="H344:I344"/>
    <mergeCell ref="C345:K345"/>
    <mergeCell ref="D346:E346"/>
    <mergeCell ref="G346:K346"/>
    <mergeCell ref="C336:D336"/>
    <mergeCell ref="H336:I336"/>
    <mergeCell ref="C337:D337"/>
    <mergeCell ref="H337:I337"/>
    <mergeCell ref="C338:D338"/>
    <mergeCell ref="H338:I338"/>
    <mergeCell ref="B332:D333"/>
    <mergeCell ref="G332:I333"/>
    <mergeCell ref="C334:D334"/>
    <mergeCell ref="H334:I334"/>
    <mergeCell ref="C335:D335"/>
    <mergeCell ref="H335:I335"/>
    <mergeCell ref="C329:D329"/>
    <mergeCell ref="F329:G329"/>
    <mergeCell ref="I329:J329"/>
    <mergeCell ref="C330:D330"/>
    <mergeCell ref="F330:G330"/>
    <mergeCell ref="I330:J330"/>
    <mergeCell ref="C327:D327"/>
    <mergeCell ref="F327:G327"/>
    <mergeCell ref="I327:J327"/>
    <mergeCell ref="C328:D328"/>
    <mergeCell ref="F328:G328"/>
    <mergeCell ref="I328:J328"/>
    <mergeCell ref="B322:E322"/>
    <mergeCell ref="G322:H322"/>
    <mergeCell ref="B323:E323"/>
    <mergeCell ref="G323:H323"/>
    <mergeCell ref="A325:K325"/>
    <mergeCell ref="C326:D326"/>
    <mergeCell ref="F326:G326"/>
    <mergeCell ref="I326:J326"/>
    <mergeCell ref="B292:C292"/>
    <mergeCell ref="E292:F292"/>
    <mergeCell ref="H292:I292"/>
    <mergeCell ref="J292:K292"/>
    <mergeCell ref="A318:K318"/>
    <mergeCell ref="A320:K321"/>
    <mergeCell ref="B290:C290"/>
    <mergeCell ref="E290:F290"/>
    <mergeCell ref="H290:I290"/>
    <mergeCell ref="J290:K290"/>
    <mergeCell ref="B291:C291"/>
    <mergeCell ref="E291:F291"/>
    <mergeCell ref="H291:I291"/>
    <mergeCell ref="J291:K291"/>
    <mergeCell ref="B288:C288"/>
    <mergeCell ref="E288:F288"/>
    <mergeCell ref="H288:I288"/>
    <mergeCell ref="J288:K288"/>
    <mergeCell ref="B289:C289"/>
    <mergeCell ref="E289:F289"/>
    <mergeCell ref="H289:I289"/>
    <mergeCell ref="J289:K289"/>
    <mergeCell ref="B286:C286"/>
    <mergeCell ref="E286:F286"/>
    <mergeCell ref="H286:I286"/>
    <mergeCell ref="J286:K286"/>
    <mergeCell ref="B287:C287"/>
    <mergeCell ref="E287:F287"/>
    <mergeCell ref="H287:I287"/>
    <mergeCell ref="J287:K287"/>
    <mergeCell ref="B284:C284"/>
    <mergeCell ref="E284:F284"/>
    <mergeCell ref="H284:I284"/>
    <mergeCell ref="J284:K284"/>
    <mergeCell ref="B285:C285"/>
    <mergeCell ref="E285:F285"/>
    <mergeCell ref="H285:I285"/>
    <mergeCell ref="J285:K285"/>
    <mergeCell ref="A277:K279"/>
    <mergeCell ref="A280:K280"/>
    <mergeCell ref="B283:C283"/>
    <mergeCell ref="E283:F283"/>
    <mergeCell ref="H283:I283"/>
    <mergeCell ref="J283:K283"/>
    <mergeCell ref="A269:G272"/>
    <mergeCell ref="I269:I270"/>
    <mergeCell ref="J269:K270"/>
    <mergeCell ref="I271:K272"/>
    <mergeCell ref="A274:K274"/>
    <mergeCell ref="A275:B275"/>
    <mergeCell ref="B234:C234"/>
    <mergeCell ref="D234:E234"/>
    <mergeCell ref="F234:G234"/>
    <mergeCell ref="H234:I234"/>
    <mergeCell ref="J234:K234"/>
    <mergeCell ref="B235:C235"/>
    <mergeCell ref="D235:E235"/>
    <mergeCell ref="F235:G235"/>
    <mergeCell ref="H235:I235"/>
    <mergeCell ref="J235:K235"/>
    <mergeCell ref="B232:C232"/>
    <mergeCell ref="D232:E232"/>
    <mergeCell ref="F232:G232"/>
    <mergeCell ref="H232:I232"/>
    <mergeCell ref="J232:K232"/>
    <mergeCell ref="B233:C233"/>
    <mergeCell ref="D233:E233"/>
    <mergeCell ref="F233:G233"/>
    <mergeCell ref="H233:I233"/>
    <mergeCell ref="J233:K233"/>
    <mergeCell ref="B230:C230"/>
    <mergeCell ref="D230:E230"/>
    <mergeCell ref="F230:G230"/>
    <mergeCell ref="H230:I230"/>
    <mergeCell ref="J230:K230"/>
    <mergeCell ref="B231:C231"/>
    <mergeCell ref="D231:E231"/>
    <mergeCell ref="F231:G231"/>
    <mergeCell ref="H231:I231"/>
    <mergeCell ref="J231:K231"/>
    <mergeCell ref="A221:K221"/>
    <mergeCell ref="A222:B222"/>
    <mergeCell ref="A224:K226"/>
    <mergeCell ref="A227:K227"/>
    <mergeCell ref="B229:C229"/>
    <mergeCell ref="D229:E229"/>
    <mergeCell ref="F229:G229"/>
    <mergeCell ref="H229:I229"/>
    <mergeCell ref="J229:K229"/>
    <mergeCell ref="B188:C188"/>
    <mergeCell ref="D188:E188"/>
    <mergeCell ref="F188:G188"/>
    <mergeCell ref="H188:I188"/>
    <mergeCell ref="J188:K188"/>
    <mergeCell ref="A216:G219"/>
    <mergeCell ref="I216:I217"/>
    <mergeCell ref="J216:K217"/>
    <mergeCell ref="I218:K219"/>
    <mergeCell ref="B186:C186"/>
    <mergeCell ref="D186:E186"/>
    <mergeCell ref="F186:G186"/>
    <mergeCell ref="H186:I186"/>
    <mergeCell ref="J186:K186"/>
    <mergeCell ref="B187:C187"/>
    <mergeCell ref="D187:E187"/>
    <mergeCell ref="F187:G187"/>
    <mergeCell ref="H187:I187"/>
    <mergeCell ref="J187:K187"/>
    <mergeCell ref="B184:C184"/>
    <mergeCell ref="D184:E184"/>
    <mergeCell ref="F184:G184"/>
    <mergeCell ref="H184:I184"/>
    <mergeCell ref="J184:K184"/>
    <mergeCell ref="B185:C185"/>
    <mergeCell ref="D185:E185"/>
    <mergeCell ref="F185:G185"/>
    <mergeCell ref="H185:I185"/>
    <mergeCell ref="J185:K185"/>
    <mergeCell ref="B182:C182"/>
    <mergeCell ref="D182:E182"/>
    <mergeCell ref="F182:G182"/>
    <mergeCell ref="H182:I182"/>
    <mergeCell ref="J182:K182"/>
    <mergeCell ref="B183:C183"/>
    <mergeCell ref="D183:E183"/>
    <mergeCell ref="F183:G183"/>
    <mergeCell ref="H183:I183"/>
    <mergeCell ref="J183:K183"/>
    <mergeCell ref="B180:C180"/>
    <mergeCell ref="D180:E180"/>
    <mergeCell ref="F180:G180"/>
    <mergeCell ref="H180:I180"/>
    <mergeCell ref="J180:K180"/>
    <mergeCell ref="B181:C181"/>
    <mergeCell ref="D181:E181"/>
    <mergeCell ref="F181:G181"/>
    <mergeCell ref="H181:I181"/>
    <mergeCell ref="J181:K181"/>
    <mergeCell ref="A170:K170"/>
    <mergeCell ref="A171:B171"/>
    <mergeCell ref="A173:K175"/>
    <mergeCell ref="A176:K176"/>
    <mergeCell ref="A177:K177"/>
    <mergeCell ref="B179:C179"/>
    <mergeCell ref="D179:E179"/>
    <mergeCell ref="F179:G179"/>
    <mergeCell ref="H179:I179"/>
    <mergeCell ref="J179:K179"/>
    <mergeCell ref="B137:C137"/>
    <mergeCell ref="D137:E137"/>
    <mergeCell ref="F137:G137"/>
    <mergeCell ref="H137:I137"/>
    <mergeCell ref="J137:K137"/>
    <mergeCell ref="A165:G168"/>
    <mergeCell ref="I165:I166"/>
    <mergeCell ref="J165:K166"/>
    <mergeCell ref="I167:K168"/>
    <mergeCell ref="B135:C135"/>
    <mergeCell ref="D135:E135"/>
    <mergeCell ref="F135:G135"/>
    <mergeCell ref="H135:I135"/>
    <mergeCell ref="J135:K135"/>
    <mergeCell ref="B136:C136"/>
    <mergeCell ref="D136:E136"/>
    <mergeCell ref="F136:G136"/>
    <mergeCell ref="H136:I136"/>
    <mergeCell ref="J136:K136"/>
    <mergeCell ref="B133:C133"/>
    <mergeCell ref="D133:E133"/>
    <mergeCell ref="F133:G133"/>
    <mergeCell ref="H133:I133"/>
    <mergeCell ref="J133:K133"/>
    <mergeCell ref="B134:C134"/>
    <mergeCell ref="D134:E134"/>
    <mergeCell ref="F134:G134"/>
    <mergeCell ref="H134:I134"/>
    <mergeCell ref="J134:K134"/>
    <mergeCell ref="B131:C131"/>
    <mergeCell ref="D131:E131"/>
    <mergeCell ref="F131:G131"/>
    <mergeCell ref="H131:I131"/>
    <mergeCell ref="J131:K131"/>
    <mergeCell ref="B132:C132"/>
    <mergeCell ref="D132:E132"/>
    <mergeCell ref="F132:G132"/>
    <mergeCell ref="H132:I132"/>
    <mergeCell ref="J132:K132"/>
    <mergeCell ref="B129:C129"/>
    <mergeCell ref="D129:E129"/>
    <mergeCell ref="F129:G129"/>
    <mergeCell ref="H129:I129"/>
    <mergeCell ref="J129:K129"/>
    <mergeCell ref="B130:C130"/>
    <mergeCell ref="D130:E130"/>
    <mergeCell ref="F130:G130"/>
    <mergeCell ref="H130:I130"/>
    <mergeCell ref="J130:K130"/>
    <mergeCell ref="A119:K119"/>
    <mergeCell ref="A120:B120"/>
    <mergeCell ref="A122:K124"/>
    <mergeCell ref="A125:K125"/>
    <mergeCell ref="A126:K126"/>
    <mergeCell ref="B128:C128"/>
    <mergeCell ref="D128:E128"/>
    <mergeCell ref="F128:G128"/>
    <mergeCell ref="H128:I128"/>
    <mergeCell ref="J128:K128"/>
    <mergeCell ref="B86:C86"/>
    <mergeCell ref="D86:E86"/>
    <mergeCell ref="F86:G86"/>
    <mergeCell ref="H86:I86"/>
    <mergeCell ref="J86:K86"/>
    <mergeCell ref="A114:G117"/>
    <mergeCell ref="I114:I115"/>
    <mergeCell ref="J114:K115"/>
    <mergeCell ref="I116:K117"/>
    <mergeCell ref="B84:C84"/>
    <mergeCell ref="D84:E84"/>
    <mergeCell ref="F84:G84"/>
    <mergeCell ref="H84:I84"/>
    <mergeCell ref="J84:K84"/>
    <mergeCell ref="B85:C85"/>
    <mergeCell ref="D85:E85"/>
    <mergeCell ref="F85:G85"/>
    <mergeCell ref="H85:I85"/>
    <mergeCell ref="J85:K85"/>
    <mergeCell ref="B82:C82"/>
    <mergeCell ref="D82:E82"/>
    <mergeCell ref="F82:G82"/>
    <mergeCell ref="H82:I82"/>
    <mergeCell ref="J82:K82"/>
    <mergeCell ref="B83:C83"/>
    <mergeCell ref="D83:E83"/>
    <mergeCell ref="F83:G83"/>
    <mergeCell ref="H83:I83"/>
    <mergeCell ref="J83:K83"/>
    <mergeCell ref="B80:C80"/>
    <mergeCell ref="D80:E80"/>
    <mergeCell ref="F80:G80"/>
    <mergeCell ref="H80:I80"/>
    <mergeCell ref="J80:K80"/>
    <mergeCell ref="B81:C81"/>
    <mergeCell ref="D81:E81"/>
    <mergeCell ref="F81:G81"/>
    <mergeCell ref="H81:I81"/>
    <mergeCell ref="J81:K81"/>
    <mergeCell ref="B78:C78"/>
    <mergeCell ref="D78:E78"/>
    <mergeCell ref="F78:G78"/>
    <mergeCell ref="H78:I78"/>
    <mergeCell ref="J78:K78"/>
    <mergeCell ref="B79:C79"/>
    <mergeCell ref="D79:E79"/>
    <mergeCell ref="F79:G79"/>
    <mergeCell ref="H79:I79"/>
    <mergeCell ref="J79:K79"/>
    <mergeCell ref="A71:K73"/>
    <mergeCell ref="A74:K74"/>
    <mergeCell ref="A75:K75"/>
    <mergeCell ref="B77:C77"/>
    <mergeCell ref="D77:E77"/>
    <mergeCell ref="F77:G77"/>
    <mergeCell ref="H77:I77"/>
    <mergeCell ref="J77:K77"/>
    <mergeCell ref="A62:G65"/>
    <mergeCell ref="I62:I63"/>
    <mergeCell ref="J62:K63"/>
    <mergeCell ref="I64:K65"/>
    <mergeCell ref="A68:K68"/>
    <mergeCell ref="A69:B69"/>
    <mergeCell ref="A48:K48"/>
    <mergeCell ref="A50:K52"/>
    <mergeCell ref="A55:K55"/>
    <mergeCell ref="A56:K56"/>
    <mergeCell ref="A57:K57"/>
    <mergeCell ref="A58:K58"/>
    <mergeCell ref="A36:B36"/>
    <mergeCell ref="A37:B37"/>
    <mergeCell ref="A38:B38"/>
    <mergeCell ref="A39:B39"/>
    <mergeCell ref="A43:B43"/>
    <mergeCell ref="A46:K46"/>
    <mergeCell ref="A34:B34"/>
    <mergeCell ref="A35:B35"/>
    <mergeCell ref="D35:E35"/>
    <mergeCell ref="A25:B25"/>
    <mergeCell ref="A26:B26"/>
    <mergeCell ref="A27:B27"/>
    <mergeCell ref="A28:B28"/>
    <mergeCell ref="A29:B29"/>
    <mergeCell ref="A30:B30"/>
    <mergeCell ref="A1:K2"/>
    <mergeCell ref="A6:B7"/>
    <mergeCell ref="C6:E6"/>
    <mergeCell ref="G6:I6"/>
    <mergeCell ref="A16:K16"/>
    <mergeCell ref="A24:B24"/>
    <mergeCell ref="A31:B31"/>
    <mergeCell ref="A32:B32"/>
    <mergeCell ref="A33:B33"/>
  </mergeCells>
  <conditionalFormatting sqref="H181:I188">
    <cfRule type="cellIs" dxfId="4" priority="3" operator="lessThan">
      <formula>100</formula>
    </cfRule>
  </conditionalFormatting>
  <conditionalFormatting sqref="H130:I137">
    <cfRule type="cellIs" dxfId="3" priority="2" operator="lessThan">
      <formula>100</formula>
    </cfRule>
  </conditionalFormatting>
  <conditionalFormatting sqref="H79:I86">
    <cfRule type="cellIs" dxfId="2" priority="1" operator="lessThan">
      <formula>100</formula>
    </cfRule>
  </conditionalFormatting>
  <dataValidations count="1">
    <dataValidation type="list" allowBlank="1" showInputMessage="1" showErrorMessage="1" sqref="J347" xr:uid="{6D81BDEB-377F-4CCE-B22F-56CD7FE550B2}">
      <formula1>$J$24:$J$25</formula1>
    </dataValidation>
  </dataValidations>
  <pageMargins left="0.59055118110236227" right="0.39370078740157483" top="0.23622047244094491" bottom="0.23622047244094491" header="0.31496062992125984" footer="0.31496062992125984"/>
  <pageSetup paperSize="9" orientation="portrait" r:id="rId1"/>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C3AB91-79A0-404B-92EF-CCFAA93BD980}">
  <dimension ref="A1:K272"/>
  <sheetViews>
    <sheetView view="pageLayout" zoomScale="120" zoomScaleNormal="100" zoomScalePageLayoutView="120" workbookViewId="0">
      <selection activeCell="H77" sqref="H77:I84"/>
    </sheetView>
  </sheetViews>
  <sheetFormatPr defaultRowHeight="15" x14ac:dyDescent="0.25"/>
  <cols>
    <col min="1" max="10" width="8.28515625" style="20" customWidth="1"/>
    <col min="11" max="16384" width="9.140625" style="20"/>
  </cols>
  <sheetData>
    <row r="1" spans="1:11" x14ac:dyDescent="0.25">
      <c r="A1" s="86" t="s">
        <v>0</v>
      </c>
      <c r="B1" s="87"/>
      <c r="C1" s="87"/>
      <c r="D1" s="87"/>
      <c r="E1" s="87"/>
      <c r="F1" s="87"/>
      <c r="G1" s="87"/>
      <c r="H1" s="87"/>
      <c r="I1" s="87"/>
      <c r="J1" s="87"/>
      <c r="K1" s="88"/>
    </row>
    <row r="2" spans="1:11" x14ac:dyDescent="0.25">
      <c r="A2" s="89"/>
      <c r="B2" s="90"/>
      <c r="C2" s="90"/>
      <c r="D2" s="90"/>
      <c r="E2" s="90"/>
      <c r="F2" s="90"/>
      <c r="G2" s="90"/>
      <c r="H2" s="90"/>
      <c r="I2" s="90"/>
      <c r="J2" s="90"/>
      <c r="K2" s="91"/>
    </row>
    <row r="3" spans="1:11" ht="7.15" customHeight="1" x14ac:dyDescent="0.25">
      <c r="A3" s="21"/>
      <c r="B3" s="57"/>
      <c r="C3" s="57"/>
      <c r="D3" s="57"/>
      <c r="E3" s="57"/>
      <c r="F3" s="57"/>
      <c r="G3" s="57"/>
      <c r="H3" s="57"/>
      <c r="I3" s="57"/>
      <c r="J3" s="57"/>
      <c r="K3" s="22"/>
    </row>
    <row r="4" spans="1:11" ht="15.6" customHeight="1" x14ac:dyDescent="0.25">
      <c r="A4" s="23" t="s">
        <v>159</v>
      </c>
      <c r="B4" s="58"/>
      <c r="C4" s="58" t="s">
        <v>111</v>
      </c>
      <c r="D4" s="58"/>
      <c r="E4" s="58"/>
      <c r="F4" s="59"/>
      <c r="G4" s="59"/>
      <c r="H4" s="59"/>
      <c r="I4" s="59"/>
      <c r="J4" s="59"/>
      <c r="K4" s="24"/>
    </row>
    <row r="5" spans="1:11" ht="7.9" customHeight="1" x14ac:dyDescent="0.25">
      <c r="A5" s="23"/>
      <c r="B5" s="58"/>
      <c r="C5" s="58"/>
      <c r="D5" s="58"/>
      <c r="E5" s="58"/>
      <c r="F5" s="59"/>
      <c r="G5" s="59"/>
      <c r="H5" s="59"/>
      <c r="I5" s="59"/>
      <c r="J5" s="59"/>
      <c r="K5" s="24"/>
    </row>
    <row r="6" spans="1:11" ht="15.75" x14ac:dyDescent="0.25">
      <c r="A6" s="92" t="s">
        <v>37</v>
      </c>
      <c r="B6" s="93"/>
      <c r="C6" s="96">
        <v>44175</v>
      </c>
      <c r="D6" s="96"/>
      <c r="E6" s="96"/>
      <c r="F6" s="59"/>
      <c r="G6" s="97" t="s">
        <v>2</v>
      </c>
      <c r="H6" s="97"/>
      <c r="I6" s="97"/>
      <c r="J6" s="60" t="s">
        <v>109</v>
      </c>
      <c r="K6" s="24"/>
    </row>
    <row r="7" spans="1:11" ht="7.9" customHeight="1" x14ac:dyDescent="0.25">
      <c r="A7" s="94"/>
      <c r="B7" s="95"/>
      <c r="C7" s="25"/>
      <c r="D7" s="25"/>
      <c r="E7" s="25"/>
      <c r="F7" s="26"/>
      <c r="G7" s="26"/>
      <c r="H7" s="26"/>
      <c r="I7" s="26"/>
      <c r="J7" s="26"/>
      <c r="K7" s="27"/>
    </row>
    <row r="8" spans="1:11" ht="7.9" customHeight="1" x14ac:dyDescent="0.25">
      <c r="A8" s="28"/>
      <c r="B8" s="28"/>
      <c r="C8" s="28"/>
      <c r="D8" s="28"/>
      <c r="E8" s="28"/>
      <c r="F8" s="28"/>
      <c r="G8" s="28"/>
      <c r="H8" s="28"/>
      <c r="I8" s="28"/>
      <c r="J8" s="28"/>
      <c r="K8" s="28"/>
    </row>
    <row r="9" spans="1:11" x14ac:dyDescent="0.25">
      <c r="A9" s="28"/>
      <c r="B9" s="28"/>
      <c r="C9" s="28"/>
      <c r="D9" s="28"/>
      <c r="E9" s="28"/>
      <c r="F9" s="29" t="s">
        <v>3</v>
      </c>
      <c r="G9" s="30"/>
      <c r="H9" s="30"/>
      <c r="I9" s="28"/>
      <c r="J9" s="31" t="s">
        <v>340</v>
      </c>
      <c r="K9" s="31"/>
    </row>
    <row r="10" spans="1:11" x14ac:dyDescent="0.25">
      <c r="A10" s="28"/>
      <c r="B10" s="28"/>
      <c r="C10" s="28"/>
      <c r="D10" s="28"/>
      <c r="E10" s="28"/>
      <c r="F10" s="29" t="s">
        <v>4</v>
      </c>
      <c r="G10" s="30"/>
      <c r="H10" s="30"/>
      <c r="I10" s="28"/>
      <c r="J10" s="31"/>
      <c r="K10" s="31"/>
    </row>
    <row r="11" spans="1:11" x14ac:dyDescent="0.25">
      <c r="A11" s="28"/>
      <c r="B11" s="28"/>
      <c r="C11" s="28"/>
      <c r="D11" s="28"/>
      <c r="E11" s="28"/>
      <c r="F11" s="29" t="s">
        <v>5</v>
      </c>
      <c r="G11" s="30"/>
      <c r="H11" s="30"/>
      <c r="I11" s="28"/>
      <c r="J11" s="31" t="s">
        <v>9</v>
      </c>
      <c r="K11" s="31"/>
    </row>
    <row r="12" spans="1:11" x14ac:dyDescent="0.25">
      <c r="A12" s="28"/>
      <c r="B12" s="28"/>
      <c r="C12" s="28"/>
      <c r="D12" s="28"/>
      <c r="E12" s="28"/>
      <c r="F12" s="29" t="s">
        <v>6</v>
      </c>
      <c r="G12" s="30"/>
      <c r="H12" s="30"/>
      <c r="I12" s="28"/>
      <c r="J12" s="31"/>
      <c r="K12" s="31"/>
    </row>
    <row r="13" spans="1:11" x14ac:dyDescent="0.25">
      <c r="A13" s="28"/>
      <c r="B13" s="28"/>
      <c r="C13" s="28"/>
      <c r="D13" s="28"/>
      <c r="E13" s="28"/>
      <c r="F13" s="29" t="s">
        <v>7</v>
      </c>
      <c r="G13" s="30"/>
      <c r="H13" s="30"/>
      <c r="I13" s="28"/>
      <c r="J13" s="31"/>
      <c r="K13" s="31"/>
    </row>
    <row r="14" spans="1:11" x14ac:dyDescent="0.25">
      <c r="A14" s="28"/>
      <c r="B14" s="28"/>
      <c r="C14" s="28"/>
      <c r="D14" s="28"/>
      <c r="E14" s="28"/>
      <c r="F14" s="29" t="s">
        <v>8</v>
      </c>
      <c r="G14" s="30"/>
      <c r="H14" s="30"/>
      <c r="I14" s="28"/>
      <c r="J14" s="31" t="s">
        <v>39</v>
      </c>
      <c r="K14" s="31"/>
    </row>
    <row r="15" spans="1:11" ht="7.15" customHeight="1" thickBot="1" x14ac:dyDescent="0.3">
      <c r="A15" s="32"/>
      <c r="B15" s="32"/>
      <c r="C15" s="32"/>
      <c r="D15" s="32"/>
      <c r="E15" s="32"/>
      <c r="F15" s="32"/>
      <c r="G15" s="32"/>
      <c r="H15" s="32"/>
      <c r="I15" s="32"/>
      <c r="J15" s="32"/>
      <c r="K15" s="32"/>
    </row>
    <row r="16" spans="1:11" x14ac:dyDescent="0.25">
      <c r="A16" s="98"/>
      <c r="B16" s="98"/>
      <c r="C16" s="98"/>
      <c r="D16" s="98"/>
      <c r="E16" s="98"/>
      <c r="F16" s="98"/>
      <c r="G16" s="98"/>
      <c r="H16" s="98"/>
      <c r="I16" s="98"/>
      <c r="J16" s="98"/>
      <c r="K16" s="98"/>
    </row>
    <row r="17" spans="1:11" x14ac:dyDescent="0.25">
      <c r="A17" s="33" t="s">
        <v>11</v>
      </c>
      <c r="B17" s="33"/>
      <c r="C17" s="33"/>
      <c r="D17" s="33" t="s">
        <v>111</v>
      </c>
      <c r="E17" s="33"/>
      <c r="F17" s="33"/>
      <c r="G17" s="33"/>
      <c r="H17" s="33"/>
      <c r="I17" s="33"/>
      <c r="J17" s="33"/>
      <c r="K17" s="33"/>
    </row>
    <row r="18" spans="1:11" x14ac:dyDescent="0.25">
      <c r="A18" s="33"/>
      <c r="B18" s="33"/>
      <c r="C18" s="33"/>
      <c r="D18" s="34" t="s">
        <v>3</v>
      </c>
      <c r="E18" s="33"/>
      <c r="F18" s="33"/>
      <c r="G18" s="33"/>
      <c r="H18" s="33"/>
      <c r="I18" s="33"/>
      <c r="J18" s="33"/>
      <c r="K18" s="33"/>
    </row>
    <row r="19" spans="1:11" x14ac:dyDescent="0.25">
      <c r="A19" s="33"/>
      <c r="B19" s="33"/>
      <c r="C19" s="33"/>
      <c r="D19" s="34" t="s">
        <v>4</v>
      </c>
      <c r="E19" s="33"/>
      <c r="F19" s="33"/>
      <c r="G19" s="33"/>
      <c r="H19" s="33"/>
      <c r="I19" s="33"/>
      <c r="J19" s="33"/>
      <c r="K19" s="33"/>
    </row>
    <row r="20" spans="1:11" x14ac:dyDescent="0.25">
      <c r="A20" s="33"/>
      <c r="B20" s="33"/>
      <c r="C20" s="33"/>
      <c r="D20" s="34" t="s">
        <v>5</v>
      </c>
      <c r="E20" s="33"/>
      <c r="F20" s="33"/>
      <c r="G20" s="33"/>
      <c r="H20" s="33"/>
      <c r="I20" s="33"/>
      <c r="J20" s="33"/>
      <c r="K20" s="33"/>
    </row>
    <row r="21" spans="1:11" x14ac:dyDescent="0.25">
      <c r="A21" s="33"/>
      <c r="B21" s="33"/>
      <c r="C21" s="33"/>
      <c r="D21" s="34" t="s">
        <v>6</v>
      </c>
      <c r="E21" s="33"/>
      <c r="F21" s="33"/>
      <c r="G21" s="33"/>
      <c r="H21" s="33"/>
      <c r="I21" s="33"/>
      <c r="J21" s="33"/>
      <c r="K21" s="33"/>
    </row>
    <row r="22" spans="1:11" x14ac:dyDescent="0.25">
      <c r="A22" s="33"/>
      <c r="B22" s="33"/>
      <c r="C22" s="33"/>
      <c r="D22" s="34" t="s">
        <v>7</v>
      </c>
      <c r="E22" s="33"/>
      <c r="F22" s="33"/>
      <c r="G22" s="33"/>
      <c r="H22" s="33"/>
      <c r="I22" s="33"/>
      <c r="J22" s="33"/>
      <c r="K22" s="33"/>
    </row>
    <row r="23" spans="1:11" x14ac:dyDescent="0.25">
      <c r="A23" s="33"/>
      <c r="B23" s="33"/>
      <c r="C23" s="33"/>
      <c r="D23" s="29"/>
      <c r="E23" s="33"/>
      <c r="F23" s="33"/>
      <c r="G23" s="33"/>
      <c r="H23" s="33"/>
      <c r="I23" s="33"/>
      <c r="J23" s="33"/>
      <c r="K23" s="33"/>
    </row>
    <row r="24" spans="1:11" x14ac:dyDescent="0.25">
      <c r="A24" s="85" t="s">
        <v>20</v>
      </c>
      <c r="B24" s="85"/>
      <c r="C24" s="33"/>
      <c r="D24" s="55">
        <v>78546978</v>
      </c>
      <c r="E24" s="33"/>
      <c r="F24" s="33"/>
      <c r="G24" s="33"/>
      <c r="H24" s="33"/>
      <c r="I24" s="33"/>
      <c r="J24" s="33"/>
      <c r="K24" s="33"/>
    </row>
    <row r="25" spans="1:11" x14ac:dyDescent="0.25">
      <c r="A25" s="85" t="s">
        <v>31</v>
      </c>
      <c r="B25" s="85"/>
      <c r="C25" s="33"/>
      <c r="D25" s="33" t="s">
        <v>109</v>
      </c>
      <c r="E25" s="33" t="s">
        <v>193</v>
      </c>
      <c r="F25" s="33"/>
      <c r="G25" s="33"/>
      <c r="H25" s="33"/>
      <c r="I25" s="33"/>
      <c r="J25" s="33"/>
      <c r="K25" s="33"/>
    </row>
    <row r="26" spans="1:11" x14ac:dyDescent="0.25">
      <c r="A26" s="85"/>
      <c r="B26" s="85"/>
      <c r="C26" s="33"/>
      <c r="D26" s="33"/>
      <c r="E26" s="33"/>
      <c r="F26" s="33"/>
      <c r="G26" s="33"/>
      <c r="H26" s="33"/>
      <c r="I26" s="33"/>
      <c r="J26" s="33"/>
      <c r="K26" s="33"/>
    </row>
    <row r="27" spans="1:11" x14ac:dyDescent="0.25">
      <c r="A27" s="85" t="s">
        <v>21</v>
      </c>
      <c r="B27" s="85"/>
      <c r="C27" s="28"/>
      <c r="D27" s="33" t="s">
        <v>32</v>
      </c>
      <c r="E27" s="33"/>
      <c r="F27" s="33"/>
      <c r="G27" s="33"/>
      <c r="H27" s="33"/>
      <c r="I27" s="33"/>
      <c r="J27" s="33"/>
      <c r="K27" s="33"/>
    </row>
    <row r="28" spans="1:11" x14ac:dyDescent="0.25">
      <c r="A28" s="85" t="s">
        <v>22</v>
      </c>
      <c r="B28" s="85"/>
      <c r="C28" s="28"/>
      <c r="D28" s="55" t="str">
        <f>IF(Checks!C30="0","",Checks!C30)</f>
        <v/>
      </c>
      <c r="E28" s="55"/>
      <c r="F28" s="35"/>
      <c r="G28" s="33"/>
      <c r="H28" s="33"/>
      <c r="I28" s="33"/>
      <c r="J28" s="33"/>
      <c r="K28" s="33"/>
    </row>
    <row r="29" spans="1:11" x14ac:dyDescent="0.25">
      <c r="A29" s="85" t="s">
        <v>23</v>
      </c>
      <c r="B29" s="85"/>
      <c r="C29" s="28"/>
      <c r="D29" s="33" t="s">
        <v>33</v>
      </c>
      <c r="E29" s="33"/>
      <c r="F29" s="33"/>
      <c r="G29" s="33"/>
      <c r="H29" s="33"/>
      <c r="I29" s="33"/>
      <c r="J29" s="33"/>
      <c r="K29" s="33"/>
    </row>
    <row r="30" spans="1:11" x14ac:dyDescent="0.25">
      <c r="A30" s="85" t="s">
        <v>24</v>
      </c>
      <c r="B30" s="85"/>
      <c r="C30" s="28"/>
      <c r="D30" s="55">
        <v>1243</v>
      </c>
      <c r="E30" s="33"/>
      <c r="F30" s="33"/>
      <c r="G30" s="33"/>
      <c r="H30" s="33"/>
      <c r="I30" s="33"/>
      <c r="J30" s="33"/>
      <c r="K30" s="33"/>
    </row>
    <row r="31" spans="1:11" x14ac:dyDescent="0.25">
      <c r="A31" s="55"/>
      <c r="B31" s="55"/>
      <c r="C31" s="28"/>
      <c r="D31" s="55"/>
      <c r="E31" s="33"/>
      <c r="F31" s="33"/>
      <c r="G31" s="33"/>
      <c r="H31" s="33"/>
      <c r="I31" s="33"/>
      <c r="J31" s="33"/>
      <c r="K31" s="33"/>
    </row>
    <row r="32" spans="1:11" x14ac:dyDescent="0.25">
      <c r="A32" s="85" t="s">
        <v>30</v>
      </c>
      <c r="B32" s="85"/>
      <c r="C32" s="28"/>
      <c r="D32" s="33" t="s">
        <v>110</v>
      </c>
      <c r="E32" s="33"/>
      <c r="F32" s="33"/>
      <c r="G32" s="33"/>
      <c r="H32" s="33"/>
      <c r="I32" s="33"/>
      <c r="J32" s="33"/>
      <c r="K32" s="33"/>
    </row>
    <row r="33" spans="1:11" x14ac:dyDescent="0.25">
      <c r="A33" s="85"/>
      <c r="B33" s="85"/>
      <c r="C33" s="28"/>
      <c r="D33" s="33"/>
      <c r="E33" s="33"/>
      <c r="F33" s="33"/>
      <c r="G33" s="33"/>
      <c r="H33" s="33"/>
      <c r="I33" s="33"/>
      <c r="J33" s="33"/>
      <c r="K33" s="33"/>
    </row>
    <row r="34" spans="1:11" x14ac:dyDescent="0.25">
      <c r="A34" s="85" t="s">
        <v>25</v>
      </c>
      <c r="B34" s="85"/>
      <c r="C34" s="28"/>
      <c r="D34" s="100">
        <v>44175</v>
      </c>
      <c r="E34" s="100"/>
      <c r="F34" s="33"/>
      <c r="G34" s="33"/>
      <c r="H34" s="33"/>
      <c r="I34" s="33"/>
      <c r="J34" s="33"/>
      <c r="K34" s="33"/>
    </row>
    <row r="35" spans="1:11" x14ac:dyDescent="0.25">
      <c r="A35" s="85" t="s">
        <v>26</v>
      </c>
      <c r="B35" s="85"/>
      <c r="C35" s="28"/>
      <c r="D35" s="33" t="str">
        <f>'Test Equ'!B39</f>
        <v>A002-2, A008, C007</v>
      </c>
      <c r="E35" s="33"/>
      <c r="F35" s="33"/>
      <c r="G35" s="33"/>
      <c r="H35" s="33"/>
      <c r="I35" s="33"/>
      <c r="J35" s="33"/>
      <c r="K35" s="33"/>
    </row>
    <row r="36" spans="1:11" x14ac:dyDescent="0.25">
      <c r="A36" s="85" t="s">
        <v>27</v>
      </c>
      <c r="B36" s="85"/>
      <c r="C36" s="28"/>
      <c r="D36" s="33" t="s">
        <v>34</v>
      </c>
      <c r="E36" s="33"/>
      <c r="F36" s="33"/>
      <c r="G36" s="33"/>
      <c r="H36" s="33"/>
      <c r="I36" s="33"/>
      <c r="J36" s="33"/>
      <c r="K36" s="33"/>
    </row>
    <row r="37" spans="1:11" x14ac:dyDescent="0.25">
      <c r="A37" s="85" t="s">
        <v>28</v>
      </c>
      <c r="B37" s="85"/>
      <c r="C37" s="28"/>
      <c r="D37" s="33" t="s">
        <v>35</v>
      </c>
      <c r="E37" s="33"/>
      <c r="F37" s="33"/>
      <c r="G37" s="33"/>
      <c r="H37" s="33"/>
      <c r="I37" s="33"/>
      <c r="J37" s="33"/>
      <c r="K37" s="33"/>
    </row>
    <row r="38" spans="1:11" x14ac:dyDescent="0.25">
      <c r="A38" s="85" t="s">
        <v>29</v>
      </c>
      <c r="B38" s="85"/>
      <c r="C38" s="28"/>
      <c r="D38" s="85" t="s">
        <v>36</v>
      </c>
      <c r="E38" s="85"/>
      <c r="F38" s="33"/>
      <c r="G38" s="33"/>
      <c r="H38" s="33"/>
      <c r="I38" s="33"/>
      <c r="J38" s="33"/>
      <c r="K38" s="33"/>
    </row>
    <row r="39" spans="1:11" ht="7.9" customHeight="1" x14ac:dyDescent="0.25">
      <c r="A39" s="33"/>
      <c r="B39" s="33"/>
      <c r="C39" s="33"/>
      <c r="D39" s="33"/>
      <c r="E39" s="33"/>
      <c r="F39" s="33"/>
      <c r="G39" s="33"/>
      <c r="H39" s="33"/>
      <c r="I39" s="33"/>
      <c r="J39" s="33"/>
      <c r="K39" s="33"/>
    </row>
    <row r="40" spans="1:11" x14ac:dyDescent="0.25">
      <c r="A40" s="33" t="s">
        <v>45</v>
      </c>
      <c r="B40" s="33"/>
      <c r="C40" s="33"/>
      <c r="D40" s="33"/>
      <c r="E40" s="33"/>
      <c r="F40" s="33"/>
      <c r="G40" s="33"/>
      <c r="H40" s="33"/>
      <c r="I40" s="33"/>
      <c r="J40" s="33"/>
      <c r="K40" s="33"/>
    </row>
    <row r="41" spans="1:11" ht="7.9" customHeight="1" x14ac:dyDescent="0.25">
      <c r="A41" s="33"/>
      <c r="B41" s="33"/>
      <c r="C41" s="33"/>
      <c r="D41" s="33"/>
      <c r="E41" s="33"/>
      <c r="F41" s="33"/>
      <c r="G41" s="33"/>
      <c r="H41" s="33"/>
      <c r="I41" s="33"/>
      <c r="J41" s="33"/>
      <c r="K41" s="33"/>
    </row>
    <row r="42" spans="1:11" x14ac:dyDescent="0.25">
      <c r="A42" s="85" t="s">
        <v>43</v>
      </c>
      <c r="B42" s="85"/>
      <c r="C42" s="33" t="e">
        <f>VLOOKUP(K219,'Test Equ'!A:B,2,0)</f>
        <v>#N/A</v>
      </c>
      <c r="D42" s="33"/>
      <c r="E42" s="33"/>
      <c r="F42" s="33"/>
      <c r="G42" s="33"/>
      <c r="H42" s="33"/>
      <c r="I42" s="33"/>
      <c r="J42" s="33"/>
      <c r="K42" s="33"/>
    </row>
    <row r="43" spans="1:11" x14ac:dyDescent="0.25">
      <c r="A43" s="33"/>
      <c r="B43" s="33"/>
      <c r="C43" s="33" t="e">
        <f>VLOOKUP(K220,'Test Equ'!A:B,2,0)</f>
        <v>#N/A</v>
      </c>
      <c r="D43" s="33"/>
      <c r="E43" s="33"/>
      <c r="F43" s="33"/>
      <c r="G43" s="33"/>
      <c r="H43" s="33"/>
      <c r="I43" s="33"/>
      <c r="J43" s="33"/>
      <c r="K43" s="33"/>
    </row>
    <row r="44" spans="1:11" ht="7.9" customHeight="1" x14ac:dyDescent="0.25">
      <c r="A44" s="33"/>
      <c r="B44" s="33"/>
      <c r="C44" s="33"/>
      <c r="D44" s="33"/>
      <c r="E44" s="33"/>
      <c r="F44" s="33"/>
      <c r="G44" s="33"/>
      <c r="H44" s="33"/>
      <c r="I44" s="33"/>
      <c r="J44" s="33"/>
      <c r="K44" s="33"/>
    </row>
    <row r="45" spans="1:11" x14ac:dyDescent="0.25">
      <c r="A45" s="85" t="s">
        <v>92</v>
      </c>
      <c r="B45" s="85"/>
      <c r="C45" s="85"/>
      <c r="D45" s="85"/>
      <c r="E45" s="85"/>
      <c r="F45" s="85"/>
      <c r="G45" s="85"/>
      <c r="H45" s="85"/>
      <c r="I45" s="85"/>
      <c r="J45" s="85"/>
      <c r="K45" s="85"/>
    </row>
    <row r="46" spans="1:11" ht="7.9" customHeight="1" x14ac:dyDescent="0.25">
      <c r="A46" s="33"/>
      <c r="B46" s="33"/>
      <c r="C46" s="33"/>
      <c r="D46" s="33"/>
      <c r="E46" s="33"/>
      <c r="F46" s="33"/>
      <c r="G46" s="33"/>
      <c r="H46" s="33"/>
      <c r="I46" s="33"/>
      <c r="J46" s="33"/>
      <c r="K46" s="33"/>
    </row>
    <row r="47" spans="1:11" x14ac:dyDescent="0.25">
      <c r="A47" s="85" t="s">
        <v>93</v>
      </c>
      <c r="B47" s="85"/>
      <c r="C47" s="85"/>
      <c r="D47" s="85"/>
      <c r="E47" s="85"/>
      <c r="F47" s="85"/>
      <c r="G47" s="85"/>
      <c r="H47" s="85"/>
      <c r="I47" s="85"/>
      <c r="J47" s="85"/>
      <c r="K47" s="85"/>
    </row>
    <row r="48" spans="1:11" ht="7.9" customHeight="1" x14ac:dyDescent="0.25">
      <c r="A48" s="33"/>
      <c r="B48" s="33"/>
      <c r="C48" s="33"/>
      <c r="D48" s="33"/>
      <c r="E48" s="33"/>
      <c r="F48" s="33"/>
      <c r="G48" s="33"/>
      <c r="H48" s="33"/>
      <c r="I48" s="33"/>
      <c r="J48" s="33"/>
      <c r="K48" s="33"/>
    </row>
    <row r="49" spans="1:11" x14ac:dyDescent="0.25">
      <c r="A49" s="99" t="s">
        <v>94</v>
      </c>
      <c r="B49" s="99"/>
      <c r="C49" s="99"/>
      <c r="D49" s="99"/>
      <c r="E49" s="99"/>
      <c r="F49" s="99"/>
      <c r="G49" s="99"/>
      <c r="H49" s="99"/>
      <c r="I49" s="99"/>
      <c r="J49" s="99"/>
      <c r="K49" s="99"/>
    </row>
    <row r="50" spans="1:11" x14ac:dyDescent="0.25">
      <c r="A50" s="99"/>
      <c r="B50" s="99"/>
      <c r="C50" s="99"/>
      <c r="D50" s="99"/>
      <c r="E50" s="99"/>
      <c r="F50" s="99"/>
      <c r="G50" s="99"/>
      <c r="H50" s="99"/>
      <c r="I50" s="99"/>
      <c r="J50" s="99"/>
      <c r="K50" s="99"/>
    </row>
    <row r="51" spans="1:11" x14ac:dyDescent="0.25">
      <c r="A51" s="99"/>
      <c r="B51" s="99"/>
      <c r="C51" s="99"/>
      <c r="D51" s="99"/>
      <c r="E51" s="99"/>
      <c r="F51" s="99"/>
      <c r="G51" s="99"/>
      <c r="H51" s="99"/>
      <c r="I51" s="99"/>
      <c r="J51" s="99"/>
      <c r="K51" s="99"/>
    </row>
    <row r="52" spans="1:11" ht="7.9" customHeight="1" x14ac:dyDescent="0.25">
      <c r="A52" s="33"/>
      <c r="B52" s="33"/>
      <c r="C52" s="33"/>
      <c r="D52" s="33"/>
      <c r="E52" s="33"/>
      <c r="F52" s="33"/>
      <c r="G52" s="33"/>
      <c r="H52" s="33"/>
      <c r="I52" s="33"/>
      <c r="J52" s="33"/>
      <c r="K52" s="33"/>
    </row>
    <row r="53" spans="1:11" x14ac:dyDescent="0.25">
      <c r="A53" s="33" t="s">
        <v>95</v>
      </c>
      <c r="B53" s="33"/>
      <c r="C53" s="33"/>
      <c r="D53" s="33"/>
      <c r="E53" s="33"/>
      <c r="F53" s="33"/>
      <c r="G53" s="33"/>
      <c r="H53" s="33"/>
      <c r="I53" s="33"/>
      <c r="J53" s="33"/>
      <c r="K53" s="33"/>
    </row>
    <row r="54" spans="1:11" x14ac:dyDescent="0.25">
      <c r="A54" s="85"/>
      <c r="B54" s="85"/>
      <c r="C54" s="85"/>
      <c r="D54" s="85"/>
      <c r="E54" s="85"/>
      <c r="F54" s="85"/>
      <c r="G54" s="85"/>
      <c r="H54" s="85"/>
      <c r="I54" s="85"/>
      <c r="J54" s="85"/>
      <c r="K54" s="85"/>
    </row>
    <row r="55" spans="1:11" x14ac:dyDescent="0.25">
      <c r="A55" s="85"/>
      <c r="B55" s="85"/>
      <c r="C55" s="85"/>
      <c r="D55" s="85"/>
      <c r="E55" s="85"/>
      <c r="F55" s="85"/>
      <c r="G55" s="85"/>
      <c r="H55" s="85"/>
      <c r="I55" s="85"/>
      <c r="J55" s="85"/>
      <c r="K55" s="85"/>
    </row>
    <row r="56" spans="1:11" x14ac:dyDescent="0.25">
      <c r="A56" s="85"/>
      <c r="B56" s="85"/>
      <c r="C56" s="85"/>
      <c r="D56" s="85"/>
      <c r="E56" s="85"/>
      <c r="F56" s="85"/>
      <c r="G56" s="85"/>
      <c r="H56" s="85"/>
      <c r="I56" s="85"/>
      <c r="J56" s="85"/>
      <c r="K56" s="85"/>
    </row>
    <row r="57" spans="1:11" x14ac:dyDescent="0.25">
      <c r="A57" s="85"/>
      <c r="B57" s="85"/>
      <c r="C57" s="85"/>
      <c r="D57" s="85"/>
      <c r="E57" s="85"/>
      <c r="F57" s="85"/>
      <c r="G57" s="85"/>
      <c r="H57" s="85"/>
      <c r="I57" s="85"/>
      <c r="J57" s="85"/>
      <c r="K57" s="85"/>
    </row>
    <row r="58" spans="1:11" x14ac:dyDescent="0.25">
      <c r="A58" s="33"/>
      <c r="B58" s="33"/>
      <c r="C58" s="33"/>
      <c r="D58" s="33"/>
      <c r="E58" s="33"/>
      <c r="F58" s="33"/>
      <c r="G58" s="33"/>
      <c r="H58" s="33"/>
      <c r="I58" s="33"/>
      <c r="J58" s="33"/>
      <c r="K58" s="33"/>
    </row>
    <row r="59" spans="1:11" x14ac:dyDescent="0.25">
      <c r="A59" s="33" t="s">
        <v>108</v>
      </c>
      <c r="B59" s="33"/>
      <c r="C59" s="33" t="s">
        <v>39</v>
      </c>
      <c r="D59" s="33"/>
      <c r="E59" s="33"/>
      <c r="F59" s="33"/>
      <c r="G59" s="33"/>
      <c r="H59" s="33"/>
      <c r="I59" s="33"/>
      <c r="J59" s="36"/>
      <c r="K59" s="36"/>
    </row>
    <row r="60" spans="1:11" x14ac:dyDescent="0.25">
      <c r="A60" s="37"/>
      <c r="B60" s="37"/>
      <c r="C60" s="37"/>
      <c r="D60" s="37"/>
      <c r="E60" s="37"/>
      <c r="F60" s="37"/>
      <c r="G60" s="37"/>
      <c r="H60" s="37"/>
      <c r="I60" s="37"/>
      <c r="J60" s="37"/>
      <c r="K60" s="37"/>
    </row>
    <row r="61" spans="1:11" x14ac:dyDescent="0.25">
      <c r="A61" s="107" t="s">
        <v>0</v>
      </c>
      <c r="B61" s="108"/>
      <c r="C61" s="108"/>
      <c r="D61" s="108"/>
      <c r="E61" s="108"/>
      <c r="F61" s="108"/>
      <c r="G61" s="109"/>
      <c r="H61" s="28"/>
      <c r="I61" s="116" t="s">
        <v>1</v>
      </c>
      <c r="J61" s="148" t="str">
        <f>$J$6</f>
        <v>C024567</v>
      </c>
      <c r="K61" s="119"/>
    </row>
    <row r="62" spans="1:11" x14ac:dyDescent="0.25">
      <c r="A62" s="110"/>
      <c r="B62" s="111"/>
      <c r="C62" s="111"/>
      <c r="D62" s="111"/>
      <c r="E62" s="111"/>
      <c r="F62" s="111"/>
      <c r="G62" s="112"/>
      <c r="H62" s="28"/>
      <c r="I62" s="117"/>
      <c r="J62" s="120"/>
      <c r="K62" s="121"/>
    </row>
    <row r="63" spans="1:11" x14ac:dyDescent="0.25">
      <c r="A63" s="110"/>
      <c r="B63" s="111"/>
      <c r="C63" s="111"/>
      <c r="D63" s="111"/>
      <c r="E63" s="111"/>
      <c r="F63" s="111"/>
      <c r="G63" s="112"/>
      <c r="H63" s="28"/>
      <c r="I63" s="122" t="s">
        <v>342</v>
      </c>
      <c r="J63" s="123"/>
      <c r="K63" s="124"/>
    </row>
    <row r="64" spans="1:11" x14ac:dyDescent="0.25">
      <c r="A64" s="113"/>
      <c r="B64" s="114"/>
      <c r="C64" s="114"/>
      <c r="D64" s="114"/>
      <c r="E64" s="114"/>
      <c r="F64" s="114"/>
      <c r="G64" s="115"/>
      <c r="H64" s="28"/>
      <c r="I64" s="125"/>
      <c r="J64" s="126"/>
      <c r="K64" s="127"/>
    </row>
    <row r="65" spans="1:11" x14ac:dyDescent="0.25">
      <c r="A65" s="28"/>
      <c r="B65" s="28"/>
      <c r="C65" s="28"/>
      <c r="D65" s="28"/>
      <c r="E65" s="28"/>
      <c r="F65" s="28"/>
      <c r="G65" s="28"/>
      <c r="H65" s="28"/>
      <c r="I65" s="28"/>
      <c r="J65" s="28"/>
      <c r="K65" s="28"/>
    </row>
    <row r="66" spans="1:11" ht="15.75" x14ac:dyDescent="0.25">
      <c r="A66" s="101" t="s">
        <v>128</v>
      </c>
      <c r="B66" s="101"/>
      <c r="C66" s="101"/>
      <c r="D66" s="101"/>
      <c r="E66" s="101"/>
      <c r="F66" s="101"/>
      <c r="G66" s="101"/>
      <c r="H66" s="101"/>
      <c r="I66" s="101"/>
      <c r="J66" s="101"/>
      <c r="K66" s="101"/>
    </row>
    <row r="67" spans="1:11" x14ac:dyDescent="0.25">
      <c r="A67" s="102" t="s">
        <v>115</v>
      </c>
      <c r="B67" s="102"/>
      <c r="C67" s="28"/>
      <c r="D67" s="28"/>
      <c r="E67" s="28"/>
      <c r="F67" s="28"/>
      <c r="G67" s="28"/>
      <c r="H67" s="28"/>
      <c r="I67" s="28"/>
      <c r="J67" s="28"/>
      <c r="K67" s="28"/>
    </row>
    <row r="68" spans="1:11" x14ac:dyDescent="0.25">
      <c r="A68" s="28"/>
      <c r="B68" s="28"/>
      <c r="C68" s="28"/>
      <c r="D68" s="28"/>
      <c r="E68" s="28"/>
      <c r="F68" s="28"/>
      <c r="G68" s="28"/>
      <c r="H68" s="28"/>
      <c r="I68" s="28"/>
      <c r="J68" s="28"/>
      <c r="K68" s="28"/>
    </row>
    <row r="69" spans="1:11" x14ac:dyDescent="0.25">
      <c r="A69" s="157" t="s">
        <v>130</v>
      </c>
      <c r="B69" s="157"/>
      <c r="C69" s="157"/>
      <c r="D69" s="157"/>
      <c r="E69" s="157"/>
      <c r="F69" s="157"/>
      <c r="G69" s="157"/>
      <c r="H69" s="157"/>
      <c r="I69" s="157"/>
      <c r="J69" s="157"/>
      <c r="K69" s="157"/>
    </row>
    <row r="70" spans="1:11" x14ac:dyDescent="0.25">
      <c r="A70" s="157"/>
      <c r="B70" s="157"/>
      <c r="C70" s="157"/>
      <c r="D70" s="157"/>
      <c r="E70" s="157"/>
      <c r="F70" s="157"/>
      <c r="G70" s="157"/>
      <c r="H70" s="157"/>
      <c r="I70" s="157"/>
      <c r="J70" s="157"/>
      <c r="K70" s="157"/>
    </row>
    <row r="71" spans="1:11" x14ac:dyDescent="0.25">
      <c r="A71" s="157"/>
      <c r="B71" s="157"/>
      <c r="C71" s="157"/>
      <c r="D71" s="157"/>
      <c r="E71" s="157"/>
      <c r="F71" s="157"/>
      <c r="G71" s="157"/>
      <c r="H71" s="157"/>
      <c r="I71" s="157"/>
      <c r="J71" s="157"/>
      <c r="K71" s="157"/>
    </row>
    <row r="72" spans="1:11" x14ac:dyDescent="0.25">
      <c r="A72" s="104" t="s">
        <v>343</v>
      </c>
      <c r="B72" s="104"/>
      <c r="C72" s="104"/>
      <c r="D72" s="104"/>
      <c r="E72" s="104"/>
      <c r="F72" s="104"/>
      <c r="G72" s="104"/>
      <c r="H72" s="104"/>
      <c r="I72" s="104"/>
      <c r="J72" s="104"/>
      <c r="K72" s="104"/>
    </row>
    <row r="73" spans="1:11" x14ac:dyDescent="0.25">
      <c r="A73" s="104" t="str">
        <f>IF(E25="A","Frequency 400Hz.","Frequency 60Hz.")</f>
        <v>Frequency 400Hz.</v>
      </c>
      <c r="B73" s="104"/>
      <c r="C73" s="104"/>
      <c r="D73" s="104"/>
      <c r="E73" s="104"/>
      <c r="F73" s="104"/>
      <c r="G73" s="104"/>
      <c r="H73" s="104"/>
      <c r="I73" s="104"/>
      <c r="J73" s="104"/>
      <c r="K73" s="104"/>
    </row>
    <row r="74" spans="1:11" x14ac:dyDescent="0.25">
      <c r="A74" s="28"/>
      <c r="B74" s="28"/>
      <c r="C74" s="28"/>
      <c r="D74" s="28"/>
      <c r="E74" s="28"/>
      <c r="F74" s="28"/>
      <c r="G74" s="28"/>
      <c r="H74" s="28"/>
      <c r="I74" s="28"/>
      <c r="J74" s="28"/>
      <c r="K74" s="28"/>
    </row>
    <row r="75" spans="1:11" ht="31.15" customHeight="1" x14ac:dyDescent="0.25">
      <c r="A75" s="48" t="s">
        <v>12</v>
      </c>
      <c r="B75" s="160" t="s">
        <v>13</v>
      </c>
      <c r="C75" s="160"/>
      <c r="D75" s="160" t="s">
        <v>14</v>
      </c>
      <c r="E75" s="160"/>
      <c r="F75" s="160" t="s">
        <v>15</v>
      </c>
      <c r="G75" s="160"/>
      <c r="H75" s="160" t="s">
        <v>16</v>
      </c>
      <c r="I75" s="160"/>
      <c r="J75" s="160" t="s">
        <v>17</v>
      </c>
      <c r="K75" s="160"/>
    </row>
    <row r="76" spans="1:11" ht="19.149999999999999" customHeight="1" x14ac:dyDescent="0.25">
      <c r="A76" s="48"/>
      <c r="B76" s="160" t="s">
        <v>18</v>
      </c>
      <c r="C76" s="160"/>
      <c r="D76" s="160" t="s">
        <v>18</v>
      </c>
      <c r="E76" s="160"/>
      <c r="F76" s="160" t="s">
        <v>19</v>
      </c>
      <c r="G76" s="160"/>
      <c r="H76" s="160" t="s">
        <v>18</v>
      </c>
      <c r="I76" s="160"/>
      <c r="J76" s="160" t="s">
        <v>19</v>
      </c>
      <c r="K76" s="160"/>
    </row>
    <row r="77" spans="1:11" ht="19.149999999999999" customHeight="1" x14ac:dyDescent="0.25">
      <c r="A77" s="51" t="s">
        <v>116</v>
      </c>
      <c r="B77" s="161">
        <v>10</v>
      </c>
      <c r="C77" s="161"/>
      <c r="D77" s="135"/>
      <c r="E77" s="135"/>
      <c r="F77" s="186" t="e">
        <f t="shared" ref="F77:F84" si="0">IF($K$219="UPC1",354*0.2/100,0.25/100*B77+0.1/100*354)</f>
        <v>#N/A</v>
      </c>
      <c r="G77" s="186"/>
      <c r="H77" s="136"/>
      <c r="I77" s="136"/>
      <c r="J77" s="133" t="e">
        <f t="shared" ref="J77:J84" si="1">IF($K$220="ASX",150*0.5/100,150*0.5/100)</f>
        <v>#N/A</v>
      </c>
      <c r="K77" s="134"/>
    </row>
    <row r="78" spans="1:11" ht="19.149999999999999" customHeight="1" x14ac:dyDescent="0.25">
      <c r="A78" s="51" t="s">
        <v>116</v>
      </c>
      <c r="B78" s="161">
        <v>25</v>
      </c>
      <c r="C78" s="161"/>
      <c r="D78" s="135"/>
      <c r="E78" s="135"/>
      <c r="F78" s="186" t="e">
        <f t="shared" si="0"/>
        <v>#N/A</v>
      </c>
      <c r="G78" s="186"/>
      <c r="H78" s="136"/>
      <c r="I78" s="136"/>
      <c r="J78" s="133" t="e">
        <f t="shared" si="1"/>
        <v>#N/A</v>
      </c>
      <c r="K78" s="134"/>
    </row>
    <row r="79" spans="1:11" ht="19.149999999999999" customHeight="1" x14ac:dyDescent="0.25">
      <c r="A79" s="51" t="s">
        <v>116</v>
      </c>
      <c r="B79" s="161">
        <v>50</v>
      </c>
      <c r="C79" s="161"/>
      <c r="D79" s="135"/>
      <c r="E79" s="135"/>
      <c r="F79" s="186" t="e">
        <f t="shared" si="0"/>
        <v>#N/A</v>
      </c>
      <c r="G79" s="186"/>
      <c r="H79" s="136"/>
      <c r="I79" s="136"/>
      <c r="J79" s="133" t="e">
        <f t="shared" si="1"/>
        <v>#N/A</v>
      </c>
      <c r="K79" s="134"/>
    </row>
    <row r="80" spans="1:11" ht="19.149999999999999" customHeight="1" x14ac:dyDescent="0.25">
      <c r="A80" s="51" t="s">
        <v>116</v>
      </c>
      <c r="B80" s="161">
        <v>75</v>
      </c>
      <c r="C80" s="161"/>
      <c r="D80" s="135"/>
      <c r="E80" s="135"/>
      <c r="F80" s="186" t="e">
        <f t="shared" si="0"/>
        <v>#N/A</v>
      </c>
      <c r="G80" s="186"/>
      <c r="H80" s="136"/>
      <c r="I80" s="136"/>
      <c r="J80" s="133" t="e">
        <f t="shared" si="1"/>
        <v>#N/A</v>
      </c>
      <c r="K80" s="134"/>
    </row>
    <row r="81" spans="1:11" ht="19.149999999999999" customHeight="1" x14ac:dyDescent="0.25">
      <c r="A81" s="51" t="s">
        <v>116</v>
      </c>
      <c r="B81" s="161">
        <v>100</v>
      </c>
      <c r="C81" s="161"/>
      <c r="D81" s="135"/>
      <c r="E81" s="135"/>
      <c r="F81" s="186" t="e">
        <f t="shared" si="0"/>
        <v>#N/A</v>
      </c>
      <c r="G81" s="186"/>
      <c r="H81" s="136"/>
      <c r="I81" s="136"/>
      <c r="J81" s="133" t="e">
        <f t="shared" si="1"/>
        <v>#N/A</v>
      </c>
      <c r="K81" s="134"/>
    </row>
    <row r="82" spans="1:11" ht="19.149999999999999" customHeight="1" x14ac:dyDescent="0.25">
      <c r="A82" s="51" t="s">
        <v>116</v>
      </c>
      <c r="B82" s="161">
        <v>115</v>
      </c>
      <c r="C82" s="161"/>
      <c r="D82" s="135"/>
      <c r="E82" s="135"/>
      <c r="F82" s="186" t="e">
        <f t="shared" si="0"/>
        <v>#N/A</v>
      </c>
      <c r="G82" s="186"/>
      <c r="H82" s="136"/>
      <c r="I82" s="136"/>
      <c r="J82" s="133" t="e">
        <f t="shared" si="1"/>
        <v>#N/A</v>
      </c>
      <c r="K82" s="134"/>
    </row>
    <row r="83" spans="1:11" ht="19.149999999999999" customHeight="1" x14ac:dyDescent="0.25">
      <c r="A83" s="51" t="s">
        <v>116</v>
      </c>
      <c r="B83" s="161">
        <v>125</v>
      </c>
      <c r="C83" s="161"/>
      <c r="D83" s="135"/>
      <c r="E83" s="135"/>
      <c r="F83" s="186" t="e">
        <f t="shared" si="0"/>
        <v>#N/A</v>
      </c>
      <c r="G83" s="186"/>
      <c r="H83" s="136"/>
      <c r="I83" s="136"/>
      <c r="J83" s="133" t="e">
        <f t="shared" si="1"/>
        <v>#N/A</v>
      </c>
      <c r="K83" s="134"/>
    </row>
    <row r="84" spans="1:11" ht="19.149999999999999" customHeight="1" x14ac:dyDescent="0.25">
      <c r="A84" s="51" t="s">
        <v>116</v>
      </c>
      <c r="B84" s="161">
        <v>132</v>
      </c>
      <c r="C84" s="161"/>
      <c r="D84" s="135"/>
      <c r="E84" s="135"/>
      <c r="F84" s="186" t="e">
        <f t="shared" si="0"/>
        <v>#N/A</v>
      </c>
      <c r="G84" s="186"/>
      <c r="H84" s="136"/>
      <c r="I84" s="136"/>
      <c r="J84" s="133" t="e">
        <f t="shared" si="1"/>
        <v>#N/A</v>
      </c>
      <c r="K84" s="134"/>
    </row>
    <row r="85" spans="1:11" x14ac:dyDescent="0.25">
      <c r="A85" s="28"/>
      <c r="B85" s="28"/>
      <c r="C85" s="28"/>
      <c r="D85" s="28"/>
      <c r="E85" s="28"/>
      <c r="F85" s="28"/>
      <c r="G85" s="28"/>
      <c r="H85" s="28"/>
      <c r="I85" s="28"/>
      <c r="J85" s="28"/>
      <c r="K85" s="28"/>
    </row>
    <row r="86" spans="1:11" x14ac:dyDescent="0.25">
      <c r="A86" s="5" t="s">
        <v>124</v>
      </c>
      <c r="B86" s="5"/>
      <c r="C86" s="5"/>
      <c r="D86" s="5" t="s">
        <v>125</v>
      </c>
      <c r="E86" s="5"/>
      <c r="F86" s="5"/>
      <c r="G86" s="5"/>
      <c r="H86" s="5"/>
      <c r="I86" s="5"/>
      <c r="J86" s="5"/>
      <c r="K86" s="5"/>
    </row>
    <row r="87" spans="1:11" x14ac:dyDescent="0.25">
      <c r="A87" s="28"/>
      <c r="B87" s="28"/>
      <c r="C87" s="28"/>
      <c r="D87" s="28"/>
      <c r="E87" s="28"/>
      <c r="F87" s="28"/>
      <c r="G87" s="28"/>
      <c r="H87" s="28"/>
      <c r="I87" s="28"/>
      <c r="J87" s="28"/>
      <c r="K87" s="28"/>
    </row>
    <row r="88" spans="1:11" x14ac:dyDescent="0.25">
      <c r="A88" s="28"/>
      <c r="B88" s="28"/>
      <c r="C88" s="28"/>
      <c r="D88" s="28"/>
      <c r="E88" s="28"/>
      <c r="F88" s="28"/>
      <c r="G88" s="28"/>
      <c r="H88" s="28"/>
      <c r="I88" s="28"/>
      <c r="J88" s="28"/>
      <c r="K88" s="28"/>
    </row>
    <row r="89" spans="1:11" x14ac:dyDescent="0.25">
      <c r="A89" s="6" t="s">
        <v>131</v>
      </c>
      <c r="B89" s="28"/>
      <c r="C89" s="28"/>
      <c r="D89" s="28"/>
      <c r="E89" s="28"/>
      <c r="F89" s="28"/>
      <c r="G89" s="28"/>
      <c r="H89" s="28"/>
      <c r="I89" s="28"/>
      <c r="J89" s="28"/>
      <c r="K89" s="28"/>
    </row>
    <row r="90" spans="1:11" x14ac:dyDescent="0.25">
      <c r="A90" s="7"/>
      <c r="B90" s="28"/>
      <c r="C90" s="28"/>
      <c r="D90" s="28"/>
      <c r="E90" s="28"/>
      <c r="F90" s="28"/>
      <c r="G90" s="28"/>
      <c r="H90" s="28"/>
      <c r="I90" s="28"/>
      <c r="J90" s="28"/>
      <c r="K90" s="28"/>
    </row>
    <row r="91" spans="1:11" ht="15.75" x14ac:dyDescent="0.25">
      <c r="A91" s="5" t="s">
        <v>132</v>
      </c>
      <c r="B91" s="28"/>
      <c r="C91" s="28"/>
      <c r="D91" s="28"/>
      <c r="E91" s="5"/>
      <c r="F91" s="40" t="s">
        <v>134</v>
      </c>
      <c r="G91" s="49" t="str">
        <f>"@ 5A"</f>
        <v>@ 5A</v>
      </c>
      <c r="H91" s="28"/>
      <c r="I91" s="28"/>
      <c r="J91" s="28"/>
      <c r="K91" s="28"/>
    </row>
    <row r="92" spans="1:11" x14ac:dyDescent="0.25">
      <c r="A92" s="5"/>
      <c r="B92" s="28"/>
      <c r="C92" s="28"/>
      <c r="D92" s="28"/>
      <c r="E92" s="28"/>
      <c r="F92" s="28"/>
      <c r="G92" s="28"/>
      <c r="H92" s="28"/>
      <c r="I92" s="28"/>
      <c r="J92" s="28"/>
      <c r="K92" s="28"/>
    </row>
    <row r="93" spans="1:11" ht="15.75" x14ac:dyDescent="0.25">
      <c r="A93" s="5" t="s">
        <v>133</v>
      </c>
      <c r="B93" s="28"/>
      <c r="C93" s="28"/>
      <c r="D93" s="28"/>
      <c r="E93" s="5"/>
      <c r="F93" s="40" t="s">
        <v>134</v>
      </c>
      <c r="G93" s="28"/>
      <c r="H93" s="28"/>
      <c r="I93" s="28"/>
      <c r="J93" s="28"/>
      <c r="K93" s="28"/>
    </row>
    <row r="94" spans="1:11" x14ac:dyDescent="0.25">
      <c r="A94" s="5"/>
      <c r="B94" s="28"/>
      <c r="C94" s="28"/>
      <c r="D94" s="28"/>
      <c r="E94" s="28"/>
      <c r="F94" s="28"/>
      <c r="G94" s="28"/>
      <c r="H94" s="28"/>
      <c r="I94" s="28"/>
      <c r="J94" s="28"/>
      <c r="K94" s="28"/>
    </row>
    <row r="95" spans="1:11" ht="15.75" x14ac:dyDescent="0.25">
      <c r="A95" s="5" t="s">
        <v>135</v>
      </c>
      <c r="B95" s="28"/>
      <c r="C95" s="28"/>
      <c r="D95" s="28"/>
      <c r="E95" s="5"/>
      <c r="F95" s="72" t="s">
        <v>134</v>
      </c>
      <c r="G95" s="28"/>
      <c r="H95" s="28"/>
      <c r="I95" s="28"/>
      <c r="J95" s="28"/>
      <c r="K95" s="28"/>
    </row>
    <row r="96" spans="1:11" ht="15.75" x14ac:dyDescent="0.25">
      <c r="A96" s="5"/>
      <c r="B96" s="28"/>
      <c r="C96" s="28"/>
      <c r="D96" s="28"/>
      <c r="E96" s="5"/>
      <c r="F96" s="72"/>
      <c r="G96" s="28"/>
      <c r="H96" s="28"/>
      <c r="I96" s="28"/>
      <c r="J96" s="28"/>
      <c r="K96" s="28"/>
    </row>
    <row r="97" spans="1:11" ht="15.75" x14ac:dyDescent="0.25">
      <c r="A97" s="5"/>
      <c r="B97" s="28"/>
      <c r="C97" s="28"/>
      <c r="D97" s="28"/>
      <c r="E97" s="5"/>
      <c r="F97" s="72"/>
      <c r="G97" s="28"/>
      <c r="H97" s="28"/>
      <c r="I97" s="28"/>
      <c r="J97" s="28"/>
      <c r="K97" s="28"/>
    </row>
    <row r="98" spans="1:11" ht="15.75" x14ac:dyDescent="0.25">
      <c r="A98" s="5"/>
      <c r="B98" s="28"/>
      <c r="C98" s="28"/>
      <c r="D98" s="28"/>
      <c r="E98" s="5"/>
      <c r="F98" s="72"/>
      <c r="G98" s="28"/>
      <c r="H98" s="28"/>
      <c r="I98" s="28"/>
      <c r="J98" s="28"/>
      <c r="K98" s="28"/>
    </row>
    <row r="99" spans="1:11" ht="15.75" x14ac:dyDescent="0.25">
      <c r="A99" s="5"/>
      <c r="B99" s="28"/>
      <c r="C99" s="28"/>
      <c r="D99" s="28"/>
      <c r="E99" s="5"/>
      <c r="F99" s="72"/>
      <c r="G99" s="28"/>
      <c r="H99" s="28"/>
      <c r="I99" s="28"/>
      <c r="J99" s="28"/>
      <c r="K99" s="28"/>
    </row>
    <row r="100" spans="1:11" ht="15.75" x14ac:dyDescent="0.25">
      <c r="A100" s="5"/>
      <c r="B100" s="28"/>
      <c r="C100" s="28"/>
      <c r="D100" s="28"/>
      <c r="E100" s="5"/>
      <c r="F100" s="72"/>
      <c r="G100" s="28"/>
      <c r="H100" s="28"/>
      <c r="I100" s="28"/>
      <c r="J100" s="28"/>
      <c r="K100" s="28"/>
    </row>
    <row r="101" spans="1:11" ht="15.75" x14ac:dyDescent="0.25">
      <c r="A101" s="5"/>
      <c r="B101" s="28"/>
      <c r="C101" s="28"/>
      <c r="D101" s="28"/>
      <c r="E101" s="5"/>
      <c r="F101" s="72"/>
      <c r="G101" s="28"/>
      <c r="H101" s="28"/>
      <c r="I101" s="28"/>
      <c r="J101" s="28"/>
      <c r="K101" s="28"/>
    </row>
    <row r="102" spans="1:11" ht="15.75" x14ac:dyDescent="0.25">
      <c r="A102" s="5"/>
      <c r="B102" s="28"/>
      <c r="C102" s="28"/>
      <c r="D102" s="28"/>
      <c r="E102" s="5"/>
      <c r="F102" s="72"/>
      <c r="G102" s="28"/>
      <c r="H102" s="28"/>
      <c r="I102" s="28"/>
      <c r="J102" s="28"/>
      <c r="K102" s="28"/>
    </row>
    <row r="103" spans="1:11" ht="15.75" x14ac:dyDescent="0.25">
      <c r="A103" s="5"/>
      <c r="B103" s="28"/>
      <c r="C103" s="28"/>
      <c r="D103" s="28"/>
      <c r="E103" s="5"/>
      <c r="F103" s="72"/>
      <c r="G103" s="28"/>
      <c r="H103" s="28"/>
      <c r="I103" s="28"/>
      <c r="J103" s="28"/>
      <c r="K103" s="28"/>
    </row>
    <row r="104" spans="1:11" ht="15.75" x14ac:dyDescent="0.25">
      <c r="A104" s="5"/>
      <c r="B104" s="28"/>
      <c r="C104" s="28"/>
      <c r="D104" s="28"/>
      <c r="E104" s="5"/>
      <c r="F104" s="72"/>
      <c r="G104" s="28"/>
      <c r="H104" s="28"/>
      <c r="I104" s="28"/>
      <c r="J104" s="28"/>
      <c r="K104" s="28"/>
    </row>
    <row r="105" spans="1:11" ht="15.75" x14ac:dyDescent="0.25">
      <c r="A105" s="5"/>
      <c r="B105" s="28"/>
      <c r="C105" s="28"/>
      <c r="D105" s="28"/>
      <c r="E105" s="5"/>
      <c r="F105" s="72"/>
      <c r="G105" s="28"/>
      <c r="H105" s="28"/>
      <c r="I105" s="28"/>
      <c r="J105" s="28"/>
      <c r="K105" s="28"/>
    </row>
    <row r="106" spans="1:11" x14ac:dyDescent="0.25">
      <c r="A106" s="28"/>
      <c r="B106" s="28"/>
      <c r="C106" s="28"/>
      <c r="D106" s="28"/>
      <c r="E106" s="28"/>
      <c r="F106" s="28"/>
      <c r="G106" s="28"/>
      <c r="H106" s="28"/>
      <c r="I106" s="28"/>
      <c r="J106" s="28"/>
      <c r="K106" s="28"/>
    </row>
    <row r="107" spans="1:11" x14ac:dyDescent="0.25">
      <c r="A107" s="28"/>
      <c r="B107" s="28"/>
      <c r="C107" s="28"/>
      <c r="D107" s="28"/>
      <c r="E107" s="28"/>
      <c r="F107" s="28"/>
      <c r="G107" s="28"/>
      <c r="H107" s="28"/>
      <c r="I107" s="28"/>
      <c r="J107" s="28"/>
      <c r="K107" s="28"/>
    </row>
    <row r="108" spans="1:11" x14ac:dyDescent="0.25">
      <c r="A108" s="28"/>
      <c r="B108" s="28"/>
      <c r="C108" s="28"/>
      <c r="D108" s="28"/>
      <c r="E108" s="28"/>
      <c r="F108" s="28"/>
      <c r="G108" s="28"/>
      <c r="H108" s="28"/>
      <c r="I108" s="28"/>
      <c r="J108" s="28"/>
      <c r="K108" s="28"/>
    </row>
    <row r="109" spans="1:11" x14ac:dyDescent="0.25">
      <c r="A109" s="28"/>
      <c r="B109" s="28"/>
      <c r="C109" s="28"/>
      <c r="D109" s="28"/>
      <c r="E109" s="28"/>
      <c r="F109" s="28"/>
      <c r="G109" s="28"/>
      <c r="H109" s="28"/>
      <c r="I109" s="28"/>
      <c r="J109" s="28"/>
      <c r="K109" s="28"/>
    </row>
    <row r="110" spans="1:11" x14ac:dyDescent="0.25">
      <c r="A110" s="28"/>
      <c r="B110" s="28"/>
      <c r="C110" s="28"/>
      <c r="D110" s="28"/>
      <c r="E110" s="28"/>
      <c r="F110" s="28"/>
      <c r="G110" s="28"/>
      <c r="H110" s="28"/>
      <c r="I110" s="28"/>
      <c r="J110" s="28"/>
      <c r="K110" s="28"/>
    </row>
    <row r="111" spans="1:11" x14ac:dyDescent="0.25">
      <c r="A111" s="28"/>
      <c r="B111" s="28"/>
      <c r="C111" s="28"/>
      <c r="D111" s="28"/>
      <c r="E111" s="28"/>
      <c r="F111" s="28"/>
      <c r="G111" s="28"/>
      <c r="H111" s="28"/>
      <c r="I111" s="28"/>
      <c r="J111" s="28"/>
      <c r="K111" s="28"/>
    </row>
    <row r="112" spans="1:11" x14ac:dyDescent="0.25">
      <c r="A112" s="107" t="s">
        <v>0</v>
      </c>
      <c r="B112" s="108"/>
      <c r="C112" s="108"/>
      <c r="D112" s="108"/>
      <c r="E112" s="108"/>
      <c r="F112" s="108"/>
      <c r="G112" s="109"/>
      <c r="H112" s="28"/>
      <c r="I112" s="116" t="s">
        <v>1</v>
      </c>
      <c r="J112" s="148" t="str">
        <f>$J$6</f>
        <v>C024567</v>
      </c>
      <c r="K112" s="119"/>
    </row>
    <row r="113" spans="1:11" x14ac:dyDescent="0.25">
      <c r="A113" s="110"/>
      <c r="B113" s="111"/>
      <c r="C113" s="111"/>
      <c r="D113" s="111"/>
      <c r="E113" s="111"/>
      <c r="F113" s="111"/>
      <c r="G113" s="112"/>
      <c r="H113" s="28"/>
      <c r="I113" s="117"/>
      <c r="J113" s="120"/>
      <c r="K113" s="121"/>
    </row>
    <row r="114" spans="1:11" x14ac:dyDescent="0.25">
      <c r="A114" s="110"/>
      <c r="B114" s="111"/>
      <c r="C114" s="111"/>
      <c r="D114" s="111"/>
      <c r="E114" s="111"/>
      <c r="F114" s="111"/>
      <c r="G114" s="112"/>
      <c r="H114" s="28"/>
      <c r="I114" s="122" t="s">
        <v>344</v>
      </c>
      <c r="J114" s="123"/>
      <c r="K114" s="124"/>
    </row>
    <row r="115" spans="1:11" x14ac:dyDescent="0.25">
      <c r="A115" s="113"/>
      <c r="B115" s="114"/>
      <c r="C115" s="114"/>
      <c r="D115" s="114"/>
      <c r="E115" s="114"/>
      <c r="F115" s="114"/>
      <c r="G115" s="115"/>
      <c r="H115" s="28"/>
      <c r="I115" s="125"/>
      <c r="J115" s="126"/>
      <c r="K115" s="127"/>
    </row>
    <row r="116" spans="1:11" x14ac:dyDescent="0.25">
      <c r="A116" s="28"/>
      <c r="B116" s="28"/>
      <c r="C116" s="28"/>
      <c r="D116" s="28"/>
      <c r="E116" s="28"/>
      <c r="F116" s="28"/>
      <c r="G116" s="28"/>
      <c r="H116" s="28"/>
      <c r="I116" s="28"/>
      <c r="J116" s="28"/>
      <c r="K116" s="28"/>
    </row>
    <row r="117" spans="1:11" ht="15.75" x14ac:dyDescent="0.25">
      <c r="A117" s="101" t="s">
        <v>329</v>
      </c>
      <c r="B117" s="101"/>
      <c r="C117" s="101"/>
      <c r="D117" s="101"/>
      <c r="E117" s="101"/>
      <c r="F117" s="101"/>
      <c r="G117" s="101"/>
      <c r="H117" s="101"/>
      <c r="I117" s="101"/>
      <c r="J117" s="101"/>
      <c r="K117" s="101"/>
    </row>
    <row r="118" spans="1:11" x14ac:dyDescent="0.25">
      <c r="A118" s="102" t="s">
        <v>115</v>
      </c>
      <c r="B118" s="102"/>
      <c r="C118" s="28"/>
      <c r="D118" s="28"/>
      <c r="E118" s="28"/>
      <c r="F118" s="28"/>
      <c r="G118" s="28"/>
      <c r="H118" s="28"/>
      <c r="I118" s="28"/>
      <c r="J118" s="28"/>
      <c r="K118" s="28"/>
    </row>
    <row r="119" spans="1:11" x14ac:dyDescent="0.25">
      <c r="A119" s="28"/>
      <c r="B119" s="28"/>
      <c r="C119" s="28"/>
      <c r="D119" s="28"/>
      <c r="E119" s="28"/>
      <c r="F119" s="28"/>
      <c r="G119" s="28"/>
      <c r="H119" s="28"/>
      <c r="I119" s="28"/>
      <c r="J119" s="28"/>
      <c r="K119" s="28"/>
    </row>
    <row r="120" spans="1:11" x14ac:dyDescent="0.25">
      <c r="A120" s="157" t="s">
        <v>330</v>
      </c>
      <c r="B120" s="157"/>
      <c r="C120" s="157"/>
      <c r="D120" s="157"/>
      <c r="E120" s="157"/>
      <c r="F120" s="157"/>
      <c r="G120" s="157"/>
      <c r="H120" s="157"/>
      <c r="I120" s="157"/>
      <c r="J120" s="157"/>
      <c r="K120" s="157"/>
    </row>
    <row r="121" spans="1:11" x14ac:dyDescent="0.25">
      <c r="A121" s="157"/>
      <c r="B121" s="157"/>
      <c r="C121" s="157"/>
      <c r="D121" s="157"/>
      <c r="E121" s="157"/>
      <c r="F121" s="157"/>
      <c r="G121" s="157"/>
      <c r="H121" s="157"/>
      <c r="I121" s="157"/>
      <c r="J121" s="157"/>
      <c r="K121" s="157"/>
    </row>
    <row r="122" spans="1:11" x14ac:dyDescent="0.25">
      <c r="A122" s="157"/>
      <c r="B122" s="157"/>
      <c r="C122" s="157"/>
      <c r="D122" s="157"/>
      <c r="E122" s="157"/>
      <c r="F122" s="157"/>
      <c r="G122" s="157"/>
      <c r="H122" s="157"/>
      <c r="I122" s="157"/>
      <c r="J122" s="157"/>
      <c r="K122" s="157"/>
    </row>
    <row r="123" spans="1:11" x14ac:dyDescent="0.25">
      <c r="A123" s="104" t="s">
        <v>331</v>
      </c>
      <c r="B123" s="104"/>
      <c r="C123" s="104"/>
      <c r="D123" s="104"/>
      <c r="E123" s="104"/>
      <c r="F123" s="104"/>
      <c r="G123" s="104"/>
      <c r="H123" s="104"/>
      <c r="I123" s="104"/>
      <c r="J123" s="104"/>
      <c r="K123" s="104"/>
    </row>
    <row r="124" spans="1:11" x14ac:dyDescent="0.25">
      <c r="A124" s="28"/>
      <c r="B124" s="28"/>
      <c r="C124" s="28"/>
      <c r="D124" s="28"/>
      <c r="E124" s="28"/>
      <c r="F124" s="28"/>
      <c r="G124" s="28"/>
      <c r="H124" s="28"/>
      <c r="I124" s="28"/>
      <c r="J124" s="28"/>
      <c r="K124" s="28"/>
    </row>
    <row r="125" spans="1:11" ht="27" customHeight="1" x14ac:dyDescent="0.25">
      <c r="A125" s="48" t="s">
        <v>12</v>
      </c>
      <c r="B125" s="160" t="s">
        <v>13</v>
      </c>
      <c r="C125" s="160"/>
      <c r="D125" s="160" t="s">
        <v>140</v>
      </c>
      <c r="E125" s="160"/>
      <c r="F125" s="160" t="s">
        <v>143</v>
      </c>
      <c r="G125" s="160"/>
      <c r="H125" s="160" t="s">
        <v>142</v>
      </c>
      <c r="I125" s="160"/>
      <c r="J125" s="160" t="s">
        <v>17</v>
      </c>
      <c r="K125" s="160"/>
    </row>
    <row r="126" spans="1:11" x14ac:dyDescent="0.25">
      <c r="A126" s="48"/>
      <c r="B126" s="160" t="s">
        <v>139</v>
      </c>
      <c r="C126" s="160"/>
      <c r="D126" s="160" t="s">
        <v>139</v>
      </c>
      <c r="E126" s="160"/>
      <c r="F126" s="160" t="s">
        <v>141</v>
      </c>
      <c r="G126" s="160"/>
      <c r="H126" s="160" t="s">
        <v>18</v>
      </c>
      <c r="I126" s="160"/>
      <c r="J126" s="160" t="s">
        <v>19</v>
      </c>
      <c r="K126" s="160"/>
    </row>
    <row r="127" spans="1:11" ht="19.149999999999999" customHeight="1" x14ac:dyDescent="0.25">
      <c r="A127" s="51" t="s">
        <v>116</v>
      </c>
      <c r="B127" s="161">
        <v>50</v>
      </c>
      <c r="C127" s="161"/>
      <c r="D127" s="161"/>
      <c r="E127" s="161"/>
      <c r="F127" s="169" t="e">
        <f>IF($K$219="UPC1",0.01/100*150,0.01/100*100)</f>
        <v>#N/A</v>
      </c>
      <c r="G127" s="169"/>
      <c r="H127" s="161"/>
      <c r="I127" s="161"/>
      <c r="J127" s="133" t="e">
        <f>IF($K$220="ASX",150*0.5/100,150*0.5/100)</f>
        <v>#N/A</v>
      </c>
      <c r="K127" s="134"/>
    </row>
    <row r="128" spans="1:11" ht="19.149999999999999" customHeight="1" x14ac:dyDescent="0.25">
      <c r="A128" s="51" t="s">
        <v>116</v>
      </c>
      <c r="B128" s="161">
        <v>60</v>
      </c>
      <c r="C128" s="161"/>
      <c r="D128" s="161"/>
      <c r="E128" s="161"/>
      <c r="F128" s="169" t="e">
        <f>IF($K$219="UPC1",0.01/100*150,0.01/100*100)</f>
        <v>#N/A</v>
      </c>
      <c r="G128" s="169"/>
      <c r="H128" s="161"/>
      <c r="I128" s="161"/>
      <c r="J128" s="133" t="e">
        <f>IF($K$220="ASX",150*0.5/100,150*0.5/100)</f>
        <v>#N/A</v>
      </c>
      <c r="K128" s="134"/>
    </row>
    <row r="129" spans="1:11" ht="19.149999999999999" customHeight="1" x14ac:dyDescent="0.25">
      <c r="A129" s="51" t="s">
        <v>116</v>
      </c>
      <c r="B129" s="161">
        <v>400</v>
      </c>
      <c r="C129" s="161"/>
      <c r="D129" s="161"/>
      <c r="E129" s="161"/>
      <c r="F129" s="171" t="e">
        <f>IF($K$219="UPC1",0.01/100*600,0.01/100*1000)</f>
        <v>#N/A</v>
      </c>
      <c r="G129" s="173"/>
      <c r="H129" s="161"/>
      <c r="I129" s="161"/>
      <c r="J129" s="133" t="e">
        <f>IF($K$220="ASX",150*0.5/100,150*0.5/100)</f>
        <v>#N/A</v>
      </c>
      <c r="K129" s="134"/>
    </row>
    <row r="130" spans="1:11" ht="19.149999999999999" customHeight="1" x14ac:dyDescent="0.25">
      <c r="A130" s="51" t="s">
        <v>116</v>
      </c>
      <c r="B130" s="161">
        <v>1000</v>
      </c>
      <c r="C130" s="161"/>
      <c r="D130" s="161"/>
      <c r="E130" s="161"/>
      <c r="F130" s="171" t="e">
        <f>IF($K$219="UPC1",0.01/100*1200,0.01/100*5000)</f>
        <v>#N/A</v>
      </c>
      <c r="G130" s="173"/>
      <c r="H130" s="161"/>
      <c r="I130" s="161"/>
      <c r="J130" s="133" t="e">
        <f>IF($K$220="ASX",150*0.5/100,150*0.5/100)</f>
        <v>#N/A</v>
      </c>
      <c r="K130" s="134"/>
    </row>
    <row r="131" spans="1:11" ht="19.149999999999999" customHeight="1" x14ac:dyDescent="0.25">
      <c r="A131" s="51" t="s">
        <v>116</v>
      </c>
      <c r="B131" s="161">
        <v>1200</v>
      </c>
      <c r="C131" s="161"/>
      <c r="D131" s="161"/>
      <c r="E131" s="161"/>
      <c r="F131" s="171" t="e">
        <f>IF($K$219="UPC1",0.01/100*1200,0.01/100*5000)</f>
        <v>#N/A</v>
      </c>
      <c r="G131" s="173"/>
      <c r="H131" s="161"/>
      <c r="I131" s="161"/>
      <c r="J131" s="133" t="e">
        <f>IF($K$220="ASX",150*0.5/100,150*0.5/100)</f>
        <v>#N/A</v>
      </c>
      <c r="K131" s="134"/>
    </row>
    <row r="132" spans="1:11" x14ac:dyDescent="0.25">
      <c r="A132" s="28"/>
      <c r="B132" s="28"/>
      <c r="C132" s="28"/>
      <c r="D132" s="28"/>
      <c r="E132" s="28"/>
      <c r="F132" s="28"/>
      <c r="G132" s="28"/>
      <c r="H132" s="28"/>
      <c r="I132" s="28"/>
      <c r="J132" s="28"/>
      <c r="K132" s="28"/>
    </row>
    <row r="133" spans="1:11" x14ac:dyDescent="0.25">
      <c r="A133" s="5" t="s">
        <v>124</v>
      </c>
      <c r="B133" s="5"/>
      <c r="C133" s="5"/>
      <c r="D133" s="5" t="s">
        <v>125</v>
      </c>
      <c r="E133" s="5"/>
      <c r="F133" s="28"/>
      <c r="G133" s="28"/>
      <c r="H133" s="28"/>
      <c r="I133" s="28"/>
      <c r="J133" s="28"/>
      <c r="K133" s="28"/>
    </row>
    <row r="134" spans="1:11" x14ac:dyDescent="0.25">
      <c r="A134" s="28"/>
      <c r="B134" s="28"/>
      <c r="C134" s="28"/>
      <c r="D134" s="28" t="s">
        <v>144</v>
      </c>
      <c r="E134" s="28"/>
      <c r="F134" s="28"/>
      <c r="G134" s="28"/>
      <c r="H134" s="28"/>
      <c r="I134" s="28"/>
      <c r="J134" s="28"/>
      <c r="K134" s="28"/>
    </row>
    <row r="135" spans="1:11" x14ac:dyDescent="0.25">
      <c r="A135" s="28"/>
      <c r="B135" s="28"/>
      <c r="C135" s="28"/>
      <c r="D135" s="28"/>
      <c r="E135" s="28"/>
      <c r="F135" s="28"/>
      <c r="G135" s="28"/>
      <c r="H135" s="28"/>
      <c r="I135" s="28"/>
      <c r="J135" s="28"/>
      <c r="K135" s="28"/>
    </row>
    <row r="136" spans="1:11" x14ac:dyDescent="0.25">
      <c r="A136" s="28"/>
      <c r="B136" s="28"/>
      <c r="C136" s="28"/>
      <c r="D136" s="28"/>
      <c r="E136" s="28"/>
      <c r="F136" s="28"/>
      <c r="G136" s="28"/>
      <c r="H136" s="28"/>
      <c r="I136" s="28"/>
      <c r="J136" s="28"/>
      <c r="K136" s="28"/>
    </row>
    <row r="137" spans="1:11" x14ac:dyDescent="0.25">
      <c r="A137" s="28"/>
      <c r="B137" s="28"/>
      <c r="C137" s="28"/>
      <c r="D137" s="28"/>
      <c r="E137" s="28"/>
      <c r="F137" s="28"/>
      <c r="G137" s="28"/>
      <c r="H137" s="28"/>
      <c r="I137" s="28"/>
      <c r="J137" s="28"/>
      <c r="K137" s="28"/>
    </row>
    <row r="138" spans="1:11" x14ac:dyDescent="0.25">
      <c r="A138" s="28"/>
      <c r="B138" s="28"/>
      <c r="C138" s="28"/>
      <c r="D138" s="28"/>
      <c r="E138" s="28"/>
      <c r="F138" s="28"/>
      <c r="G138" s="28"/>
      <c r="H138" s="28"/>
      <c r="I138" s="28"/>
      <c r="J138" s="28"/>
      <c r="K138" s="28"/>
    </row>
    <row r="139" spans="1:11" x14ac:dyDescent="0.25">
      <c r="A139" s="28"/>
      <c r="B139" s="28"/>
      <c r="C139" s="28"/>
      <c r="D139" s="28"/>
      <c r="E139" s="28"/>
      <c r="F139" s="28"/>
      <c r="G139" s="28"/>
      <c r="H139" s="28"/>
      <c r="I139" s="28"/>
      <c r="J139" s="28"/>
      <c r="K139" s="28"/>
    </row>
    <row r="140" spans="1:11" x14ac:dyDescent="0.25">
      <c r="A140" s="28"/>
      <c r="B140" s="28"/>
      <c r="C140" s="28"/>
      <c r="D140" s="28"/>
      <c r="E140" s="28"/>
      <c r="F140" s="28"/>
      <c r="G140" s="28"/>
      <c r="H140" s="28"/>
      <c r="I140" s="28"/>
      <c r="J140" s="28"/>
      <c r="K140" s="28"/>
    </row>
    <row r="141" spans="1:11" x14ac:dyDescent="0.25">
      <c r="A141" s="28"/>
      <c r="B141" s="28"/>
      <c r="C141" s="28"/>
      <c r="D141" s="28"/>
      <c r="E141" s="28"/>
      <c r="F141" s="28"/>
      <c r="G141" s="28"/>
      <c r="H141" s="28"/>
      <c r="I141" s="28"/>
      <c r="J141" s="28"/>
      <c r="K141" s="28"/>
    </row>
    <row r="142" spans="1:11" x14ac:dyDescent="0.25">
      <c r="A142" s="28"/>
      <c r="B142" s="28"/>
      <c r="C142" s="28"/>
      <c r="D142" s="28"/>
      <c r="E142" s="28"/>
      <c r="F142" s="28"/>
      <c r="G142" s="28"/>
      <c r="H142" s="28"/>
      <c r="I142" s="28"/>
      <c r="J142" s="28"/>
      <c r="K142" s="28"/>
    </row>
    <row r="143" spans="1:11" x14ac:dyDescent="0.25">
      <c r="A143" s="28"/>
      <c r="B143" s="28"/>
      <c r="C143" s="28"/>
      <c r="D143" s="28"/>
      <c r="E143" s="28"/>
      <c r="F143" s="28"/>
      <c r="G143" s="28"/>
      <c r="H143" s="28"/>
      <c r="I143" s="28"/>
      <c r="J143" s="28"/>
      <c r="K143" s="28"/>
    </row>
    <row r="144" spans="1:11" x14ac:dyDescent="0.25">
      <c r="A144" s="28"/>
      <c r="B144" s="28"/>
      <c r="C144" s="28"/>
      <c r="D144" s="28"/>
      <c r="E144" s="28"/>
      <c r="F144" s="28"/>
      <c r="G144" s="28"/>
      <c r="H144" s="28"/>
      <c r="I144" s="28"/>
      <c r="J144" s="28"/>
      <c r="K144" s="28"/>
    </row>
    <row r="145" spans="1:11" x14ac:dyDescent="0.25">
      <c r="A145" s="28"/>
      <c r="B145" s="28"/>
      <c r="C145" s="28"/>
      <c r="D145" s="28"/>
      <c r="E145" s="28"/>
      <c r="F145" s="28"/>
      <c r="G145" s="28"/>
      <c r="H145" s="28"/>
      <c r="I145" s="28"/>
      <c r="J145" s="28"/>
      <c r="K145" s="28"/>
    </row>
    <row r="146" spans="1:11" x14ac:dyDescent="0.25">
      <c r="A146" s="28"/>
      <c r="B146" s="28"/>
      <c r="C146" s="28"/>
      <c r="D146" s="28"/>
      <c r="E146" s="28"/>
      <c r="F146" s="28"/>
      <c r="G146" s="28"/>
      <c r="H146" s="28"/>
      <c r="I146" s="28"/>
      <c r="J146" s="28"/>
      <c r="K146" s="28"/>
    </row>
    <row r="147" spans="1:11" x14ac:dyDescent="0.25">
      <c r="A147" s="28"/>
      <c r="B147" s="28"/>
      <c r="C147" s="28"/>
      <c r="D147" s="28"/>
      <c r="E147" s="28"/>
      <c r="F147" s="28"/>
      <c r="G147" s="28"/>
      <c r="H147" s="28"/>
      <c r="I147" s="28"/>
      <c r="J147" s="28"/>
      <c r="K147" s="28"/>
    </row>
    <row r="148" spans="1:11" x14ac:dyDescent="0.25">
      <c r="A148" s="28"/>
      <c r="B148" s="28"/>
      <c r="C148" s="28"/>
      <c r="D148" s="28"/>
      <c r="E148" s="28"/>
      <c r="F148" s="28"/>
      <c r="G148" s="28"/>
      <c r="H148" s="28"/>
      <c r="I148" s="28"/>
      <c r="J148" s="28"/>
      <c r="K148" s="28"/>
    </row>
    <row r="149" spans="1:11" x14ac:dyDescent="0.25">
      <c r="A149" s="28"/>
      <c r="B149" s="28"/>
      <c r="C149" s="28"/>
      <c r="D149" s="28"/>
      <c r="E149" s="28"/>
      <c r="F149" s="28"/>
      <c r="G149" s="28"/>
      <c r="H149" s="28"/>
      <c r="I149" s="28"/>
      <c r="J149" s="28"/>
      <c r="K149" s="28"/>
    </row>
    <row r="150" spans="1:11" x14ac:dyDescent="0.25">
      <c r="A150" s="28"/>
      <c r="B150" s="28"/>
      <c r="C150" s="28"/>
      <c r="D150" s="28"/>
      <c r="E150" s="28"/>
      <c r="F150" s="28"/>
      <c r="G150" s="28"/>
      <c r="H150" s="28"/>
      <c r="I150" s="28"/>
      <c r="J150" s="28"/>
      <c r="K150" s="28"/>
    </row>
    <row r="151" spans="1:11" x14ac:dyDescent="0.25">
      <c r="A151" s="28"/>
      <c r="B151" s="28"/>
      <c r="C151" s="28"/>
      <c r="D151" s="28"/>
      <c r="E151" s="28"/>
      <c r="F151" s="28"/>
      <c r="G151" s="28"/>
      <c r="H151" s="28"/>
      <c r="I151" s="28"/>
      <c r="J151" s="28"/>
      <c r="K151" s="28"/>
    </row>
    <row r="152" spans="1:11" x14ac:dyDescent="0.25">
      <c r="A152" s="28"/>
      <c r="B152" s="28"/>
      <c r="C152" s="28"/>
      <c r="D152" s="28"/>
      <c r="E152" s="28"/>
      <c r="F152" s="28"/>
      <c r="G152" s="28"/>
      <c r="H152" s="28"/>
      <c r="I152" s="28"/>
      <c r="J152" s="28"/>
      <c r="K152" s="28"/>
    </row>
    <row r="153" spans="1:11" x14ac:dyDescent="0.25">
      <c r="A153" s="28"/>
      <c r="B153" s="28"/>
      <c r="C153" s="28"/>
      <c r="D153" s="28"/>
      <c r="E153" s="28"/>
      <c r="F153" s="28"/>
      <c r="G153" s="28"/>
      <c r="H153" s="28"/>
      <c r="I153" s="28"/>
      <c r="J153" s="28"/>
      <c r="K153" s="28"/>
    </row>
    <row r="154" spans="1:11" x14ac:dyDescent="0.25">
      <c r="A154" s="28"/>
      <c r="B154" s="28"/>
      <c r="C154" s="28"/>
      <c r="D154" s="28"/>
      <c r="E154" s="28"/>
      <c r="F154" s="28"/>
      <c r="G154" s="28"/>
      <c r="H154" s="28"/>
      <c r="I154" s="28"/>
      <c r="J154" s="28"/>
      <c r="K154" s="28"/>
    </row>
    <row r="155" spans="1:11" x14ac:dyDescent="0.25">
      <c r="A155" s="28"/>
      <c r="B155" s="28"/>
      <c r="C155" s="28"/>
      <c r="D155" s="28"/>
      <c r="E155" s="28"/>
      <c r="F155" s="28"/>
      <c r="G155" s="28"/>
      <c r="H155" s="28"/>
      <c r="I155" s="28"/>
      <c r="J155" s="28"/>
      <c r="K155" s="28"/>
    </row>
    <row r="156" spans="1:11" x14ac:dyDescent="0.25">
      <c r="A156" s="28"/>
      <c r="B156" s="28"/>
      <c r="C156" s="28"/>
      <c r="D156" s="28"/>
      <c r="E156" s="28"/>
      <c r="F156" s="28"/>
      <c r="G156" s="28"/>
      <c r="H156" s="28"/>
      <c r="I156" s="28"/>
      <c r="J156" s="28"/>
      <c r="K156" s="28"/>
    </row>
    <row r="157" spans="1:11" x14ac:dyDescent="0.25">
      <c r="A157" s="28"/>
      <c r="B157" s="28"/>
      <c r="C157" s="28"/>
      <c r="D157" s="28"/>
      <c r="E157" s="28"/>
      <c r="F157" s="28"/>
      <c r="G157" s="28"/>
      <c r="H157" s="28"/>
      <c r="I157" s="28"/>
      <c r="J157" s="28"/>
      <c r="K157" s="28"/>
    </row>
    <row r="158" spans="1:11" x14ac:dyDescent="0.25">
      <c r="A158" s="28"/>
      <c r="B158" s="28"/>
      <c r="C158" s="28"/>
      <c r="D158" s="28"/>
      <c r="E158" s="28"/>
      <c r="F158" s="28"/>
      <c r="G158" s="28"/>
      <c r="H158" s="28"/>
      <c r="I158" s="28"/>
      <c r="J158" s="28"/>
      <c r="K158" s="28"/>
    </row>
    <row r="159" spans="1:11" x14ac:dyDescent="0.25">
      <c r="A159" s="28"/>
      <c r="B159" s="28"/>
      <c r="C159" s="28"/>
      <c r="D159" s="28"/>
      <c r="E159" s="28"/>
      <c r="F159" s="28"/>
      <c r="G159" s="28"/>
      <c r="H159" s="28"/>
      <c r="I159" s="28"/>
      <c r="J159" s="28"/>
      <c r="K159" s="28"/>
    </row>
    <row r="160" spans="1:11" x14ac:dyDescent="0.25">
      <c r="A160" s="28"/>
      <c r="B160" s="28"/>
      <c r="C160" s="28"/>
      <c r="D160" s="28"/>
      <c r="E160" s="28"/>
      <c r="F160" s="28"/>
      <c r="G160" s="28"/>
      <c r="H160" s="28"/>
      <c r="I160" s="28"/>
      <c r="J160" s="28"/>
      <c r="K160" s="28"/>
    </row>
    <row r="161" spans="1:11" x14ac:dyDescent="0.25">
      <c r="A161" s="28"/>
      <c r="B161" s="28"/>
      <c r="C161" s="28"/>
      <c r="D161" s="28"/>
      <c r="E161" s="28"/>
      <c r="F161" s="28"/>
      <c r="G161" s="28"/>
      <c r="H161" s="28"/>
      <c r="I161" s="28"/>
      <c r="J161" s="28"/>
      <c r="K161" s="28"/>
    </row>
    <row r="162" spans="1:11" x14ac:dyDescent="0.25">
      <c r="A162" s="28"/>
      <c r="B162" s="28"/>
      <c r="C162" s="28"/>
      <c r="D162" s="28"/>
      <c r="E162" s="28"/>
      <c r="F162" s="28"/>
      <c r="G162" s="28"/>
      <c r="H162" s="28"/>
      <c r="I162" s="28"/>
      <c r="J162" s="28"/>
      <c r="K162" s="28"/>
    </row>
    <row r="163" spans="1:11" x14ac:dyDescent="0.25">
      <c r="A163" s="28"/>
      <c r="B163" s="28"/>
      <c r="C163" s="28"/>
      <c r="D163" s="28"/>
      <c r="E163" s="28"/>
      <c r="F163" s="28"/>
      <c r="G163" s="28"/>
      <c r="H163" s="28"/>
      <c r="I163" s="28"/>
      <c r="J163" s="28"/>
      <c r="K163" s="28"/>
    </row>
    <row r="164" spans="1:11" x14ac:dyDescent="0.25">
      <c r="A164" s="28"/>
      <c r="B164" s="28"/>
      <c r="C164" s="28"/>
      <c r="D164" s="28"/>
      <c r="E164" s="28"/>
      <c r="F164" s="28"/>
      <c r="G164" s="28"/>
      <c r="H164" s="28"/>
      <c r="I164" s="28"/>
      <c r="J164" s="28"/>
      <c r="K164" s="28"/>
    </row>
    <row r="165" spans="1:11" x14ac:dyDescent="0.25">
      <c r="A165" s="107" t="s">
        <v>0</v>
      </c>
      <c r="B165" s="108"/>
      <c r="C165" s="108"/>
      <c r="D165" s="108"/>
      <c r="E165" s="108"/>
      <c r="F165" s="108"/>
      <c r="G165" s="109"/>
      <c r="H165" s="28"/>
      <c r="I165" s="116" t="s">
        <v>1</v>
      </c>
      <c r="J165" s="148" t="str">
        <f>$J$6</f>
        <v>C024567</v>
      </c>
      <c r="K165" s="119"/>
    </row>
    <row r="166" spans="1:11" x14ac:dyDescent="0.25">
      <c r="A166" s="110"/>
      <c r="B166" s="111"/>
      <c r="C166" s="111"/>
      <c r="D166" s="111"/>
      <c r="E166" s="111"/>
      <c r="F166" s="111"/>
      <c r="G166" s="112"/>
      <c r="H166" s="28"/>
      <c r="I166" s="117"/>
      <c r="J166" s="120"/>
      <c r="K166" s="121"/>
    </row>
    <row r="167" spans="1:11" x14ac:dyDescent="0.25">
      <c r="A167" s="110"/>
      <c r="B167" s="111"/>
      <c r="C167" s="111"/>
      <c r="D167" s="111"/>
      <c r="E167" s="111"/>
      <c r="F167" s="111"/>
      <c r="G167" s="112"/>
      <c r="H167" s="28"/>
      <c r="I167" s="122" t="s">
        <v>345</v>
      </c>
      <c r="J167" s="123"/>
      <c r="K167" s="124"/>
    </row>
    <row r="168" spans="1:11" x14ac:dyDescent="0.25">
      <c r="A168" s="113"/>
      <c r="B168" s="114"/>
      <c r="C168" s="114"/>
      <c r="D168" s="114"/>
      <c r="E168" s="114"/>
      <c r="F168" s="114"/>
      <c r="G168" s="115"/>
      <c r="H168" s="28"/>
      <c r="I168" s="125"/>
      <c r="J168" s="126"/>
      <c r="K168" s="127"/>
    </row>
    <row r="169" spans="1:11" x14ac:dyDescent="0.25">
      <c r="A169" s="28"/>
      <c r="B169" s="28"/>
      <c r="C169" s="28"/>
      <c r="D169" s="28"/>
      <c r="E169" s="28"/>
      <c r="F169" s="28"/>
      <c r="G169" s="28"/>
      <c r="H169" s="28"/>
      <c r="I169" s="28"/>
      <c r="J169" s="28"/>
      <c r="K169" s="28"/>
    </row>
    <row r="170" spans="1:11" ht="15.75" x14ac:dyDescent="0.25">
      <c r="A170" s="101" t="s">
        <v>333</v>
      </c>
      <c r="B170" s="101"/>
      <c r="C170" s="101"/>
      <c r="D170" s="101"/>
      <c r="E170" s="101"/>
      <c r="F170" s="101"/>
      <c r="G170" s="101"/>
      <c r="H170" s="101"/>
      <c r="I170" s="101"/>
      <c r="J170" s="101"/>
      <c r="K170" s="101"/>
    </row>
    <row r="171" spans="1:11" x14ac:dyDescent="0.25">
      <c r="A171" s="102" t="s">
        <v>115</v>
      </c>
      <c r="B171" s="102"/>
      <c r="C171" s="28"/>
      <c r="D171" s="28"/>
      <c r="E171" s="28"/>
      <c r="F171" s="28"/>
      <c r="G171" s="28"/>
      <c r="H171" s="28"/>
      <c r="I171" s="28"/>
      <c r="J171" s="28"/>
      <c r="K171" s="28"/>
    </row>
    <row r="172" spans="1:11" x14ac:dyDescent="0.25">
      <c r="A172" s="28"/>
      <c r="B172" s="28"/>
      <c r="C172" s="28"/>
      <c r="D172" s="28"/>
      <c r="E172" s="28"/>
      <c r="F172" s="28"/>
      <c r="G172" s="28"/>
      <c r="H172" s="28"/>
      <c r="I172" s="28"/>
      <c r="J172" s="28"/>
      <c r="K172" s="28"/>
    </row>
    <row r="173" spans="1:11" x14ac:dyDescent="0.25">
      <c r="A173" s="157" t="s">
        <v>334</v>
      </c>
      <c r="B173" s="157"/>
      <c r="C173" s="157"/>
      <c r="D173" s="157"/>
      <c r="E173" s="157"/>
      <c r="F173" s="157"/>
      <c r="G173" s="157"/>
      <c r="H173" s="157"/>
      <c r="I173" s="157"/>
      <c r="J173" s="157"/>
      <c r="K173" s="157"/>
    </row>
    <row r="174" spans="1:11" x14ac:dyDescent="0.25">
      <c r="A174" s="157"/>
      <c r="B174" s="157"/>
      <c r="C174" s="157"/>
      <c r="D174" s="157"/>
      <c r="E174" s="157"/>
      <c r="F174" s="157"/>
      <c r="G174" s="157"/>
      <c r="H174" s="157"/>
      <c r="I174" s="157"/>
      <c r="J174" s="157"/>
      <c r="K174" s="157"/>
    </row>
    <row r="175" spans="1:11" x14ac:dyDescent="0.25">
      <c r="A175" s="157"/>
      <c r="B175" s="157"/>
      <c r="C175" s="157"/>
      <c r="D175" s="157"/>
      <c r="E175" s="157"/>
      <c r="F175" s="157"/>
      <c r="G175" s="157"/>
      <c r="H175" s="157"/>
      <c r="I175" s="157"/>
      <c r="J175" s="157"/>
      <c r="K175" s="157"/>
    </row>
    <row r="176" spans="1:11" x14ac:dyDescent="0.25">
      <c r="A176" s="104" t="s">
        <v>346</v>
      </c>
      <c r="B176" s="104"/>
      <c r="C176" s="104"/>
      <c r="D176" s="104"/>
      <c r="E176" s="104"/>
      <c r="F176" s="104"/>
      <c r="G176" s="104"/>
      <c r="H176" s="104"/>
      <c r="I176" s="104"/>
      <c r="J176" s="104"/>
      <c r="K176" s="104"/>
    </row>
    <row r="177" spans="1:11" x14ac:dyDescent="0.25">
      <c r="A177" s="54" t="str">
        <f>IF(E25="A","Frequency 400Hz.","Frequency 60Hz.")</f>
        <v>Frequency 400Hz.</v>
      </c>
      <c r="B177" s="54"/>
      <c r="C177" s="54"/>
      <c r="D177" s="54"/>
      <c r="E177" s="54"/>
      <c r="F177" s="54"/>
      <c r="G177" s="54"/>
      <c r="H177" s="54"/>
      <c r="I177" s="54"/>
      <c r="J177" s="54"/>
      <c r="K177" s="54"/>
    </row>
    <row r="178" spans="1:11" x14ac:dyDescent="0.25">
      <c r="A178" s="28"/>
      <c r="B178" s="28"/>
      <c r="C178" s="28"/>
      <c r="D178" s="28"/>
      <c r="E178" s="28"/>
      <c r="F178" s="28"/>
      <c r="G178" s="28"/>
      <c r="H178" s="28"/>
      <c r="I178" s="28"/>
      <c r="J178" s="28"/>
      <c r="K178" s="28"/>
    </row>
    <row r="179" spans="1:11" ht="27" customHeight="1" x14ac:dyDescent="0.25">
      <c r="A179" s="187" t="s">
        <v>152</v>
      </c>
      <c r="B179" s="188"/>
      <c r="C179" s="188"/>
      <c r="D179" s="189"/>
      <c r="E179" s="187" t="s">
        <v>336</v>
      </c>
      <c r="F179" s="188"/>
      <c r="G179" s="188"/>
      <c r="H179" s="189"/>
      <c r="I179" s="187" t="s">
        <v>150</v>
      </c>
      <c r="J179" s="188"/>
      <c r="K179" s="189"/>
    </row>
    <row r="180" spans="1:11" ht="19.149999999999999" customHeight="1" x14ac:dyDescent="0.25">
      <c r="A180" s="187" t="s">
        <v>153</v>
      </c>
      <c r="B180" s="188"/>
      <c r="C180" s="188"/>
      <c r="D180" s="189"/>
      <c r="E180" s="187" t="s">
        <v>153</v>
      </c>
      <c r="F180" s="188"/>
      <c r="G180" s="188"/>
      <c r="H180" s="189"/>
      <c r="I180" s="187" t="s">
        <v>154</v>
      </c>
      <c r="J180" s="188"/>
      <c r="K180" s="189"/>
    </row>
    <row r="181" spans="1:11" ht="19.149999999999999" customHeight="1" x14ac:dyDescent="0.25">
      <c r="A181" s="190" t="e">
        <f>VLOOKUP($D$28,'1Ph data'!A:N,7,0)</f>
        <v>#N/A</v>
      </c>
      <c r="B181" s="198"/>
      <c r="C181" s="198"/>
      <c r="D181" s="191"/>
      <c r="E181" s="171"/>
      <c r="F181" s="172"/>
      <c r="G181" s="172"/>
      <c r="H181" s="173"/>
      <c r="I181" s="171" t="e">
        <f t="shared" ref="I181:I188" si="2">IF($K$219="UPC1",0.2/100*40,A181*0.25/100+0.1/100*40)</f>
        <v>#N/A</v>
      </c>
      <c r="J181" s="172"/>
      <c r="K181" s="173"/>
    </row>
    <row r="182" spans="1:11" ht="19.149999999999999" customHeight="1" x14ac:dyDescent="0.25">
      <c r="A182" s="190" t="e">
        <f>VLOOKUP($D$28,'1Ph data'!A:N,8,0)</f>
        <v>#N/A</v>
      </c>
      <c r="B182" s="198"/>
      <c r="C182" s="198"/>
      <c r="D182" s="191"/>
      <c r="E182" s="171"/>
      <c r="F182" s="172"/>
      <c r="G182" s="172"/>
      <c r="H182" s="173"/>
      <c r="I182" s="171" t="e">
        <f t="shared" si="2"/>
        <v>#N/A</v>
      </c>
      <c r="J182" s="172"/>
      <c r="K182" s="173"/>
    </row>
    <row r="183" spans="1:11" ht="19.149999999999999" customHeight="1" x14ac:dyDescent="0.25">
      <c r="A183" s="190" t="e">
        <f>VLOOKUP($D$28,'1Ph data'!A:N,9,0)</f>
        <v>#N/A</v>
      </c>
      <c r="B183" s="198"/>
      <c r="C183" s="198"/>
      <c r="D183" s="191"/>
      <c r="E183" s="171"/>
      <c r="F183" s="172"/>
      <c r="G183" s="172"/>
      <c r="H183" s="173"/>
      <c r="I183" s="171" t="e">
        <f t="shared" si="2"/>
        <v>#N/A</v>
      </c>
      <c r="J183" s="172"/>
      <c r="K183" s="173"/>
    </row>
    <row r="184" spans="1:11" ht="19.149999999999999" customHeight="1" x14ac:dyDescent="0.25">
      <c r="A184" s="190" t="e">
        <f>VLOOKUP($D$28,'1Ph data'!A:N,10,0)</f>
        <v>#N/A</v>
      </c>
      <c r="B184" s="198"/>
      <c r="C184" s="198"/>
      <c r="D184" s="191"/>
      <c r="E184" s="199"/>
      <c r="F184" s="200"/>
      <c r="G184" s="200"/>
      <c r="H184" s="201"/>
      <c r="I184" s="171" t="e">
        <f t="shared" si="2"/>
        <v>#N/A</v>
      </c>
      <c r="J184" s="172"/>
      <c r="K184" s="173"/>
    </row>
    <row r="185" spans="1:11" ht="19.149999999999999" customHeight="1" x14ac:dyDescent="0.25">
      <c r="A185" s="190" t="e">
        <f>VLOOKUP($D$28,'1Ph data'!A:N,11,0)</f>
        <v>#N/A</v>
      </c>
      <c r="B185" s="198"/>
      <c r="C185" s="198"/>
      <c r="D185" s="191"/>
      <c r="E185" s="199"/>
      <c r="F185" s="200"/>
      <c r="G185" s="200"/>
      <c r="H185" s="201"/>
      <c r="I185" s="171" t="e">
        <f t="shared" si="2"/>
        <v>#N/A</v>
      </c>
      <c r="J185" s="172"/>
      <c r="K185" s="173"/>
    </row>
    <row r="186" spans="1:11" ht="19.149999999999999" customHeight="1" x14ac:dyDescent="0.25">
      <c r="A186" s="190" t="e">
        <f>VLOOKUP($D$28,'1Ph data'!A:N,12,0)</f>
        <v>#N/A</v>
      </c>
      <c r="B186" s="198"/>
      <c r="C186" s="198"/>
      <c r="D186" s="191"/>
      <c r="E186" s="199"/>
      <c r="F186" s="200"/>
      <c r="G186" s="200"/>
      <c r="H186" s="201"/>
      <c r="I186" s="171" t="e">
        <f t="shared" si="2"/>
        <v>#N/A</v>
      </c>
      <c r="J186" s="172"/>
      <c r="K186" s="173"/>
    </row>
    <row r="187" spans="1:11" ht="19.149999999999999" customHeight="1" x14ac:dyDescent="0.25">
      <c r="A187" s="190" t="e">
        <f>VLOOKUP($D$28,'1Ph data'!A:N,13,0)</f>
        <v>#N/A</v>
      </c>
      <c r="B187" s="198"/>
      <c r="C187" s="198"/>
      <c r="D187" s="191"/>
      <c r="E187" s="199"/>
      <c r="F187" s="200"/>
      <c r="G187" s="200"/>
      <c r="H187" s="201"/>
      <c r="I187" s="171" t="e">
        <f t="shared" si="2"/>
        <v>#N/A</v>
      </c>
      <c r="J187" s="172"/>
      <c r="K187" s="173"/>
    </row>
    <row r="188" spans="1:11" ht="19.149999999999999" customHeight="1" x14ac:dyDescent="0.25">
      <c r="A188" s="190" t="e">
        <f>VLOOKUP($D$28,'1Ph data'!A:N,14,0)</f>
        <v>#N/A</v>
      </c>
      <c r="B188" s="198"/>
      <c r="C188" s="198"/>
      <c r="D188" s="191"/>
      <c r="E188" s="199"/>
      <c r="F188" s="200"/>
      <c r="G188" s="200"/>
      <c r="H188" s="201"/>
      <c r="I188" s="171" t="e">
        <f t="shared" si="2"/>
        <v>#N/A</v>
      </c>
      <c r="J188" s="172"/>
      <c r="K188" s="173"/>
    </row>
    <row r="189" spans="1:11" x14ac:dyDescent="0.25">
      <c r="A189" s="28"/>
      <c r="B189" s="28"/>
      <c r="C189" s="28"/>
      <c r="D189" s="28"/>
      <c r="E189" s="28"/>
      <c r="F189" s="28"/>
      <c r="G189" s="28"/>
      <c r="H189" s="28"/>
      <c r="I189" s="28"/>
      <c r="J189" s="28"/>
      <c r="K189" s="28"/>
    </row>
    <row r="190" spans="1:11" ht="15.75" x14ac:dyDescent="0.25">
      <c r="A190" s="8" t="s">
        <v>124</v>
      </c>
      <c r="B190" s="28"/>
      <c r="C190" s="28" t="s">
        <v>156</v>
      </c>
      <c r="D190" s="28"/>
      <c r="E190" s="28"/>
      <c r="F190" s="28"/>
      <c r="G190" s="28"/>
      <c r="H190" s="28"/>
      <c r="I190" s="28"/>
      <c r="J190" s="28"/>
      <c r="K190" s="28"/>
    </row>
    <row r="191" spans="1:11" x14ac:dyDescent="0.25">
      <c r="A191" s="28"/>
      <c r="B191" s="28"/>
      <c r="C191" s="28" t="s">
        <v>157</v>
      </c>
      <c r="D191" s="28"/>
      <c r="E191" s="28"/>
      <c r="F191" s="28"/>
      <c r="G191" s="28"/>
      <c r="H191" s="28"/>
      <c r="I191" s="28"/>
      <c r="J191" s="28"/>
      <c r="K191" s="28"/>
    </row>
    <row r="192" spans="1:11" x14ac:dyDescent="0.25">
      <c r="A192" s="28"/>
      <c r="B192" s="28"/>
      <c r="C192" s="28"/>
      <c r="D192" s="28"/>
      <c r="E192" s="28"/>
      <c r="F192" s="28"/>
      <c r="G192" s="28"/>
      <c r="H192" s="28"/>
      <c r="I192" s="28"/>
      <c r="J192" s="28"/>
      <c r="K192" s="28"/>
    </row>
    <row r="193" spans="1:11" x14ac:dyDescent="0.25">
      <c r="A193" s="28"/>
      <c r="B193" s="28"/>
      <c r="C193" s="28"/>
      <c r="D193" s="28"/>
      <c r="E193" s="28"/>
      <c r="F193" s="28"/>
      <c r="G193" s="28"/>
      <c r="H193" s="28"/>
      <c r="I193" s="28"/>
      <c r="J193" s="28"/>
      <c r="K193" s="28"/>
    </row>
    <row r="194" spans="1:11" x14ac:dyDescent="0.25">
      <c r="A194" s="28"/>
      <c r="B194" s="28"/>
      <c r="C194" s="28"/>
      <c r="D194" s="28"/>
      <c r="E194" s="28"/>
      <c r="F194" s="28"/>
      <c r="G194" s="28"/>
      <c r="H194" s="28"/>
      <c r="I194" s="28"/>
      <c r="J194" s="28"/>
      <c r="K194" s="28"/>
    </row>
    <row r="195" spans="1:11" x14ac:dyDescent="0.25">
      <c r="A195" s="28"/>
      <c r="B195" s="28"/>
      <c r="C195" s="28"/>
      <c r="D195" s="28"/>
      <c r="E195" s="28"/>
      <c r="F195" s="28"/>
      <c r="G195" s="28"/>
      <c r="H195" s="28"/>
      <c r="I195" s="28"/>
      <c r="J195" s="28"/>
      <c r="K195" s="28"/>
    </row>
    <row r="196" spans="1:11" x14ac:dyDescent="0.25">
      <c r="A196" s="28"/>
      <c r="B196" s="28"/>
      <c r="C196" s="28"/>
      <c r="D196" s="28"/>
      <c r="E196" s="28"/>
      <c r="F196" s="28"/>
      <c r="G196" s="28"/>
      <c r="H196" s="28"/>
      <c r="I196" s="28"/>
      <c r="J196" s="28"/>
      <c r="K196" s="28"/>
    </row>
    <row r="197" spans="1:11" x14ac:dyDescent="0.25">
      <c r="A197" s="28"/>
      <c r="B197" s="28"/>
      <c r="C197" s="28"/>
      <c r="D197" s="28"/>
      <c r="E197" s="28"/>
      <c r="F197" s="28"/>
      <c r="G197" s="28"/>
      <c r="H197" s="28"/>
      <c r="I197" s="28"/>
      <c r="J197" s="28"/>
      <c r="K197" s="28"/>
    </row>
    <row r="198" spans="1:11" x14ac:dyDescent="0.25">
      <c r="A198" s="28"/>
      <c r="B198" s="28"/>
      <c r="C198" s="28"/>
      <c r="D198" s="28"/>
      <c r="E198" s="28"/>
      <c r="F198" s="28"/>
      <c r="G198" s="28"/>
      <c r="H198" s="28"/>
      <c r="I198" s="28"/>
      <c r="J198" s="28"/>
      <c r="K198" s="28"/>
    </row>
    <row r="199" spans="1:11" x14ac:dyDescent="0.25">
      <c r="A199" s="28"/>
      <c r="B199" s="28"/>
      <c r="C199" s="28"/>
      <c r="D199" s="28"/>
      <c r="E199" s="28"/>
      <c r="F199" s="28"/>
      <c r="G199" s="28"/>
      <c r="H199" s="28"/>
      <c r="I199" s="28"/>
      <c r="J199" s="28"/>
      <c r="K199" s="28"/>
    </row>
    <row r="200" spans="1:11" x14ac:dyDescent="0.25">
      <c r="A200" s="28"/>
      <c r="B200" s="28"/>
      <c r="C200" s="28"/>
      <c r="D200" s="28"/>
      <c r="E200" s="28"/>
      <c r="F200" s="28"/>
      <c r="G200" s="28"/>
      <c r="H200" s="28"/>
      <c r="I200" s="28"/>
      <c r="J200" s="28"/>
      <c r="K200" s="28"/>
    </row>
    <row r="201" spans="1:11" x14ac:dyDescent="0.25">
      <c r="A201" s="28"/>
      <c r="B201" s="28"/>
      <c r="C201" s="28"/>
      <c r="D201" s="28"/>
      <c r="E201" s="28"/>
      <c r="F201" s="28"/>
      <c r="G201" s="28"/>
      <c r="H201" s="28"/>
      <c r="I201" s="28"/>
      <c r="J201" s="28"/>
      <c r="K201" s="28"/>
    </row>
    <row r="202" spans="1:11" x14ac:dyDescent="0.25">
      <c r="A202" s="28"/>
      <c r="B202" s="28"/>
      <c r="C202" s="28"/>
      <c r="D202" s="28"/>
      <c r="E202" s="28"/>
      <c r="F202" s="28"/>
      <c r="G202" s="28"/>
      <c r="H202" s="28"/>
      <c r="I202" s="28"/>
      <c r="J202" s="28"/>
      <c r="K202" s="28"/>
    </row>
    <row r="203" spans="1:11" x14ac:dyDescent="0.25">
      <c r="A203" s="28"/>
      <c r="B203" s="28"/>
      <c r="C203" s="28"/>
      <c r="D203" s="28"/>
      <c r="E203" s="28"/>
      <c r="F203" s="28"/>
      <c r="G203" s="28"/>
      <c r="H203" s="28"/>
      <c r="I203" s="28"/>
      <c r="J203" s="28"/>
      <c r="K203" s="28"/>
    </row>
    <row r="204" spans="1:11" x14ac:dyDescent="0.25">
      <c r="A204" s="28"/>
      <c r="B204" s="28"/>
      <c r="C204" s="28"/>
      <c r="D204" s="28"/>
      <c r="E204" s="28"/>
      <c r="F204" s="28"/>
      <c r="G204" s="28"/>
      <c r="H204" s="28"/>
      <c r="I204" s="28"/>
      <c r="J204" s="28"/>
      <c r="K204" s="28"/>
    </row>
    <row r="205" spans="1:11" x14ac:dyDescent="0.25">
      <c r="A205" s="28"/>
      <c r="B205" s="28"/>
      <c r="C205" s="28"/>
      <c r="D205" s="28"/>
      <c r="E205" s="28"/>
      <c r="F205" s="28"/>
      <c r="G205" s="28"/>
      <c r="H205" s="28"/>
      <c r="I205" s="28"/>
      <c r="J205" s="28"/>
      <c r="K205" s="28"/>
    </row>
    <row r="206" spans="1:11" x14ac:dyDescent="0.25">
      <c r="A206" s="28"/>
      <c r="B206" s="28"/>
      <c r="C206" s="28"/>
      <c r="D206" s="28"/>
      <c r="E206" s="28"/>
      <c r="F206" s="28"/>
      <c r="G206" s="28"/>
      <c r="H206" s="28"/>
      <c r="I206" s="28"/>
      <c r="J206" s="28"/>
      <c r="K206" s="28"/>
    </row>
    <row r="207" spans="1:11" x14ac:dyDescent="0.25">
      <c r="A207" s="28"/>
      <c r="B207" s="28"/>
      <c r="C207" s="28"/>
      <c r="D207" s="28"/>
      <c r="E207" s="28"/>
      <c r="F207" s="28"/>
      <c r="G207" s="28"/>
      <c r="H207" s="28"/>
      <c r="I207" s="28"/>
      <c r="J207" s="28"/>
      <c r="K207" s="28"/>
    </row>
    <row r="208" spans="1:11" x14ac:dyDescent="0.25">
      <c r="A208" s="28"/>
      <c r="B208" s="28"/>
      <c r="C208" s="28"/>
      <c r="D208" s="28"/>
      <c r="E208" s="28"/>
      <c r="F208" s="28"/>
      <c r="G208" s="28"/>
      <c r="H208" s="28"/>
      <c r="I208" s="28"/>
      <c r="J208" s="28"/>
      <c r="K208" s="28"/>
    </row>
    <row r="209" spans="1:11" x14ac:dyDescent="0.25">
      <c r="A209" s="28"/>
      <c r="B209" s="28"/>
      <c r="C209" s="28"/>
      <c r="D209" s="28"/>
      <c r="E209" s="28"/>
      <c r="F209" s="28"/>
      <c r="G209" s="28"/>
      <c r="H209" s="28"/>
      <c r="I209" s="28"/>
      <c r="J209" s="28"/>
      <c r="K209" s="28"/>
    </row>
    <row r="210" spans="1:11" x14ac:dyDescent="0.25">
      <c r="A210" s="28"/>
      <c r="B210" s="28"/>
      <c r="C210" s="28"/>
      <c r="D210" s="28"/>
      <c r="E210" s="28"/>
      <c r="F210" s="28"/>
      <c r="G210" s="28"/>
      <c r="H210" s="28"/>
      <c r="I210" s="28"/>
      <c r="J210" s="28"/>
      <c r="K210" s="28"/>
    </row>
    <row r="211" spans="1:11" x14ac:dyDescent="0.25">
      <c r="A211" s="28"/>
      <c r="B211" s="28"/>
      <c r="C211" s="28"/>
      <c r="D211" s="28"/>
      <c r="E211" s="28"/>
      <c r="F211" s="28"/>
      <c r="G211" s="28"/>
      <c r="H211" s="28"/>
      <c r="I211" s="28"/>
      <c r="J211" s="28"/>
      <c r="K211" s="28"/>
    </row>
    <row r="212" spans="1:11" x14ac:dyDescent="0.25">
      <c r="A212" s="28"/>
      <c r="B212" s="28"/>
      <c r="C212" s="28"/>
      <c r="D212" s="28"/>
      <c r="E212" s="28"/>
      <c r="F212" s="28"/>
      <c r="G212" s="28"/>
      <c r="H212" s="28"/>
      <c r="I212" s="28"/>
      <c r="J212" s="28"/>
      <c r="K212" s="28"/>
    </row>
    <row r="213" spans="1:11" x14ac:dyDescent="0.25">
      <c r="A213" s="28"/>
      <c r="B213" s="28"/>
      <c r="C213" s="28"/>
      <c r="D213" s="28"/>
      <c r="E213" s="28"/>
      <c r="F213" s="28"/>
      <c r="G213" s="28"/>
      <c r="H213" s="28"/>
      <c r="I213" s="28"/>
      <c r="J213" s="28"/>
      <c r="K213" s="28"/>
    </row>
    <row r="214" spans="1:11" x14ac:dyDescent="0.25">
      <c r="A214" s="28"/>
      <c r="B214" s="28"/>
      <c r="C214" s="28"/>
      <c r="D214" s="28"/>
      <c r="E214" s="28"/>
      <c r="F214" s="28"/>
      <c r="G214" s="28"/>
      <c r="H214" s="28"/>
      <c r="I214" s="28"/>
      <c r="J214" s="28"/>
      <c r="K214" s="28"/>
    </row>
    <row r="215" spans="1:11" x14ac:dyDescent="0.25">
      <c r="A215" s="153" t="s">
        <v>158</v>
      </c>
      <c r="B215" s="153"/>
      <c r="C215" s="153"/>
      <c r="D215" s="153"/>
      <c r="E215" s="153"/>
      <c r="F215" s="153"/>
      <c r="G215" s="153"/>
      <c r="H215" s="153"/>
      <c r="I215" s="153"/>
      <c r="J215" s="153"/>
      <c r="K215" s="153"/>
    </row>
    <row r="216" spans="1:11" x14ac:dyDescent="0.25">
      <c r="A216" s="28"/>
      <c r="B216" s="28"/>
      <c r="C216" s="28"/>
      <c r="D216" s="28"/>
      <c r="E216" s="28"/>
      <c r="F216" s="28"/>
      <c r="G216" s="28"/>
      <c r="H216" s="28"/>
      <c r="I216" s="28"/>
      <c r="J216" s="28"/>
      <c r="K216" s="28"/>
    </row>
    <row r="217" spans="1:11" x14ac:dyDescent="0.25">
      <c r="A217" s="177" t="s">
        <v>163</v>
      </c>
      <c r="B217" s="177"/>
      <c r="C217" s="177"/>
      <c r="D217" s="177"/>
      <c r="E217" s="177"/>
      <c r="F217" s="177"/>
      <c r="G217" s="177"/>
      <c r="H217" s="177"/>
      <c r="I217" s="177"/>
      <c r="J217" s="177"/>
      <c r="K217" s="177"/>
    </row>
    <row r="218" spans="1:11" x14ac:dyDescent="0.25">
      <c r="A218" s="177"/>
      <c r="B218" s="177"/>
      <c r="C218" s="177"/>
      <c r="D218" s="177"/>
      <c r="E218" s="177"/>
      <c r="F218" s="177"/>
      <c r="G218" s="177"/>
      <c r="H218" s="177"/>
      <c r="I218" s="177"/>
      <c r="J218" s="177"/>
      <c r="K218" s="177"/>
    </row>
    <row r="219" spans="1:11" x14ac:dyDescent="0.25">
      <c r="A219" s="50" t="s">
        <v>164</v>
      </c>
      <c r="B219" s="178" t="str">
        <f>D17</f>
        <v>Caltest Instruments Ltd</v>
      </c>
      <c r="C219" s="178"/>
      <c r="D219" s="178"/>
      <c r="E219" s="178"/>
      <c r="F219" s="50" t="s">
        <v>165</v>
      </c>
      <c r="G219" s="178">
        <f>D30</f>
        <v>1243</v>
      </c>
      <c r="H219" s="178"/>
      <c r="I219" s="39" t="s">
        <v>214</v>
      </c>
      <c r="J219" s="39"/>
      <c r="K219" s="39" t="e">
        <f>VLOOKUP($D$28,'1Ph data'!A:C,3,0)</f>
        <v>#N/A</v>
      </c>
    </row>
    <row r="220" spans="1:11" x14ac:dyDescent="0.25">
      <c r="A220" s="50" t="s">
        <v>83</v>
      </c>
      <c r="B220" s="178" t="str">
        <f>D28</f>
        <v/>
      </c>
      <c r="C220" s="178"/>
      <c r="D220" s="178"/>
      <c r="E220" s="178"/>
      <c r="F220" s="50" t="s">
        <v>166</v>
      </c>
      <c r="G220" s="179">
        <f>D34</f>
        <v>44175</v>
      </c>
      <c r="H220" s="179"/>
      <c r="I220" s="39" t="s">
        <v>233</v>
      </c>
      <c r="J220" s="39"/>
      <c r="K220" s="39" t="e">
        <f>VLOOKUP($D$28,'1Ph data'!A:C,2,0)</f>
        <v>#N/A</v>
      </c>
    </row>
    <row r="221" spans="1:11" x14ac:dyDescent="0.25">
      <c r="A221" s="28"/>
      <c r="B221" s="28"/>
      <c r="C221" s="28"/>
      <c r="D221" s="28"/>
      <c r="E221" s="28"/>
      <c r="F221" s="28"/>
      <c r="G221" s="28"/>
      <c r="H221" s="28"/>
      <c r="I221" s="28"/>
      <c r="J221" s="28"/>
      <c r="K221" s="28"/>
    </row>
    <row r="222" spans="1:11" x14ac:dyDescent="0.25">
      <c r="A222" s="175" t="s">
        <v>167</v>
      </c>
      <c r="B222" s="175"/>
      <c r="C222" s="175"/>
      <c r="D222" s="175"/>
      <c r="E222" s="175"/>
      <c r="F222" s="175"/>
      <c r="G222" s="175"/>
      <c r="H222" s="175"/>
      <c r="I222" s="175"/>
      <c r="J222" s="175"/>
      <c r="K222" s="175"/>
    </row>
    <row r="223" spans="1:11" x14ac:dyDescent="0.25">
      <c r="A223" s="39" t="s">
        <v>168</v>
      </c>
      <c r="B223" s="39" t="s">
        <v>12</v>
      </c>
      <c r="C223" s="176" t="s">
        <v>169</v>
      </c>
      <c r="D223" s="176"/>
      <c r="E223" s="39" t="s">
        <v>12</v>
      </c>
      <c r="F223" s="176" t="s">
        <v>169</v>
      </c>
      <c r="G223" s="176"/>
      <c r="H223" s="39" t="s">
        <v>12</v>
      </c>
      <c r="I223" s="176" t="s">
        <v>169</v>
      </c>
      <c r="J223" s="176"/>
      <c r="K223" s="39"/>
    </row>
    <row r="224" spans="1:11" x14ac:dyDescent="0.25">
      <c r="A224" s="39" t="s">
        <v>170</v>
      </c>
      <c r="B224" s="39" t="s">
        <v>173</v>
      </c>
      <c r="C224" s="176"/>
      <c r="D224" s="176"/>
      <c r="E224" s="39" t="s">
        <v>174</v>
      </c>
      <c r="F224" s="176"/>
      <c r="G224" s="176"/>
      <c r="H224" s="39" t="s">
        <v>175</v>
      </c>
      <c r="I224" s="176"/>
      <c r="J224" s="176"/>
      <c r="K224" s="39"/>
    </row>
    <row r="225" spans="1:11" x14ac:dyDescent="0.25">
      <c r="A225" s="39" t="s">
        <v>171</v>
      </c>
      <c r="B225" s="39" t="s">
        <v>173</v>
      </c>
      <c r="C225" s="176"/>
      <c r="D225" s="176"/>
      <c r="E225" s="39" t="s">
        <v>174</v>
      </c>
      <c r="F225" s="176"/>
      <c r="G225" s="176"/>
      <c r="H225" s="39" t="s">
        <v>175</v>
      </c>
      <c r="I225" s="176"/>
      <c r="J225" s="176"/>
      <c r="K225" s="39"/>
    </row>
    <row r="226" spans="1:11" x14ac:dyDescent="0.25">
      <c r="A226" s="39" t="s">
        <v>170</v>
      </c>
      <c r="B226" s="39" t="s">
        <v>173</v>
      </c>
      <c r="C226" s="176"/>
      <c r="D226" s="176"/>
      <c r="E226" s="39" t="s">
        <v>174</v>
      </c>
      <c r="F226" s="176"/>
      <c r="G226" s="176"/>
      <c r="H226" s="39" t="s">
        <v>175</v>
      </c>
      <c r="I226" s="176"/>
      <c r="J226" s="176"/>
      <c r="K226" s="39"/>
    </row>
    <row r="227" spans="1:11" x14ac:dyDescent="0.25">
      <c r="A227" s="39" t="s">
        <v>172</v>
      </c>
      <c r="B227" s="39" t="s">
        <v>173</v>
      </c>
      <c r="C227" s="176"/>
      <c r="D227" s="176"/>
      <c r="E227" s="39" t="s">
        <v>174</v>
      </c>
      <c r="F227" s="176"/>
      <c r="G227" s="176"/>
      <c r="H227" s="39" t="s">
        <v>175</v>
      </c>
      <c r="I227" s="176"/>
      <c r="J227" s="176"/>
      <c r="K227" s="39"/>
    </row>
    <row r="228" spans="1:11" x14ac:dyDescent="0.25">
      <c r="A228" s="28"/>
      <c r="B228" s="28"/>
      <c r="C228" s="28"/>
      <c r="D228" s="28"/>
      <c r="E228" s="28"/>
      <c r="F228" s="28"/>
      <c r="G228" s="28"/>
      <c r="H228" s="28"/>
      <c r="I228" s="28"/>
      <c r="J228" s="28"/>
      <c r="K228" s="28"/>
    </row>
    <row r="229" spans="1:11" x14ac:dyDescent="0.25">
      <c r="A229" s="28"/>
      <c r="B229" s="160" t="s">
        <v>176</v>
      </c>
      <c r="C229" s="160"/>
      <c r="D229" s="160"/>
      <c r="E229" s="28"/>
      <c r="F229" s="28"/>
      <c r="G229" s="160" t="s">
        <v>177</v>
      </c>
      <c r="H229" s="160"/>
      <c r="I229" s="160"/>
      <c r="J229" s="28"/>
      <c r="K229" s="28"/>
    </row>
    <row r="230" spans="1:11" x14ac:dyDescent="0.25">
      <c r="A230" s="28"/>
      <c r="B230" s="160"/>
      <c r="C230" s="160"/>
      <c r="D230" s="160"/>
      <c r="E230" s="28"/>
      <c r="F230" s="28"/>
      <c r="G230" s="160"/>
      <c r="H230" s="160"/>
      <c r="I230" s="160"/>
      <c r="J230" s="28"/>
      <c r="K230" s="28"/>
    </row>
    <row r="231" spans="1:11" x14ac:dyDescent="0.25">
      <c r="A231" s="28"/>
      <c r="B231" s="39" t="s">
        <v>168</v>
      </c>
      <c r="C231" s="176"/>
      <c r="D231" s="176"/>
      <c r="E231" s="28"/>
      <c r="F231" s="28"/>
      <c r="G231" s="39" t="s">
        <v>168</v>
      </c>
      <c r="H231" s="176"/>
      <c r="I231" s="176"/>
      <c r="J231" s="28"/>
      <c r="K231" s="28"/>
    </row>
    <row r="232" spans="1:11" x14ac:dyDescent="0.25">
      <c r="A232" s="28"/>
      <c r="B232" s="39" t="s">
        <v>170</v>
      </c>
      <c r="C232" s="176"/>
      <c r="D232" s="176"/>
      <c r="E232" s="28"/>
      <c r="F232" s="28"/>
      <c r="G232" s="39" t="s">
        <v>170</v>
      </c>
      <c r="H232" s="176"/>
      <c r="I232" s="176"/>
      <c r="J232" s="28"/>
      <c r="K232" s="28"/>
    </row>
    <row r="233" spans="1:11" x14ac:dyDescent="0.25">
      <c r="A233" s="28"/>
      <c r="B233" s="39" t="s">
        <v>171</v>
      </c>
      <c r="C233" s="176"/>
      <c r="D233" s="176"/>
      <c r="E233" s="28"/>
      <c r="F233" s="28"/>
      <c r="G233" s="39" t="s">
        <v>171</v>
      </c>
      <c r="H233" s="176"/>
      <c r="I233" s="176"/>
      <c r="J233" s="28"/>
      <c r="K233" s="28"/>
    </row>
    <row r="234" spans="1:11" x14ac:dyDescent="0.25">
      <c r="A234" s="28"/>
      <c r="B234" s="39" t="s">
        <v>170</v>
      </c>
      <c r="C234" s="176"/>
      <c r="D234" s="176"/>
      <c r="E234" s="28"/>
      <c r="F234" s="28"/>
      <c r="G234" s="39" t="s">
        <v>170</v>
      </c>
      <c r="H234" s="176"/>
      <c r="I234" s="176"/>
      <c r="J234" s="28"/>
      <c r="K234" s="28"/>
    </row>
    <row r="235" spans="1:11" x14ac:dyDescent="0.25">
      <c r="A235" s="28"/>
      <c r="B235" s="39" t="s">
        <v>172</v>
      </c>
      <c r="C235" s="176"/>
      <c r="D235" s="176"/>
      <c r="E235" s="28"/>
      <c r="F235" s="28"/>
      <c r="G235" s="39" t="s">
        <v>172</v>
      </c>
      <c r="H235" s="176"/>
      <c r="I235" s="176"/>
      <c r="J235" s="28"/>
      <c r="K235" s="28"/>
    </row>
    <row r="236" spans="1:11" x14ac:dyDescent="0.25">
      <c r="A236" s="28"/>
      <c r="B236" s="28"/>
      <c r="C236" s="28"/>
      <c r="D236" s="28"/>
      <c r="E236" s="28"/>
      <c r="F236" s="28"/>
      <c r="G236" s="28"/>
      <c r="H236" s="28"/>
      <c r="I236" s="28"/>
      <c r="J236" s="28"/>
      <c r="K236" s="28"/>
    </row>
    <row r="237" spans="1:11" x14ac:dyDescent="0.25">
      <c r="A237" s="28"/>
      <c r="B237" s="106" t="s">
        <v>178</v>
      </c>
      <c r="C237" s="106"/>
      <c r="D237" s="106"/>
      <c r="E237" s="106"/>
      <c r="F237" s="106"/>
      <c r="G237" s="106"/>
      <c r="H237" s="106"/>
      <c r="I237" s="106"/>
      <c r="J237" s="106"/>
      <c r="K237" s="28"/>
    </row>
    <row r="238" spans="1:11" x14ac:dyDescent="0.25">
      <c r="A238" s="28"/>
      <c r="B238" s="28"/>
      <c r="C238" s="28"/>
      <c r="D238" s="28"/>
      <c r="E238" s="28"/>
      <c r="F238" s="28"/>
      <c r="G238" s="28"/>
      <c r="H238" s="28"/>
      <c r="I238" s="28"/>
      <c r="J238" s="28"/>
      <c r="K238" s="28"/>
    </row>
    <row r="239" spans="1:11" x14ac:dyDescent="0.25">
      <c r="A239" s="28"/>
      <c r="B239" s="28" t="s">
        <v>179</v>
      </c>
      <c r="C239" s="28"/>
      <c r="D239" s="28"/>
      <c r="E239" s="28"/>
      <c r="F239" s="28"/>
      <c r="G239" s="28"/>
      <c r="H239" s="28"/>
      <c r="I239" s="28"/>
      <c r="J239" s="28"/>
      <c r="K239" s="28"/>
    </row>
    <row r="240" spans="1:11" x14ac:dyDescent="0.25">
      <c r="A240" s="175" t="s">
        <v>180</v>
      </c>
      <c r="B240" s="175"/>
      <c r="C240" s="175"/>
      <c r="D240" s="175"/>
      <c r="E240" s="175"/>
      <c r="F240" s="175"/>
      <c r="G240" s="175"/>
      <c r="H240" s="175"/>
      <c r="I240" s="175"/>
      <c r="J240" s="175"/>
      <c r="K240" s="175"/>
    </row>
    <row r="241" spans="1:11" x14ac:dyDescent="0.25">
      <c r="A241" s="39" t="s">
        <v>181</v>
      </c>
      <c r="B241" s="39"/>
      <c r="C241" s="182"/>
      <c r="D241" s="183"/>
      <c r="E241" s="184"/>
      <c r="F241" s="39" t="s">
        <v>182</v>
      </c>
      <c r="G241" s="39"/>
      <c r="H241" s="182"/>
      <c r="I241" s="184"/>
      <c r="J241" s="39" t="s">
        <v>119</v>
      </c>
      <c r="K241" s="39"/>
    </row>
    <row r="242" spans="1:11" x14ac:dyDescent="0.25">
      <c r="A242" s="39" t="s">
        <v>183</v>
      </c>
      <c r="B242" s="39"/>
      <c r="C242" s="180"/>
      <c r="D242" s="185"/>
      <c r="E242" s="185"/>
      <c r="F242" s="185"/>
      <c r="G242" s="185"/>
      <c r="H242" s="185"/>
      <c r="I242" s="185"/>
      <c r="J242" s="185"/>
      <c r="K242" s="181"/>
    </row>
    <row r="243" spans="1:11" x14ac:dyDescent="0.25">
      <c r="A243" s="39" t="s">
        <v>184</v>
      </c>
      <c r="B243" s="39"/>
      <c r="C243" s="39"/>
      <c r="D243" s="182"/>
      <c r="E243" s="184"/>
      <c r="F243" s="39" t="s">
        <v>185</v>
      </c>
      <c r="G243" s="182"/>
      <c r="H243" s="183"/>
      <c r="I243" s="183"/>
      <c r="J243" s="183"/>
      <c r="K243" s="184"/>
    </row>
    <row r="244" spans="1:11" x14ac:dyDescent="0.25">
      <c r="A244" s="39" t="s">
        <v>186</v>
      </c>
      <c r="B244" s="39"/>
      <c r="C244" s="39"/>
      <c r="D244" s="182"/>
      <c r="E244" s="184"/>
      <c r="F244" s="39" t="s">
        <v>187</v>
      </c>
      <c r="G244" s="182"/>
      <c r="H244" s="183"/>
      <c r="I244" s="184"/>
      <c r="J244" s="39" t="s">
        <v>192</v>
      </c>
      <c r="K244" s="39"/>
    </row>
    <row r="245" spans="1:11" x14ac:dyDescent="0.25">
      <c r="A245" s="28"/>
      <c r="B245" s="28"/>
      <c r="C245" s="28"/>
      <c r="D245" s="28"/>
      <c r="E245" s="28"/>
      <c r="F245" s="28"/>
      <c r="G245" s="28"/>
      <c r="H245" s="28"/>
      <c r="I245" s="28"/>
      <c r="J245" s="28"/>
      <c r="K245" s="28"/>
    </row>
    <row r="246" spans="1:11" x14ac:dyDescent="0.25">
      <c r="A246" s="28"/>
      <c r="B246" s="28"/>
      <c r="C246" s="28"/>
      <c r="D246" s="28"/>
      <c r="E246" s="28"/>
      <c r="F246" s="28"/>
      <c r="G246" s="28"/>
      <c r="H246" s="28"/>
      <c r="I246" s="28"/>
      <c r="J246" s="28"/>
      <c r="K246" s="28"/>
    </row>
    <row r="247" spans="1:11" x14ac:dyDescent="0.25">
      <c r="A247" s="175" t="s">
        <v>188</v>
      </c>
      <c r="B247" s="175"/>
      <c r="C247" s="175"/>
      <c r="D247" s="175"/>
      <c r="E247" s="175"/>
      <c r="F247" s="175"/>
      <c r="G247" s="175"/>
      <c r="H247" s="175"/>
      <c r="I247" s="175"/>
      <c r="J247" s="175"/>
      <c r="K247" s="175"/>
    </row>
    <row r="248" spans="1:11" x14ac:dyDescent="0.25">
      <c r="A248" s="50" t="s">
        <v>181</v>
      </c>
      <c r="B248" s="50"/>
      <c r="C248" s="182"/>
      <c r="D248" s="183"/>
      <c r="E248" s="184"/>
      <c r="F248" s="178" t="s">
        <v>182</v>
      </c>
      <c r="G248" s="178"/>
      <c r="H248" s="182"/>
      <c r="I248" s="184"/>
      <c r="J248" s="39" t="s">
        <v>119</v>
      </c>
      <c r="K248" s="39"/>
    </row>
    <row r="249" spans="1:11" x14ac:dyDescent="0.25">
      <c r="A249" s="180" t="s">
        <v>189</v>
      </c>
      <c r="B249" s="181"/>
      <c r="C249" s="182"/>
      <c r="D249" s="183"/>
      <c r="E249" s="184"/>
      <c r="F249" s="39" t="s">
        <v>190</v>
      </c>
      <c r="G249" s="182"/>
      <c r="H249" s="183"/>
      <c r="I249" s="183"/>
      <c r="J249" s="183"/>
      <c r="K249" s="184"/>
    </row>
    <row r="250" spans="1:11" x14ac:dyDescent="0.25">
      <c r="A250" s="50" t="s">
        <v>184</v>
      </c>
      <c r="B250" s="50"/>
      <c r="C250" s="50"/>
      <c r="D250" s="182"/>
      <c r="E250" s="184"/>
      <c r="F250" s="39" t="s">
        <v>185</v>
      </c>
      <c r="G250" s="182"/>
      <c r="H250" s="183"/>
      <c r="I250" s="183"/>
      <c r="J250" s="183"/>
      <c r="K250" s="184"/>
    </row>
    <row r="251" spans="1:11" x14ac:dyDescent="0.25">
      <c r="A251" s="50" t="s">
        <v>186</v>
      </c>
      <c r="B251" s="50"/>
      <c r="C251" s="50"/>
      <c r="D251" s="182"/>
      <c r="E251" s="184"/>
      <c r="F251" s="39" t="s">
        <v>187</v>
      </c>
      <c r="G251" s="182"/>
      <c r="H251" s="183"/>
      <c r="I251" s="184"/>
      <c r="J251" s="39" t="s">
        <v>192</v>
      </c>
      <c r="K251" s="39"/>
    </row>
    <row r="252" spans="1:11" x14ac:dyDescent="0.25">
      <c r="A252" s="28"/>
      <c r="B252" s="28"/>
      <c r="C252" s="28"/>
      <c r="D252" s="28"/>
      <c r="E252" s="28"/>
      <c r="F252" s="28"/>
      <c r="G252" s="28"/>
      <c r="H252" s="28"/>
      <c r="I252" s="28"/>
      <c r="J252" s="28"/>
      <c r="K252" s="28"/>
    </row>
    <row r="253" spans="1:11" x14ac:dyDescent="0.25">
      <c r="A253" s="28"/>
      <c r="B253" s="28"/>
      <c r="C253" s="28"/>
      <c r="D253" s="28"/>
      <c r="E253" s="28"/>
      <c r="F253" s="28"/>
      <c r="G253" s="28"/>
      <c r="H253" s="28"/>
      <c r="I253" s="28"/>
      <c r="J253" s="28"/>
      <c r="K253" s="28"/>
    </row>
    <row r="254" spans="1:11" x14ac:dyDescent="0.25">
      <c r="A254" s="28"/>
      <c r="B254" s="28"/>
      <c r="C254" s="28"/>
      <c r="D254" s="28"/>
      <c r="E254" s="28"/>
      <c r="F254" s="28"/>
      <c r="G254" s="28"/>
      <c r="H254" s="28"/>
      <c r="I254" s="28"/>
      <c r="J254" s="28"/>
      <c r="K254" s="28"/>
    </row>
    <row r="255" spans="1:11" x14ac:dyDescent="0.25">
      <c r="A255" s="28"/>
      <c r="B255" s="28"/>
      <c r="C255" s="28"/>
      <c r="D255" s="28"/>
      <c r="E255" s="28"/>
      <c r="F255" s="28"/>
      <c r="G255" s="28"/>
      <c r="H255" s="28"/>
      <c r="I255" s="28"/>
      <c r="J255" s="28"/>
      <c r="K255" s="28"/>
    </row>
    <row r="256" spans="1:11" x14ac:dyDescent="0.25">
      <c r="A256" s="28"/>
      <c r="B256" s="28"/>
      <c r="C256" s="28"/>
      <c r="D256" s="28"/>
      <c r="E256" s="28"/>
      <c r="F256" s="28"/>
      <c r="G256" s="28"/>
      <c r="H256" s="28"/>
      <c r="I256" s="28"/>
      <c r="J256" s="28"/>
      <c r="K256" s="28"/>
    </row>
    <row r="257" spans="1:11" x14ac:dyDescent="0.25">
      <c r="A257" s="28"/>
      <c r="B257" s="28"/>
      <c r="C257" s="28"/>
      <c r="D257" s="28"/>
      <c r="E257" s="28"/>
      <c r="F257" s="28"/>
      <c r="G257" s="28"/>
      <c r="H257" s="28"/>
      <c r="I257" s="28"/>
      <c r="J257" s="28"/>
      <c r="K257" s="28"/>
    </row>
    <row r="258" spans="1:11" x14ac:dyDescent="0.25">
      <c r="A258" s="28"/>
      <c r="B258" s="28"/>
      <c r="C258" s="28"/>
      <c r="D258" s="28"/>
      <c r="E258" s="28"/>
      <c r="F258" s="28"/>
      <c r="G258" s="28"/>
      <c r="H258" s="28"/>
      <c r="I258" s="28"/>
      <c r="J258" s="28"/>
      <c r="K258" s="28"/>
    </row>
    <row r="259" spans="1:11" x14ac:dyDescent="0.25">
      <c r="A259" s="28"/>
      <c r="B259" s="28"/>
      <c r="C259" s="28"/>
      <c r="D259" s="28"/>
      <c r="E259" s="28"/>
      <c r="F259" s="28"/>
      <c r="G259" s="28"/>
      <c r="H259" s="28"/>
      <c r="I259" s="28"/>
      <c r="J259" s="28"/>
      <c r="K259" s="28"/>
    </row>
    <row r="260" spans="1:11" x14ac:dyDescent="0.25">
      <c r="A260" s="28"/>
      <c r="B260" s="28"/>
      <c r="C260" s="28"/>
      <c r="D260" s="28"/>
      <c r="E260" s="28"/>
      <c r="F260" s="28"/>
      <c r="G260" s="28"/>
      <c r="H260" s="28"/>
      <c r="I260" s="28"/>
      <c r="J260" s="28"/>
      <c r="K260" s="28"/>
    </row>
    <row r="261" spans="1:11" x14ac:dyDescent="0.25">
      <c r="A261" s="28"/>
      <c r="B261" s="28"/>
      <c r="C261" s="28"/>
      <c r="D261" s="28"/>
      <c r="E261" s="28"/>
      <c r="F261" s="28"/>
      <c r="G261" s="28"/>
      <c r="H261" s="28"/>
      <c r="I261" s="28"/>
      <c r="J261" s="28"/>
      <c r="K261" s="28"/>
    </row>
    <row r="262" spans="1:11" x14ac:dyDescent="0.25">
      <c r="A262" s="28"/>
      <c r="B262" s="28"/>
      <c r="C262" s="28"/>
      <c r="D262" s="28"/>
      <c r="E262" s="28"/>
      <c r="F262" s="28"/>
      <c r="G262" s="28"/>
      <c r="H262" s="28"/>
      <c r="I262" s="28"/>
      <c r="J262" s="28"/>
      <c r="K262" s="28"/>
    </row>
    <row r="263" spans="1:11" x14ac:dyDescent="0.25">
      <c r="A263" s="28"/>
      <c r="B263" s="28"/>
      <c r="C263" s="28"/>
      <c r="D263" s="28"/>
      <c r="E263" s="28"/>
      <c r="F263" s="28"/>
      <c r="G263" s="28"/>
      <c r="H263" s="28"/>
      <c r="I263" s="28"/>
      <c r="J263" s="28"/>
      <c r="K263" s="28"/>
    </row>
    <row r="264" spans="1:11" x14ac:dyDescent="0.25">
      <c r="A264" s="28"/>
      <c r="B264" s="28"/>
      <c r="C264" s="28"/>
      <c r="D264" s="28"/>
      <c r="E264" s="28"/>
      <c r="F264" s="28"/>
      <c r="G264" s="28"/>
      <c r="H264" s="28"/>
      <c r="I264" s="28"/>
      <c r="J264" s="28"/>
      <c r="K264" s="28"/>
    </row>
    <row r="265" spans="1:11" x14ac:dyDescent="0.25">
      <c r="A265" s="28"/>
      <c r="B265" s="28"/>
      <c r="C265" s="28"/>
      <c r="D265" s="28"/>
      <c r="E265" s="28"/>
      <c r="F265" s="28"/>
      <c r="G265" s="28"/>
      <c r="H265" s="28"/>
      <c r="I265" s="28"/>
      <c r="J265" s="28"/>
      <c r="K265" s="28"/>
    </row>
    <row r="266" spans="1:11" x14ac:dyDescent="0.25">
      <c r="A266" s="28"/>
      <c r="B266" s="28"/>
      <c r="C266" s="28"/>
      <c r="D266" s="28"/>
      <c r="E266" s="28"/>
      <c r="F266" s="28"/>
      <c r="G266" s="28"/>
      <c r="H266" s="28"/>
      <c r="I266" s="28"/>
      <c r="J266" s="28"/>
      <c r="K266" s="28"/>
    </row>
    <row r="267" spans="1:11" x14ac:dyDescent="0.25">
      <c r="A267" s="28"/>
      <c r="B267" s="28"/>
      <c r="C267" s="28"/>
      <c r="D267" s="28"/>
      <c r="E267" s="28"/>
      <c r="F267" s="28"/>
      <c r="G267" s="28"/>
      <c r="H267" s="28"/>
      <c r="I267" s="28"/>
      <c r="J267" s="28"/>
      <c r="K267" s="28"/>
    </row>
    <row r="268" spans="1:11" x14ac:dyDescent="0.25">
      <c r="A268" s="28"/>
      <c r="B268" s="28"/>
      <c r="C268" s="28"/>
      <c r="D268" s="28"/>
      <c r="E268" s="28"/>
      <c r="F268" s="28"/>
      <c r="G268" s="28"/>
      <c r="H268" s="28"/>
      <c r="I268" s="28"/>
      <c r="J268" s="28"/>
      <c r="K268" s="28"/>
    </row>
    <row r="269" spans="1:11" x14ac:dyDescent="0.25">
      <c r="A269" s="28"/>
      <c r="B269" s="28"/>
      <c r="C269" s="28"/>
      <c r="D269" s="28"/>
      <c r="E269" s="28"/>
      <c r="F269" s="28"/>
      <c r="G269" s="28"/>
      <c r="H269" s="28"/>
      <c r="I269" s="28"/>
      <c r="J269" s="28"/>
      <c r="K269" s="28"/>
    </row>
    <row r="270" spans="1:11" x14ac:dyDescent="0.25">
      <c r="A270" s="28"/>
      <c r="B270" s="28"/>
      <c r="C270" s="28"/>
      <c r="D270" s="28"/>
      <c r="E270" s="28"/>
      <c r="F270" s="28"/>
      <c r="G270" s="28"/>
      <c r="H270" s="28"/>
      <c r="I270" s="28"/>
      <c r="J270" s="28"/>
      <c r="K270" s="28"/>
    </row>
    <row r="271" spans="1:11" x14ac:dyDescent="0.25">
      <c r="A271" s="28"/>
      <c r="B271" s="28"/>
      <c r="C271" s="28"/>
      <c r="D271" s="28"/>
      <c r="E271" s="28"/>
      <c r="F271" s="28"/>
      <c r="G271" s="28"/>
      <c r="H271" s="28"/>
      <c r="I271" s="28"/>
      <c r="J271" s="28"/>
      <c r="K271" s="28"/>
    </row>
    <row r="272" spans="1:11" x14ac:dyDescent="0.25">
      <c r="A272" s="28"/>
      <c r="B272" s="28"/>
      <c r="C272" s="28"/>
      <c r="D272" s="28"/>
      <c r="E272" s="28"/>
      <c r="F272" s="28"/>
      <c r="G272" s="28"/>
      <c r="H272" s="28"/>
      <c r="I272" s="28"/>
      <c r="J272" s="28"/>
      <c r="K272" s="28"/>
    </row>
  </sheetData>
  <mergeCells count="223">
    <mergeCell ref="D250:E250"/>
    <mergeCell ref="G250:K250"/>
    <mergeCell ref="D251:E251"/>
    <mergeCell ref="G251:I251"/>
    <mergeCell ref="C248:E248"/>
    <mergeCell ref="F248:G248"/>
    <mergeCell ref="H248:I248"/>
    <mergeCell ref="A249:B249"/>
    <mergeCell ref="C249:E249"/>
    <mergeCell ref="G249:K249"/>
    <mergeCell ref="C242:K242"/>
    <mergeCell ref="D243:E243"/>
    <mergeCell ref="G243:K243"/>
    <mergeCell ref="D244:E244"/>
    <mergeCell ref="G244:I244"/>
    <mergeCell ref="A247:K247"/>
    <mergeCell ref="C235:D235"/>
    <mergeCell ref="H235:I235"/>
    <mergeCell ref="B237:J237"/>
    <mergeCell ref="A240:K240"/>
    <mergeCell ref="C241:E241"/>
    <mergeCell ref="H241:I241"/>
    <mergeCell ref="C232:D232"/>
    <mergeCell ref="H232:I232"/>
    <mergeCell ref="C233:D233"/>
    <mergeCell ref="H233:I233"/>
    <mergeCell ref="C234:D234"/>
    <mergeCell ref="H234:I234"/>
    <mergeCell ref="C227:D227"/>
    <mergeCell ref="F227:G227"/>
    <mergeCell ref="I227:J227"/>
    <mergeCell ref="B229:D230"/>
    <mergeCell ref="G229:I230"/>
    <mergeCell ref="C231:D231"/>
    <mergeCell ref="H231:I231"/>
    <mergeCell ref="C225:D225"/>
    <mergeCell ref="F225:G225"/>
    <mergeCell ref="I225:J225"/>
    <mergeCell ref="C226:D226"/>
    <mergeCell ref="F226:G226"/>
    <mergeCell ref="I226:J226"/>
    <mergeCell ref="A222:K222"/>
    <mergeCell ref="C223:D223"/>
    <mergeCell ref="F223:G223"/>
    <mergeCell ref="I223:J223"/>
    <mergeCell ref="C224:D224"/>
    <mergeCell ref="F224:G224"/>
    <mergeCell ref="I224:J224"/>
    <mergeCell ref="A215:K215"/>
    <mergeCell ref="A217:K218"/>
    <mergeCell ref="B219:E219"/>
    <mergeCell ref="G219:H219"/>
    <mergeCell ref="B220:E220"/>
    <mergeCell ref="G220:H220"/>
    <mergeCell ref="A187:D187"/>
    <mergeCell ref="E187:H187"/>
    <mergeCell ref="I187:K187"/>
    <mergeCell ref="A188:D188"/>
    <mergeCell ref="E188:H188"/>
    <mergeCell ref="I188:K188"/>
    <mergeCell ref="A185:D185"/>
    <mergeCell ref="E185:H185"/>
    <mergeCell ref="I185:K185"/>
    <mergeCell ref="A186:D186"/>
    <mergeCell ref="E186:H186"/>
    <mergeCell ref="I186:K186"/>
    <mergeCell ref="A183:D183"/>
    <mergeCell ref="E183:H183"/>
    <mergeCell ref="I183:K183"/>
    <mergeCell ref="A184:D184"/>
    <mergeCell ref="E184:H184"/>
    <mergeCell ref="I184:K184"/>
    <mergeCell ref="A181:D181"/>
    <mergeCell ref="E181:H181"/>
    <mergeCell ref="I181:K181"/>
    <mergeCell ref="A182:D182"/>
    <mergeCell ref="E182:H182"/>
    <mergeCell ref="I182:K182"/>
    <mergeCell ref="A173:K175"/>
    <mergeCell ref="A176:K176"/>
    <mergeCell ref="A179:D179"/>
    <mergeCell ref="E179:H179"/>
    <mergeCell ref="I179:K179"/>
    <mergeCell ref="A180:D180"/>
    <mergeCell ref="E180:H180"/>
    <mergeCell ref="I180:K180"/>
    <mergeCell ref="A165:G168"/>
    <mergeCell ref="I165:I166"/>
    <mergeCell ref="J165:K166"/>
    <mergeCell ref="I167:K168"/>
    <mergeCell ref="A170:K170"/>
    <mergeCell ref="A171:B171"/>
    <mergeCell ref="B130:C130"/>
    <mergeCell ref="D130:E130"/>
    <mergeCell ref="F130:G130"/>
    <mergeCell ref="H130:I130"/>
    <mergeCell ref="J130:K130"/>
    <mergeCell ref="B131:C131"/>
    <mergeCell ref="D131:E131"/>
    <mergeCell ref="F131:G131"/>
    <mergeCell ref="H131:I131"/>
    <mergeCell ref="J131:K131"/>
    <mergeCell ref="B128:C128"/>
    <mergeCell ref="D128:E128"/>
    <mergeCell ref="F128:G128"/>
    <mergeCell ref="H128:I128"/>
    <mergeCell ref="J128:K128"/>
    <mergeCell ref="B129:C129"/>
    <mergeCell ref="D129:E129"/>
    <mergeCell ref="F129:G129"/>
    <mergeCell ref="H129:I129"/>
    <mergeCell ref="J129:K129"/>
    <mergeCell ref="B126:C126"/>
    <mergeCell ref="D126:E126"/>
    <mergeCell ref="F126:G126"/>
    <mergeCell ref="H126:I126"/>
    <mergeCell ref="J126:K126"/>
    <mergeCell ref="B127:C127"/>
    <mergeCell ref="D127:E127"/>
    <mergeCell ref="F127:G127"/>
    <mergeCell ref="H127:I127"/>
    <mergeCell ref="J127:K127"/>
    <mergeCell ref="A117:K117"/>
    <mergeCell ref="A118:B118"/>
    <mergeCell ref="A120:K122"/>
    <mergeCell ref="A123:K123"/>
    <mergeCell ref="B125:C125"/>
    <mergeCell ref="D125:E125"/>
    <mergeCell ref="F125:G125"/>
    <mergeCell ref="H125:I125"/>
    <mergeCell ref="J125:K125"/>
    <mergeCell ref="B84:C84"/>
    <mergeCell ref="D84:E84"/>
    <mergeCell ref="F84:G84"/>
    <mergeCell ref="H84:I84"/>
    <mergeCell ref="J84:K84"/>
    <mergeCell ref="A112:G115"/>
    <mergeCell ref="I112:I113"/>
    <mergeCell ref="J112:K113"/>
    <mergeCell ref="I114:K115"/>
    <mergeCell ref="B82:C82"/>
    <mergeCell ref="D82:E82"/>
    <mergeCell ref="F82:G82"/>
    <mergeCell ref="H82:I82"/>
    <mergeCell ref="J82:K82"/>
    <mergeCell ref="B83:C83"/>
    <mergeCell ref="D83:E83"/>
    <mergeCell ref="F83:G83"/>
    <mergeCell ref="H83:I83"/>
    <mergeCell ref="J83:K83"/>
    <mergeCell ref="B80:C80"/>
    <mergeCell ref="D80:E80"/>
    <mergeCell ref="F80:G80"/>
    <mergeCell ref="H80:I80"/>
    <mergeCell ref="J80:K80"/>
    <mergeCell ref="B81:C81"/>
    <mergeCell ref="D81:E81"/>
    <mergeCell ref="F81:G81"/>
    <mergeCell ref="H81:I81"/>
    <mergeCell ref="J81:K81"/>
    <mergeCell ref="B78:C78"/>
    <mergeCell ref="D78:E78"/>
    <mergeCell ref="F78:G78"/>
    <mergeCell ref="H78:I78"/>
    <mergeCell ref="J78:K78"/>
    <mergeCell ref="B79:C79"/>
    <mergeCell ref="D79:E79"/>
    <mergeCell ref="F79:G79"/>
    <mergeCell ref="H79:I79"/>
    <mergeCell ref="J79:K79"/>
    <mergeCell ref="B76:C76"/>
    <mergeCell ref="D76:E76"/>
    <mergeCell ref="F76:G76"/>
    <mergeCell ref="H76:I76"/>
    <mergeCell ref="J76:K76"/>
    <mergeCell ref="B77:C77"/>
    <mergeCell ref="D77:E77"/>
    <mergeCell ref="F77:G77"/>
    <mergeCell ref="H77:I77"/>
    <mergeCell ref="J77:K77"/>
    <mergeCell ref="A66:K66"/>
    <mergeCell ref="A67:B67"/>
    <mergeCell ref="A69:K71"/>
    <mergeCell ref="A72:K72"/>
    <mergeCell ref="A73:K73"/>
    <mergeCell ref="B75:C75"/>
    <mergeCell ref="D75:E75"/>
    <mergeCell ref="F75:G75"/>
    <mergeCell ref="H75:I75"/>
    <mergeCell ref="J75:K75"/>
    <mergeCell ref="A49:K51"/>
    <mergeCell ref="A54:K54"/>
    <mergeCell ref="A55:K55"/>
    <mergeCell ref="A56:K56"/>
    <mergeCell ref="A57:K57"/>
    <mergeCell ref="A61:G64"/>
    <mergeCell ref="I61:I62"/>
    <mergeCell ref="J61:K62"/>
    <mergeCell ref="I63:K64"/>
    <mergeCell ref="A37:B37"/>
    <mergeCell ref="A38:B38"/>
    <mergeCell ref="D38:E38"/>
    <mergeCell ref="A42:B42"/>
    <mergeCell ref="A45:K45"/>
    <mergeCell ref="A47:K47"/>
    <mergeCell ref="A32:B32"/>
    <mergeCell ref="A33:B33"/>
    <mergeCell ref="A34:B34"/>
    <mergeCell ref="D34:E34"/>
    <mergeCell ref="A35:B35"/>
    <mergeCell ref="A36:B36"/>
    <mergeCell ref="A25:B25"/>
    <mergeCell ref="A26:B26"/>
    <mergeCell ref="A27:B27"/>
    <mergeCell ref="A28:B28"/>
    <mergeCell ref="A29:B29"/>
    <mergeCell ref="A30:B30"/>
    <mergeCell ref="A1:K2"/>
    <mergeCell ref="A6:B7"/>
    <mergeCell ref="C6:E6"/>
    <mergeCell ref="G6:I6"/>
    <mergeCell ref="A16:K16"/>
    <mergeCell ref="A24:B24"/>
  </mergeCells>
  <conditionalFormatting sqref="H77:I84">
    <cfRule type="cellIs" dxfId="1" priority="1" operator="lessThan">
      <formula>100</formula>
    </cfRule>
  </conditionalFormatting>
  <dataValidations count="1">
    <dataValidation type="list" allowBlank="1" showInputMessage="1" showErrorMessage="1" sqref="J244" xr:uid="{011A8E17-EAC9-4271-908A-30A640A9756E}">
      <formula1>$J$24:$J$25</formula1>
    </dataValidation>
  </dataValidations>
  <pageMargins left="0.59055118110236227" right="0.39370078740157483" top="0.23622047244094491" bottom="0.23622047244094491" header="0.31496062992125984" footer="0.31496062992125984"/>
  <pageSetup paperSize="9" orientation="portrait" r:id="rId1"/>
  <rowBreaks count="4" manualBreakCount="4">
    <brk id="60" max="16383" man="1"/>
    <brk id="111" max="16383" man="1"/>
    <brk id="164" max="16383" man="1"/>
    <brk id="216" max="16383" man="1"/>
  </rowBreaks>
  <drawing r:id="rId2"/>
  <legacyDrawing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EF036C-9AAF-4869-ABC1-FA306B5C4DE1}">
  <dimension ref="A1:K318"/>
  <sheetViews>
    <sheetView view="pageLayout" zoomScale="120" zoomScaleNormal="100" zoomScalePageLayoutView="120" workbookViewId="0">
      <selection activeCell="H76" sqref="H76:I83"/>
    </sheetView>
  </sheetViews>
  <sheetFormatPr defaultRowHeight="15" x14ac:dyDescent="0.25"/>
  <cols>
    <col min="1" max="10" width="8.28515625" style="20" customWidth="1"/>
    <col min="11" max="16384" width="9.140625" style="20"/>
  </cols>
  <sheetData>
    <row r="1" spans="1:11" x14ac:dyDescent="0.25">
      <c r="A1" s="86" t="s">
        <v>0</v>
      </c>
      <c r="B1" s="87"/>
      <c r="C1" s="87"/>
      <c r="D1" s="87"/>
      <c r="E1" s="87"/>
      <c r="F1" s="87"/>
      <c r="G1" s="87"/>
      <c r="H1" s="87"/>
      <c r="I1" s="87"/>
      <c r="J1" s="87"/>
      <c r="K1" s="88"/>
    </row>
    <row r="2" spans="1:11" x14ac:dyDescent="0.25">
      <c r="A2" s="89"/>
      <c r="B2" s="90"/>
      <c r="C2" s="90"/>
      <c r="D2" s="90"/>
      <c r="E2" s="90"/>
      <c r="F2" s="90"/>
      <c r="G2" s="90"/>
      <c r="H2" s="90"/>
      <c r="I2" s="90"/>
      <c r="J2" s="90"/>
      <c r="K2" s="91"/>
    </row>
    <row r="3" spans="1:11" ht="7.15" customHeight="1" x14ac:dyDescent="0.25">
      <c r="A3" s="21"/>
      <c r="B3" s="57"/>
      <c r="C3" s="57"/>
      <c r="D3" s="57"/>
      <c r="E3" s="57"/>
      <c r="F3" s="57"/>
      <c r="G3" s="57"/>
      <c r="H3" s="57"/>
      <c r="I3" s="57"/>
      <c r="J3" s="57"/>
      <c r="K3" s="22"/>
    </row>
    <row r="4" spans="1:11" ht="15.6" customHeight="1" x14ac:dyDescent="0.25">
      <c r="A4" s="23" t="s">
        <v>159</v>
      </c>
      <c r="B4" s="58"/>
      <c r="C4" s="58" t="s">
        <v>111</v>
      </c>
      <c r="D4" s="58"/>
      <c r="E4" s="58"/>
      <c r="F4" s="59"/>
      <c r="G4" s="59"/>
      <c r="H4" s="59"/>
      <c r="I4" s="59"/>
      <c r="J4" s="59"/>
      <c r="K4" s="24"/>
    </row>
    <row r="5" spans="1:11" ht="7.9" customHeight="1" x14ac:dyDescent="0.25">
      <c r="A5" s="23"/>
      <c r="B5" s="58"/>
      <c r="C5" s="58"/>
      <c r="D5" s="58"/>
      <c r="E5" s="58"/>
      <c r="F5" s="59"/>
      <c r="G5" s="59"/>
      <c r="H5" s="59"/>
      <c r="I5" s="59"/>
      <c r="J5" s="59"/>
      <c r="K5" s="24"/>
    </row>
    <row r="6" spans="1:11" ht="15.75" x14ac:dyDescent="0.25">
      <c r="A6" s="92" t="s">
        <v>37</v>
      </c>
      <c r="B6" s="93"/>
      <c r="C6" s="96">
        <v>44175</v>
      </c>
      <c r="D6" s="96"/>
      <c r="E6" s="96"/>
      <c r="F6" s="59"/>
      <c r="G6" s="97" t="s">
        <v>2</v>
      </c>
      <c r="H6" s="97"/>
      <c r="I6" s="97"/>
      <c r="J6" s="60" t="s">
        <v>195</v>
      </c>
      <c r="K6" s="24"/>
    </row>
    <row r="7" spans="1:11" ht="7.9" customHeight="1" x14ac:dyDescent="0.25">
      <c r="A7" s="94"/>
      <c r="B7" s="95"/>
      <c r="C7" s="25"/>
      <c r="D7" s="25"/>
      <c r="E7" s="25"/>
      <c r="F7" s="26"/>
      <c r="G7" s="26"/>
      <c r="H7" s="26"/>
      <c r="I7" s="26"/>
      <c r="J7" s="26"/>
      <c r="K7" s="27"/>
    </row>
    <row r="8" spans="1:11" ht="7.9" customHeight="1" x14ac:dyDescent="0.25">
      <c r="A8" s="28"/>
      <c r="B8" s="28"/>
      <c r="C8" s="28"/>
      <c r="D8" s="28"/>
      <c r="E8" s="28"/>
      <c r="F8" s="28"/>
      <c r="G8" s="28"/>
      <c r="H8" s="28"/>
      <c r="I8" s="28"/>
      <c r="J8" s="28"/>
      <c r="K8" s="28"/>
    </row>
    <row r="9" spans="1:11" x14ac:dyDescent="0.25">
      <c r="A9" s="28"/>
      <c r="B9" s="28"/>
      <c r="C9" s="28"/>
      <c r="D9" s="28"/>
      <c r="E9" s="28"/>
      <c r="F9" s="29" t="s">
        <v>3</v>
      </c>
      <c r="G9" s="30"/>
      <c r="H9" s="30"/>
      <c r="I9" s="28"/>
      <c r="J9" s="31" t="s">
        <v>324</v>
      </c>
      <c r="K9" s="31"/>
    </row>
    <row r="10" spans="1:11" x14ac:dyDescent="0.25">
      <c r="A10" s="28"/>
      <c r="B10" s="28"/>
      <c r="C10" s="28"/>
      <c r="D10" s="28"/>
      <c r="E10" s="28"/>
      <c r="F10" s="29" t="s">
        <v>4</v>
      </c>
      <c r="G10" s="30"/>
      <c r="H10" s="30"/>
      <c r="I10" s="28"/>
      <c r="J10" s="31"/>
      <c r="K10" s="31"/>
    </row>
    <row r="11" spans="1:11" x14ac:dyDescent="0.25">
      <c r="A11" s="28"/>
      <c r="B11" s="28"/>
      <c r="C11" s="28"/>
      <c r="D11" s="28"/>
      <c r="E11" s="28"/>
      <c r="F11" s="29" t="s">
        <v>5</v>
      </c>
      <c r="G11" s="30"/>
      <c r="H11" s="30"/>
      <c r="I11" s="28"/>
      <c r="J11" s="31" t="s">
        <v>9</v>
      </c>
      <c r="K11" s="31"/>
    </row>
    <row r="12" spans="1:11" x14ac:dyDescent="0.25">
      <c r="A12" s="28"/>
      <c r="B12" s="28"/>
      <c r="C12" s="28"/>
      <c r="D12" s="28"/>
      <c r="E12" s="28"/>
      <c r="F12" s="29" t="s">
        <v>6</v>
      </c>
      <c r="G12" s="30"/>
      <c r="H12" s="30"/>
      <c r="I12" s="28"/>
      <c r="J12" s="31"/>
      <c r="K12" s="31"/>
    </row>
    <row r="13" spans="1:11" x14ac:dyDescent="0.25">
      <c r="A13" s="28"/>
      <c r="B13" s="28"/>
      <c r="C13" s="28"/>
      <c r="D13" s="28"/>
      <c r="E13" s="28"/>
      <c r="F13" s="29" t="s">
        <v>7</v>
      </c>
      <c r="G13" s="30"/>
      <c r="H13" s="30"/>
      <c r="I13" s="28"/>
      <c r="J13" s="31"/>
      <c r="K13" s="31"/>
    </row>
    <row r="14" spans="1:11" x14ac:dyDescent="0.25">
      <c r="A14" s="28"/>
      <c r="B14" s="28"/>
      <c r="C14" s="28"/>
      <c r="D14" s="28"/>
      <c r="E14" s="28"/>
      <c r="F14" s="29" t="s">
        <v>8</v>
      </c>
      <c r="G14" s="30"/>
      <c r="H14" s="30"/>
      <c r="I14" s="28"/>
      <c r="J14" s="31" t="s">
        <v>39</v>
      </c>
      <c r="K14" s="31"/>
    </row>
    <row r="15" spans="1:11" ht="7.15" customHeight="1" thickBot="1" x14ac:dyDescent="0.3">
      <c r="A15" s="32"/>
      <c r="B15" s="32"/>
      <c r="C15" s="32"/>
      <c r="D15" s="32"/>
      <c r="E15" s="32"/>
      <c r="F15" s="32"/>
      <c r="G15" s="32"/>
      <c r="H15" s="32"/>
      <c r="I15" s="32"/>
      <c r="J15" s="32"/>
      <c r="K15" s="32"/>
    </row>
    <row r="16" spans="1:11" x14ac:dyDescent="0.25">
      <c r="A16" s="98"/>
      <c r="B16" s="98"/>
      <c r="C16" s="98"/>
      <c r="D16" s="98"/>
      <c r="E16" s="98"/>
      <c r="F16" s="98"/>
      <c r="G16" s="98"/>
      <c r="H16" s="98"/>
      <c r="I16" s="98"/>
      <c r="J16" s="98"/>
      <c r="K16" s="98"/>
    </row>
    <row r="17" spans="1:11" x14ac:dyDescent="0.25">
      <c r="A17" s="33" t="s">
        <v>11</v>
      </c>
      <c r="B17" s="33"/>
      <c r="C17" s="33"/>
      <c r="D17" s="33" t="s">
        <v>111</v>
      </c>
      <c r="E17" s="33"/>
      <c r="F17" s="33"/>
      <c r="G17" s="33"/>
      <c r="H17" s="33"/>
      <c r="I17" s="33"/>
      <c r="J17" s="33"/>
      <c r="K17" s="33"/>
    </row>
    <row r="18" spans="1:11" x14ac:dyDescent="0.25">
      <c r="A18" s="33"/>
      <c r="B18" s="33"/>
      <c r="C18" s="33"/>
      <c r="D18" s="34" t="s">
        <v>3</v>
      </c>
      <c r="E18" s="33"/>
      <c r="F18" s="33"/>
      <c r="G18" s="33"/>
      <c r="H18" s="33"/>
      <c r="I18" s="33"/>
      <c r="J18" s="33"/>
      <c r="K18" s="33"/>
    </row>
    <row r="19" spans="1:11" x14ac:dyDescent="0.25">
      <c r="A19" s="33"/>
      <c r="B19" s="33"/>
      <c r="C19" s="33"/>
      <c r="D19" s="34" t="s">
        <v>4</v>
      </c>
      <c r="E19" s="33"/>
      <c r="F19" s="33"/>
      <c r="G19" s="33"/>
      <c r="H19" s="33"/>
      <c r="I19" s="33"/>
      <c r="J19" s="33"/>
      <c r="K19" s="33"/>
    </row>
    <row r="20" spans="1:11" x14ac:dyDescent="0.25">
      <c r="A20" s="33"/>
      <c r="B20" s="33"/>
      <c r="C20" s="33"/>
      <c r="D20" s="34" t="s">
        <v>5</v>
      </c>
      <c r="E20" s="33"/>
      <c r="F20" s="33"/>
      <c r="G20" s="33"/>
      <c r="H20" s="33"/>
      <c r="I20" s="33"/>
      <c r="J20" s="33"/>
      <c r="K20" s="33"/>
    </row>
    <row r="21" spans="1:11" x14ac:dyDescent="0.25">
      <c r="A21" s="33"/>
      <c r="B21" s="33"/>
      <c r="C21" s="33"/>
      <c r="D21" s="34" t="s">
        <v>6</v>
      </c>
      <c r="E21" s="33"/>
      <c r="F21" s="33"/>
      <c r="G21" s="33"/>
      <c r="H21" s="33"/>
      <c r="I21" s="33"/>
      <c r="J21" s="33"/>
      <c r="K21" s="33"/>
    </row>
    <row r="22" spans="1:11" x14ac:dyDescent="0.25">
      <c r="A22" s="33"/>
      <c r="B22" s="33"/>
      <c r="C22" s="33"/>
      <c r="D22" s="34" t="s">
        <v>7</v>
      </c>
      <c r="E22" s="33"/>
      <c r="F22" s="33"/>
      <c r="G22" s="33"/>
      <c r="H22" s="33"/>
      <c r="I22" s="33"/>
      <c r="J22" s="33"/>
      <c r="K22" s="33"/>
    </row>
    <row r="23" spans="1:11" x14ac:dyDescent="0.25">
      <c r="A23" s="33"/>
      <c r="B23" s="33"/>
      <c r="C23" s="33"/>
      <c r="D23" s="29"/>
      <c r="E23" s="33"/>
      <c r="F23" s="33"/>
      <c r="G23" s="33"/>
      <c r="H23" s="33"/>
      <c r="I23" s="33"/>
      <c r="J23" s="33"/>
      <c r="K23" s="33"/>
    </row>
    <row r="24" spans="1:11" x14ac:dyDescent="0.25">
      <c r="A24" s="85" t="s">
        <v>20</v>
      </c>
      <c r="B24" s="85"/>
      <c r="C24" s="33"/>
      <c r="D24" s="55">
        <v>78546978</v>
      </c>
      <c r="E24" s="33"/>
      <c r="F24" s="33"/>
      <c r="G24" s="33"/>
      <c r="H24" s="33"/>
      <c r="I24" s="33"/>
      <c r="J24" s="33"/>
      <c r="K24" s="33"/>
    </row>
    <row r="25" spans="1:11" x14ac:dyDescent="0.25">
      <c r="A25" s="85" t="s">
        <v>31</v>
      </c>
      <c r="B25" s="85"/>
      <c r="C25" s="33"/>
      <c r="D25" s="33" t="s">
        <v>109</v>
      </c>
      <c r="E25" s="33" t="s">
        <v>193</v>
      </c>
      <c r="F25" s="33"/>
      <c r="G25" s="33"/>
      <c r="H25" s="33"/>
      <c r="I25" s="33"/>
      <c r="J25" s="33"/>
      <c r="K25" s="33"/>
    </row>
    <row r="26" spans="1:11" x14ac:dyDescent="0.25">
      <c r="A26" s="85"/>
      <c r="B26" s="85"/>
      <c r="C26" s="33"/>
      <c r="D26" s="33"/>
      <c r="E26" s="33"/>
      <c r="F26" s="33"/>
      <c r="G26" s="33"/>
      <c r="H26" s="33"/>
      <c r="I26" s="33"/>
      <c r="J26" s="33"/>
      <c r="K26" s="33"/>
    </row>
    <row r="27" spans="1:11" x14ac:dyDescent="0.25">
      <c r="A27" s="85" t="s">
        <v>21</v>
      </c>
      <c r="B27" s="85"/>
      <c r="C27" s="28"/>
      <c r="D27" s="33" t="s">
        <v>32</v>
      </c>
      <c r="E27" s="33"/>
      <c r="F27" s="33"/>
      <c r="G27" s="33"/>
      <c r="H27" s="33"/>
      <c r="I27" s="33"/>
      <c r="J27" s="33"/>
      <c r="K27" s="33"/>
    </row>
    <row r="28" spans="1:11" x14ac:dyDescent="0.25">
      <c r="A28" s="85" t="s">
        <v>22</v>
      </c>
      <c r="B28" s="85"/>
      <c r="C28" s="28"/>
      <c r="D28" s="55" t="str">
        <f>IF(Checks!C31="0","",Checks!C31)</f>
        <v/>
      </c>
      <c r="E28" s="55"/>
      <c r="F28" s="35"/>
      <c r="G28" s="33"/>
      <c r="H28" s="33"/>
      <c r="I28" s="33"/>
      <c r="J28" s="33"/>
      <c r="K28" s="33"/>
    </row>
    <row r="29" spans="1:11" x14ac:dyDescent="0.25">
      <c r="A29" s="85" t="s">
        <v>23</v>
      </c>
      <c r="B29" s="85"/>
      <c r="C29" s="28"/>
      <c r="D29" s="33" t="s">
        <v>33</v>
      </c>
      <c r="E29" s="33"/>
      <c r="F29" s="33"/>
      <c r="G29" s="33"/>
      <c r="H29" s="33"/>
      <c r="I29" s="33"/>
      <c r="J29" s="33"/>
      <c r="K29" s="33"/>
    </row>
    <row r="30" spans="1:11" x14ac:dyDescent="0.25">
      <c r="A30" s="85" t="s">
        <v>24</v>
      </c>
      <c r="B30" s="85"/>
      <c r="C30" s="28"/>
      <c r="D30" s="55">
        <v>1243</v>
      </c>
      <c r="E30" s="33"/>
      <c r="F30" s="33"/>
      <c r="G30" s="33"/>
      <c r="H30" s="33"/>
      <c r="I30" s="33"/>
      <c r="J30" s="33"/>
      <c r="K30" s="33"/>
    </row>
    <row r="31" spans="1:11" x14ac:dyDescent="0.25">
      <c r="A31" s="85" t="s">
        <v>258</v>
      </c>
      <c r="B31" s="85"/>
      <c r="C31" s="28"/>
      <c r="D31" s="55">
        <v>2</v>
      </c>
      <c r="E31" s="33"/>
      <c r="F31" s="33"/>
      <c r="G31" s="33"/>
      <c r="H31" s="33"/>
      <c r="I31" s="33"/>
      <c r="J31" s="33"/>
      <c r="K31" s="33"/>
    </row>
    <row r="32" spans="1:11" x14ac:dyDescent="0.25">
      <c r="A32" s="85" t="s">
        <v>30</v>
      </c>
      <c r="B32" s="85"/>
      <c r="C32" s="28"/>
      <c r="D32" s="33" t="s">
        <v>110</v>
      </c>
      <c r="E32" s="33"/>
      <c r="F32" s="33"/>
      <c r="G32" s="33"/>
      <c r="H32" s="33"/>
      <c r="I32" s="33"/>
      <c r="J32" s="33"/>
      <c r="K32" s="33"/>
    </row>
    <row r="33" spans="1:11" x14ac:dyDescent="0.25">
      <c r="A33" s="85"/>
      <c r="B33" s="85"/>
      <c r="C33" s="28"/>
      <c r="D33" s="33"/>
      <c r="E33" s="33"/>
      <c r="F33" s="33"/>
      <c r="G33" s="33"/>
      <c r="H33" s="33"/>
      <c r="I33" s="33"/>
      <c r="J33" s="33"/>
      <c r="K33" s="33"/>
    </row>
    <row r="34" spans="1:11" x14ac:dyDescent="0.25">
      <c r="A34" s="85" t="s">
        <v>25</v>
      </c>
      <c r="B34" s="85"/>
      <c r="C34" s="28"/>
      <c r="D34" s="100">
        <v>44175</v>
      </c>
      <c r="E34" s="100"/>
      <c r="F34" s="33"/>
      <c r="G34" s="33"/>
      <c r="H34" s="33"/>
      <c r="I34" s="33"/>
      <c r="J34" s="33"/>
      <c r="K34" s="33"/>
    </row>
    <row r="35" spans="1:11" x14ac:dyDescent="0.25">
      <c r="A35" s="85" t="s">
        <v>26</v>
      </c>
      <c r="B35" s="85"/>
      <c r="C35" s="28"/>
      <c r="D35" s="33" t="str">
        <f>'Test Equ'!B39</f>
        <v>A002-2, A008, C007</v>
      </c>
      <c r="E35" s="33"/>
      <c r="F35" s="33"/>
      <c r="G35" s="33"/>
      <c r="H35" s="33"/>
      <c r="I35" s="33"/>
      <c r="J35" s="33"/>
      <c r="K35" s="33"/>
    </row>
    <row r="36" spans="1:11" x14ac:dyDescent="0.25">
      <c r="A36" s="85" t="s">
        <v>27</v>
      </c>
      <c r="B36" s="85"/>
      <c r="C36" s="28"/>
      <c r="D36" s="33" t="s">
        <v>34</v>
      </c>
      <c r="E36" s="33"/>
      <c r="F36" s="33"/>
      <c r="G36" s="33"/>
      <c r="H36" s="33"/>
      <c r="I36" s="33"/>
      <c r="J36" s="33"/>
      <c r="K36" s="33"/>
    </row>
    <row r="37" spans="1:11" x14ac:dyDescent="0.25">
      <c r="A37" s="85" t="s">
        <v>28</v>
      </c>
      <c r="B37" s="85"/>
      <c r="C37" s="28"/>
      <c r="D37" s="33" t="s">
        <v>35</v>
      </c>
      <c r="E37" s="33"/>
      <c r="F37" s="33"/>
      <c r="G37" s="33"/>
      <c r="H37" s="33"/>
      <c r="I37" s="33"/>
      <c r="J37" s="33"/>
      <c r="K37" s="33"/>
    </row>
    <row r="38" spans="1:11" x14ac:dyDescent="0.25">
      <c r="A38" s="85" t="s">
        <v>29</v>
      </c>
      <c r="B38" s="85"/>
      <c r="C38" s="28"/>
      <c r="D38" s="85" t="s">
        <v>36</v>
      </c>
      <c r="E38" s="85"/>
      <c r="F38" s="33"/>
      <c r="G38" s="33"/>
      <c r="H38" s="33"/>
      <c r="I38" s="33"/>
      <c r="J38" s="33"/>
      <c r="K38" s="33"/>
    </row>
    <row r="39" spans="1:11" ht="7.9" customHeight="1" x14ac:dyDescent="0.25">
      <c r="A39" s="33"/>
      <c r="B39" s="33"/>
      <c r="C39" s="33"/>
      <c r="D39" s="33"/>
      <c r="E39" s="33"/>
      <c r="F39" s="33"/>
      <c r="G39" s="33"/>
      <c r="H39" s="33"/>
      <c r="I39" s="33"/>
      <c r="J39" s="33"/>
      <c r="K39" s="33"/>
    </row>
    <row r="40" spans="1:11" x14ac:dyDescent="0.25">
      <c r="A40" s="33" t="s">
        <v>45</v>
      </c>
      <c r="B40" s="33"/>
      <c r="C40" s="33"/>
      <c r="D40" s="33"/>
      <c r="E40" s="33"/>
      <c r="F40" s="33"/>
      <c r="G40" s="33"/>
      <c r="H40" s="33"/>
      <c r="I40" s="33"/>
      <c r="J40" s="33"/>
      <c r="K40" s="33"/>
    </row>
    <row r="41" spans="1:11" ht="7.9" customHeight="1" x14ac:dyDescent="0.25">
      <c r="A41" s="33"/>
      <c r="B41" s="33"/>
      <c r="C41" s="33"/>
      <c r="D41" s="33"/>
      <c r="E41" s="33"/>
      <c r="F41" s="33"/>
      <c r="G41" s="33"/>
      <c r="H41" s="33"/>
      <c r="I41" s="33"/>
      <c r="J41" s="33"/>
      <c r="K41" s="33"/>
    </row>
    <row r="42" spans="1:11" x14ac:dyDescent="0.25">
      <c r="A42" s="85" t="s">
        <v>43</v>
      </c>
      <c r="B42" s="85"/>
      <c r="C42" s="33" t="e">
        <f>VLOOKUP(K266,'Test Equ'!A:B,2,0)</f>
        <v>#N/A</v>
      </c>
      <c r="D42" s="33"/>
      <c r="E42" s="33"/>
      <c r="F42" s="33"/>
      <c r="G42" s="33"/>
      <c r="H42" s="33"/>
      <c r="I42" s="33"/>
      <c r="J42" s="33"/>
      <c r="K42" s="33"/>
    </row>
    <row r="43" spans="1:11" x14ac:dyDescent="0.25">
      <c r="A43" s="33"/>
      <c r="B43" s="33"/>
      <c r="C43" s="33" t="e">
        <f>VLOOKUP(K265,'Test Equ'!A:B,2,0)</f>
        <v>#N/A</v>
      </c>
      <c r="D43" s="33"/>
      <c r="E43" s="33"/>
      <c r="F43" s="33"/>
      <c r="G43" s="33"/>
      <c r="H43" s="33"/>
      <c r="I43" s="33"/>
      <c r="J43" s="33"/>
      <c r="K43" s="33"/>
    </row>
    <row r="44" spans="1:11" ht="7.9" customHeight="1" x14ac:dyDescent="0.25">
      <c r="A44" s="33"/>
      <c r="B44" s="33"/>
      <c r="C44" s="33"/>
      <c r="D44" s="33"/>
      <c r="E44" s="33"/>
      <c r="F44" s="33"/>
      <c r="G44" s="33"/>
      <c r="H44" s="33"/>
      <c r="I44" s="33"/>
      <c r="J44" s="33"/>
      <c r="K44" s="33"/>
    </row>
    <row r="45" spans="1:11" x14ac:dyDescent="0.25">
      <c r="A45" s="85" t="s">
        <v>92</v>
      </c>
      <c r="B45" s="85"/>
      <c r="C45" s="85"/>
      <c r="D45" s="85"/>
      <c r="E45" s="85"/>
      <c r="F45" s="85"/>
      <c r="G45" s="85"/>
      <c r="H45" s="85"/>
      <c r="I45" s="85"/>
      <c r="J45" s="85"/>
      <c r="K45" s="85"/>
    </row>
    <row r="46" spans="1:11" ht="7.9" customHeight="1" x14ac:dyDescent="0.25">
      <c r="A46" s="33"/>
      <c r="B46" s="33"/>
      <c r="C46" s="33"/>
      <c r="D46" s="33"/>
      <c r="E46" s="33"/>
      <c r="F46" s="33"/>
      <c r="G46" s="33"/>
      <c r="H46" s="33"/>
      <c r="I46" s="33"/>
      <c r="J46" s="33"/>
      <c r="K46" s="33"/>
    </row>
    <row r="47" spans="1:11" x14ac:dyDescent="0.25">
      <c r="A47" s="85" t="s">
        <v>93</v>
      </c>
      <c r="B47" s="85"/>
      <c r="C47" s="85"/>
      <c r="D47" s="85"/>
      <c r="E47" s="85"/>
      <c r="F47" s="85"/>
      <c r="G47" s="85"/>
      <c r="H47" s="85"/>
      <c r="I47" s="85"/>
      <c r="J47" s="85"/>
      <c r="K47" s="85"/>
    </row>
    <row r="48" spans="1:11" ht="7.9" customHeight="1" x14ac:dyDescent="0.25">
      <c r="A48" s="33"/>
      <c r="B48" s="33"/>
      <c r="C48" s="33"/>
      <c r="D48" s="33"/>
      <c r="E48" s="33"/>
      <c r="F48" s="33"/>
      <c r="G48" s="33"/>
      <c r="H48" s="33"/>
      <c r="I48" s="33"/>
      <c r="J48" s="33"/>
      <c r="K48" s="33"/>
    </row>
    <row r="49" spans="1:11" x14ac:dyDescent="0.25">
      <c r="A49" s="99" t="s">
        <v>94</v>
      </c>
      <c r="B49" s="99"/>
      <c r="C49" s="99"/>
      <c r="D49" s="99"/>
      <c r="E49" s="99"/>
      <c r="F49" s="99"/>
      <c r="G49" s="99"/>
      <c r="H49" s="99"/>
      <c r="I49" s="99"/>
      <c r="J49" s="99"/>
      <c r="K49" s="99"/>
    </row>
    <row r="50" spans="1:11" x14ac:dyDescent="0.25">
      <c r="A50" s="99"/>
      <c r="B50" s="99"/>
      <c r="C50" s="99"/>
      <c r="D50" s="99"/>
      <c r="E50" s="99"/>
      <c r="F50" s="99"/>
      <c r="G50" s="99"/>
      <c r="H50" s="99"/>
      <c r="I50" s="99"/>
      <c r="J50" s="99"/>
      <c r="K50" s="99"/>
    </row>
    <row r="51" spans="1:11" x14ac:dyDescent="0.25">
      <c r="A51" s="99"/>
      <c r="B51" s="99"/>
      <c r="C51" s="99"/>
      <c r="D51" s="99"/>
      <c r="E51" s="99"/>
      <c r="F51" s="99"/>
      <c r="G51" s="99"/>
      <c r="H51" s="99"/>
      <c r="I51" s="99"/>
      <c r="J51" s="99"/>
      <c r="K51" s="99"/>
    </row>
    <row r="52" spans="1:11" ht="7.9" customHeight="1" x14ac:dyDescent="0.25">
      <c r="A52" s="33"/>
      <c r="B52" s="33"/>
      <c r="C52" s="33"/>
      <c r="D52" s="33"/>
      <c r="E52" s="33"/>
      <c r="F52" s="33"/>
      <c r="G52" s="33"/>
      <c r="H52" s="33"/>
      <c r="I52" s="33"/>
      <c r="J52" s="33"/>
      <c r="K52" s="33"/>
    </row>
    <row r="53" spans="1:11" x14ac:dyDescent="0.25">
      <c r="A53" s="33" t="s">
        <v>95</v>
      </c>
      <c r="B53" s="33"/>
      <c r="C53" s="33"/>
      <c r="D53" s="33"/>
      <c r="E53" s="33"/>
      <c r="F53" s="33"/>
      <c r="G53" s="33"/>
      <c r="H53" s="33"/>
      <c r="I53" s="33"/>
      <c r="J53" s="33"/>
      <c r="K53" s="33"/>
    </row>
    <row r="54" spans="1:11" x14ac:dyDescent="0.25">
      <c r="A54" s="85"/>
      <c r="B54" s="85"/>
      <c r="C54" s="85"/>
      <c r="D54" s="85"/>
      <c r="E54" s="85"/>
      <c r="F54" s="85"/>
      <c r="G54" s="85"/>
      <c r="H54" s="85"/>
      <c r="I54" s="85"/>
      <c r="J54" s="85"/>
      <c r="K54" s="85"/>
    </row>
    <row r="55" spans="1:11" x14ac:dyDescent="0.25">
      <c r="A55" s="85"/>
      <c r="B55" s="85"/>
      <c r="C55" s="85"/>
      <c r="D55" s="85"/>
      <c r="E55" s="85"/>
      <c r="F55" s="85"/>
      <c r="G55" s="85"/>
      <c r="H55" s="85"/>
      <c r="I55" s="85"/>
      <c r="J55" s="85"/>
      <c r="K55" s="85"/>
    </row>
    <row r="56" spans="1:11" x14ac:dyDescent="0.25">
      <c r="A56" s="85"/>
      <c r="B56" s="85"/>
      <c r="C56" s="85"/>
      <c r="D56" s="85"/>
      <c r="E56" s="85"/>
      <c r="F56" s="85"/>
      <c r="G56" s="85"/>
      <c r="H56" s="85"/>
      <c r="I56" s="85"/>
      <c r="J56" s="85"/>
      <c r="K56" s="85"/>
    </row>
    <row r="57" spans="1:11" x14ac:dyDescent="0.25">
      <c r="A57" s="33"/>
      <c r="B57" s="33"/>
      <c r="C57" s="33"/>
      <c r="D57" s="33"/>
      <c r="E57" s="33"/>
      <c r="F57" s="33"/>
      <c r="G57" s="33"/>
      <c r="H57" s="33"/>
      <c r="I57" s="33"/>
      <c r="J57" s="33"/>
      <c r="K57" s="33"/>
    </row>
    <row r="58" spans="1:11" x14ac:dyDescent="0.25">
      <c r="A58" s="33" t="s">
        <v>108</v>
      </c>
      <c r="B58" s="33"/>
      <c r="C58" s="33" t="s">
        <v>39</v>
      </c>
      <c r="D58" s="33"/>
      <c r="E58" s="33"/>
      <c r="F58" s="33"/>
      <c r="G58" s="33"/>
      <c r="H58" s="33"/>
      <c r="I58" s="33"/>
      <c r="J58" s="36"/>
      <c r="K58" s="36"/>
    </row>
    <row r="59" spans="1:11" x14ac:dyDescent="0.25">
      <c r="A59" s="36"/>
      <c r="B59" s="36"/>
      <c r="C59" s="36"/>
      <c r="D59" s="36"/>
      <c r="E59" s="36"/>
      <c r="F59" s="36"/>
      <c r="G59" s="36"/>
      <c r="H59" s="36"/>
      <c r="I59" s="36"/>
      <c r="J59" s="36"/>
      <c r="K59" s="36"/>
    </row>
    <row r="60" spans="1:11" x14ac:dyDescent="0.25">
      <c r="A60" s="107" t="s">
        <v>0</v>
      </c>
      <c r="B60" s="108"/>
      <c r="C60" s="108"/>
      <c r="D60" s="108"/>
      <c r="E60" s="108"/>
      <c r="F60" s="108"/>
      <c r="G60" s="109"/>
      <c r="H60" s="28"/>
      <c r="I60" s="116" t="s">
        <v>1</v>
      </c>
      <c r="J60" s="148" t="str">
        <f>$J$6</f>
        <v>04567</v>
      </c>
      <c r="K60" s="119"/>
    </row>
    <row r="61" spans="1:11" x14ac:dyDescent="0.25">
      <c r="A61" s="110"/>
      <c r="B61" s="111"/>
      <c r="C61" s="111"/>
      <c r="D61" s="111"/>
      <c r="E61" s="111"/>
      <c r="F61" s="111"/>
      <c r="G61" s="112"/>
      <c r="H61" s="28"/>
      <c r="I61" s="117"/>
      <c r="J61" s="120"/>
      <c r="K61" s="121"/>
    </row>
    <row r="62" spans="1:11" x14ac:dyDescent="0.25">
      <c r="A62" s="110"/>
      <c r="B62" s="111"/>
      <c r="C62" s="111"/>
      <c r="D62" s="111"/>
      <c r="E62" s="111"/>
      <c r="F62" s="111"/>
      <c r="G62" s="112"/>
      <c r="H62" s="28"/>
      <c r="I62" s="122" t="s">
        <v>326</v>
      </c>
      <c r="J62" s="123"/>
      <c r="K62" s="124"/>
    </row>
    <row r="63" spans="1:11" x14ac:dyDescent="0.25">
      <c r="A63" s="113"/>
      <c r="B63" s="114"/>
      <c r="C63" s="114"/>
      <c r="D63" s="114"/>
      <c r="E63" s="114"/>
      <c r="F63" s="114"/>
      <c r="G63" s="115"/>
      <c r="H63" s="28"/>
      <c r="I63" s="125"/>
      <c r="J63" s="126"/>
      <c r="K63" s="127"/>
    </row>
    <row r="64" spans="1:11" x14ac:dyDescent="0.25">
      <c r="A64" s="28"/>
      <c r="B64" s="28"/>
      <c r="C64" s="28"/>
      <c r="D64" s="28"/>
      <c r="E64" s="28"/>
      <c r="F64" s="28"/>
      <c r="G64" s="28"/>
      <c r="H64" s="28"/>
      <c r="I64" s="28"/>
      <c r="J64" s="28"/>
      <c r="K64" s="28"/>
    </row>
    <row r="65" spans="1:11" ht="15.75" x14ac:dyDescent="0.25">
      <c r="A65" s="101" t="s">
        <v>128</v>
      </c>
      <c r="B65" s="101"/>
      <c r="C65" s="101"/>
      <c r="D65" s="101"/>
      <c r="E65" s="101"/>
      <c r="F65" s="101"/>
      <c r="G65" s="101"/>
      <c r="H65" s="101"/>
      <c r="I65" s="101"/>
      <c r="J65" s="101"/>
      <c r="K65" s="101"/>
    </row>
    <row r="66" spans="1:11" x14ac:dyDescent="0.25">
      <c r="A66" s="102" t="s">
        <v>115</v>
      </c>
      <c r="B66" s="102"/>
      <c r="C66" s="28"/>
      <c r="D66" s="28"/>
      <c r="E66" s="28"/>
      <c r="F66" s="28"/>
      <c r="G66" s="28"/>
      <c r="H66" s="28"/>
      <c r="I66" s="28"/>
      <c r="J66" s="28"/>
      <c r="K66" s="28"/>
    </row>
    <row r="67" spans="1:11" x14ac:dyDescent="0.25">
      <c r="A67" s="28"/>
      <c r="B67" s="28"/>
      <c r="C67" s="28"/>
      <c r="D67" s="28"/>
      <c r="E67" s="28"/>
      <c r="F67" s="28"/>
      <c r="G67" s="28"/>
      <c r="H67" s="28"/>
      <c r="I67" s="28"/>
      <c r="J67" s="28"/>
      <c r="K67" s="28"/>
    </row>
    <row r="68" spans="1:11" x14ac:dyDescent="0.25">
      <c r="A68" s="157" t="s">
        <v>130</v>
      </c>
      <c r="B68" s="157"/>
      <c r="C68" s="157"/>
      <c r="D68" s="157"/>
      <c r="E68" s="157"/>
      <c r="F68" s="157"/>
      <c r="G68" s="157"/>
      <c r="H68" s="157"/>
      <c r="I68" s="157"/>
      <c r="J68" s="157"/>
      <c r="K68" s="157"/>
    </row>
    <row r="69" spans="1:11" x14ac:dyDescent="0.25">
      <c r="A69" s="157"/>
      <c r="B69" s="157"/>
      <c r="C69" s="157"/>
      <c r="D69" s="157"/>
      <c r="E69" s="157"/>
      <c r="F69" s="157"/>
      <c r="G69" s="157"/>
      <c r="H69" s="157"/>
      <c r="I69" s="157"/>
      <c r="J69" s="157"/>
      <c r="K69" s="157"/>
    </row>
    <row r="70" spans="1:11" x14ac:dyDescent="0.25">
      <c r="A70" s="157"/>
      <c r="B70" s="157"/>
      <c r="C70" s="157"/>
      <c r="D70" s="157"/>
      <c r="E70" s="157"/>
      <c r="F70" s="157"/>
      <c r="G70" s="157"/>
      <c r="H70" s="157"/>
      <c r="I70" s="157"/>
      <c r="J70" s="157"/>
      <c r="K70" s="157"/>
    </row>
    <row r="71" spans="1:11" x14ac:dyDescent="0.25">
      <c r="A71" s="104" t="s">
        <v>348</v>
      </c>
      <c r="B71" s="104"/>
      <c r="C71" s="104"/>
      <c r="D71" s="104"/>
      <c r="E71" s="104"/>
      <c r="F71" s="104"/>
      <c r="G71" s="104"/>
      <c r="H71" s="104"/>
      <c r="I71" s="104"/>
      <c r="J71" s="104"/>
      <c r="K71" s="104"/>
    </row>
    <row r="72" spans="1:11" x14ac:dyDescent="0.25">
      <c r="A72" s="104" t="str">
        <f>IF(E25="A","Frequency 400Hz.","Frequency 60Hz.")</f>
        <v>Frequency 400Hz.</v>
      </c>
      <c r="B72" s="104"/>
      <c r="C72" s="104"/>
      <c r="D72" s="104"/>
      <c r="E72" s="104"/>
      <c r="F72" s="104"/>
      <c r="G72" s="104"/>
      <c r="H72" s="104"/>
      <c r="I72" s="104"/>
      <c r="J72" s="104"/>
      <c r="K72" s="104"/>
    </row>
    <row r="73" spans="1:11" x14ac:dyDescent="0.25">
      <c r="A73" s="28"/>
      <c r="B73" s="28"/>
      <c r="C73" s="28"/>
      <c r="D73" s="28"/>
      <c r="E73" s="28"/>
      <c r="F73" s="28"/>
      <c r="G73" s="28"/>
      <c r="H73" s="28"/>
      <c r="I73" s="28"/>
      <c r="J73" s="28"/>
      <c r="K73" s="28"/>
    </row>
    <row r="74" spans="1:11" ht="31.15" customHeight="1" x14ac:dyDescent="0.25">
      <c r="A74" s="48" t="s">
        <v>12</v>
      </c>
      <c r="B74" s="160" t="s">
        <v>13</v>
      </c>
      <c r="C74" s="160"/>
      <c r="D74" s="160" t="s">
        <v>14</v>
      </c>
      <c r="E74" s="160"/>
      <c r="F74" s="160" t="s">
        <v>15</v>
      </c>
      <c r="G74" s="160"/>
      <c r="H74" s="160" t="s">
        <v>16</v>
      </c>
      <c r="I74" s="160"/>
      <c r="J74" s="160" t="s">
        <v>17</v>
      </c>
      <c r="K74" s="160"/>
    </row>
    <row r="75" spans="1:11" ht="19.149999999999999" customHeight="1" x14ac:dyDescent="0.25">
      <c r="A75" s="48"/>
      <c r="B75" s="160" t="s">
        <v>18</v>
      </c>
      <c r="C75" s="160"/>
      <c r="D75" s="160" t="s">
        <v>18</v>
      </c>
      <c r="E75" s="160"/>
      <c r="F75" s="160" t="s">
        <v>19</v>
      </c>
      <c r="G75" s="160"/>
      <c r="H75" s="160" t="s">
        <v>18</v>
      </c>
      <c r="I75" s="160"/>
      <c r="J75" s="160" t="s">
        <v>19</v>
      </c>
      <c r="K75" s="160"/>
    </row>
    <row r="76" spans="1:11" ht="19.149999999999999" customHeight="1" x14ac:dyDescent="0.25">
      <c r="A76" s="51" t="s">
        <v>116</v>
      </c>
      <c r="B76" s="161">
        <v>10</v>
      </c>
      <c r="C76" s="161"/>
      <c r="D76" s="135"/>
      <c r="E76" s="135"/>
      <c r="F76" s="186" t="e">
        <f t="shared" ref="F76:F83" si="0">IF($K$265="UPC1",354*0.2/100,0.25/100*B76+0.1/100*354)</f>
        <v>#N/A</v>
      </c>
      <c r="G76" s="186"/>
      <c r="H76" s="136"/>
      <c r="I76" s="136"/>
      <c r="J76" s="133" t="e">
        <f t="shared" ref="J76:J83" si="1">IF($K$265="ASX",150*0.5/100,150*0.5/100)</f>
        <v>#N/A</v>
      </c>
      <c r="K76" s="134"/>
    </row>
    <row r="77" spans="1:11" ht="19.149999999999999" customHeight="1" x14ac:dyDescent="0.25">
      <c r="A77" s="51" t="s">
        <v>116</v>
      </c>
      <c r="B77" s="161">
        <v>25</v>
      </c>
      <c r="C77" s="161"/>
      <c r="D77" s="135"/>
      <c r="E77" s="135"/>
      <c r="F77" s="186" t="e">
        <f t="shared" si="0"/>
        <v>#N/A</v>
      </c>
      <c r="G77" s="186"/>
      <c r="H77" s="136"/>
      <c r="I77" s="136"/>
      <c r="J77" s="133" t="e">
        <f t="shared" si="1"/>
        <v>#N/A</v>
      </c>
      <c r="K77" s="134"/>
    </row>
    <row r="78" spans="1:11" ht="19.149999999999999" customHeight="1" x14ac:dyDescent="0.25">
      <c r="A78" s="51" t="s">
        <v>116</v>
      </c>
      <c r="B78" s="161">
        <v>50</v>
      </c>
      <c r="C78" s="161"/>
      <c r="D78" s="135"/>
      <c r="E78" s="135"/>
      <c r="F78" s="186" t="e">
        <f t="shared" si="0"/>
        <v>#N/A</v>
      </c>
      <c r="G78" s="186"/>
      <c r="H78" s="136"/>
      <c r="I78" s="136"/>
      <c r="J78" s="133" t="e">
        <f t="shared" si="1"/>
        <v>#N/A</v>
      </c>
      <c r="K78" s="134"/>
    </row>
    <row r="79" spans="1:11" ht="19.149999999999999" customHeight="1" x14ac:dyDescent="0.25">
      <c r="A79" s="51" t="s">
        <v>116</v>
      </c>
      <c r="B79" s="161">
        <v>75</v>
      </c>
      <c r="C79" s="161"/>
      <c r="D79" s="135"/>
      <c r="E79" s="135"/>
      <c r="F79" s="186" t="e">
        <f t="shared" si="0"/>
        <v>#N/A</v>
      </c>
      <c r="G79" s="186"/>
      <c r="H79" s="136"/>
      <c r="I79" s="136"/>
      <c r="J79" s="133" t="e">
        <f t="shared" si="1"/>
        <v>#N/A</v>
      </c>
      <c r="K79" s="134"/>
    </row>
    <row r="80" spans="1:11" ht="19.149999999999999" customHeight="1" x14ac:dyDescent="0.25">
      <c r="A80" s="51" t="s">
        <v>116</v>
      </c>
      <c r="B80" s="161">
        <v>100</v>
      </c>
      <c r="C80" s="161"/>
      <c r="D80" s="135"/>
      <c r="E80" s="135"/>
      <c r="F80" s="186" t="e">
        <f t="shared" si="0"/>
        <v>#N/A</v>
      </c>
      <c r="G80" s="186"/>
      <c r="H80" s="136"/>
      <c r="I80" s="136"/>
      <c r="J80" s="133" t="e">
        <f t="shared" si="1"/>
        <v>#N/A</v>
      </c>
      <c r="K80" s="134"/>
    </row>
    <row r="81" spans="1:11" ht="19.149999999999999" customHeight="1" x14ac:dyDescent="0.25">
      <c r="A81" s="51" t="s">
        <v>116</v>
      </c>
      <c r="B81" s="161">
        <v>115</v>
      </c>
      <c r="C81" s="161"/>
      <c r="D81" s="135"/>
      <c r="E81" s="135"/>
      <c r="F81" s="186" t="e">
        <f t="shared" si="0"/>
        <v>#N/A</v>
      </c>
      <c r="G81" s="186"/>
      <c r="H81" s="136"/>
      <c r="I81" s="136"/>
      <c r="J81" s="133" t="e">
        <f t="shared" si="1"/>
        <v>#N/A</v>
      </c>
      <c r="K81" s="134"/>
    </row>
    <row r="82" spans="1:11" ht="19.149999999999999" customHeight="1" x14ac:dyDescent="0.25">
      <c r="A82" s="51" t="s">
        <v>116</v>
      </c>
      <c r="B82" s="161">
        <v>125</v>
      </c>
      <c r="C82" s="161"/>
      <c r="D82" s="135"/>
      <c r="E82" s="135"/>
      <c r="F82" s="186" t="e">
        <f t="shared" si="0"/>
        <v>#N/A</v>
      </c>
      <c r="G82" s="186"/>
      <c r="H82" s="136"/>
      <c r="I82" s="136"/>
      <c r="J82" s="133" t="e">
        <f t="shared" si="1"/>
        <v>#N/A</v>
      </c>
      <c r="K82" s="134"/>
    </row>
    <row r="83" spans="1:11" ht="19.149999999999999" customHeight="1" x14ac:dyDescent="0.25">
      <c r="A83" s="51" t="s">
        <v>116</v>
      </c>
      <c r="B83" s="161">
        <v>132</v>
      </c>
      <c r="C83" s="161"/>
      <c r="D83" s="135"/>
      <c r="E83" s="135"/>
      <c r="F83" s="186" t="e">
        <f t="shared" si="0"/>
        <v>#N/A</v>
      </c>
      <c r="G83" s="186"/>
      <c r="H83" s="136"/>
      <c r="I83" s="136"/>
      <c r="J83" s="133" t="e">
        <f t="shared" si="1"/>
        <v>#N/A</v>
      </c>
      <c r="K83" s="134"/>
    </row>
    <row r="84" spans="1:11" x14ac:dyDescent="0.25">
      <c r="A84" s="28"/>
      <c r="B84" s="28"/>
      <c r="C84" s="28"/>
      <c r="D84" s="28"/>
      <c r="E84" s="28"/>
      <c r="F84" s="28"/>
      <c r="G84" s="28"/>
      <c r="H84" s="28"/>
      <c r="I84" s="28"/>
      <c r="J84" s="28"/>
      <c r="K84" s="28"/>
    </row>
    <row r="85" spans="1:11" x14ac:dyDescent="0.25">
      <c r="A85" s="5" t="s">
        <v>124</v>
      </c>
      <c r="B85" s="5"/>
      <c r="C85" s="5"/>
      <c r="D85" s="5" t="s">
        <v>125</v>
      </c>
      <c r="E85" s="5"/>
      <c r="F85" s="5"/>
      <c r="G85" s="5"/>
      <c r="H85" s="5"/>
      <c r="I85" s="5"/>
      <c r="J85" s="5"/>
      <c r="K85" s="5"/>
    </row>
    <row r="86" spans="1:11" x14ac:dyDescent="0.25">
      <c r="A86" s="28"/>
      <c r="B86" s="28"/>
      <c r="C86" s="28"/>
      <c r="D86" s="28"/>
      <c r="E86" s="28"/>
      <c r="F86" s="28"/>
      <c r="G86" s="28"/>
      <c r="H86" s="28"/>
      <c r="I86" s="28"/>
      <c r="J86" s="28"/>
      <c r="K86" s="28"/>
    </row>
    <row r="87" spans="1:11" x14ac:dyDescent="0.25">
      <c r="A87" s="28"/>
      <c r="B87" s="28"/>
      <c r="C87" s="28"/>
      <c r="D87" s="28"/>
      <c r="E87" s="28"/>
      <c r="F87" s="28"/>
      <c r="G87" s="28"/>
      <c r="H87" s="28"/>
      <c r="I87" s="28"/>
      <c r="J87" s="28"/>
      <c r="K87" s="28"/>
    </row>
    <row r="88" spans="1:11" x14ac:dyDescent="0.25">
      <c r="A88" s="6" t="s">
        <v>131</v>
      </c>
      <c r="B88" s="28"/>
      <c r="C88" s="28"/>
      <c r="D88" s="28"/>
      <c r="E88" s="28"/>
      <c r="F88" s="28"/>
      <c r="G88" s="28"/>
      <c r="H88" s="28"/>
      <c r="I88" s="28"/>
      <c r="J88" s="28"/>
      <c r="K88" s="28"/>
    </row>
    <row r="89" spans="1:11" x14ac:dyDescent="0.25">
      <c r="A89" s="7"/>
      <c r="B89" s="28"/>
      <c r="C89" s="28"/>
      <c r="D89" s="28"/>
      <c r="E89" s="28"/>
      <c r="F89" s="28"/>
      <c r="G89" s="28"/>
      <c r="H89" s="28"/>
      <c r="I89" s="28"/>
      <c r="J89" s="28"/>
      <c r="K89" s="28"/>
    </row>
    <row r="90" spans="1:11" ht="15.75" x14ac:dyDescent="0.25">
      <c r="A90" s="5" t="s">
        <v>132</v>
      </c>
      <c r="B90" s="28"/>
      <c r="C90" s="28"/>
      <c r="D90" s="28"/>
      <c r="E90" s="5"/>
      <c r="F90" s="40" t="s">
        <v>134</v>
      </c>
      <c r="G90" s="49" t="str">
        <f>"@ 5A"</f>
        <v>@ 5A</v>
      </c>
      <c r="H90" s="28"/>
      <c r="I90" s="28"/>
      <c r="J90" s="28"/>
      <c r="K90" s="28"/>
    </row>
    <row r="91" spans="1:11" x14ac:dyDescent="0.25">
      <c r="A91" s="5"/>
      <c r="B91" s="28"/>
      <c r="C91" s="28"/>
      <c r="D91" s="28"/>
      <c r="E91" s="28"/>
      <c r="F91" s="28"/>
      <c r="G91" s="28"/>
      <c r="H91" s="28"/>
      <c r="I91" s="28"/>
      <c r="J91" s="28"/>
      <c r="K91" s="28"/>
    </row>
    <row r="92" spans="1:11" ht="15.75" x14ac:dyDescent="0.25">
      <c r="A92" s="5" t="s">
        <v>133</v>
      </c>
      <c r="B92" s="28"/>
      <c r="C92" s="28"/>
      <c r="D92" s="28"/>
      <c r="E92" s="5"/>
      <c r="F92" s="40" t="s">
        <v>134</v>
      </c>
      <c r="G92" s="28"/>
      <c r="H92" s="28"/>
      <c r="I92" s="28"/>
      <c r="J92" s="28"/>
      <c r="K92" s="28"/>
    </row>
    <row r="93" spans="1:11" x14ac:dyDescent="0.25">
      <c r="A93" s="5"/>
      <c r="B93" s="28"/>
      <c r="C93" s="28"/>
      <c r="D93" s="28"/>
      <c r="E93" s="28"/>
      <c r="F93" s="28"/>
      <c r="G93" s="28"/>
      <c r="H93" s="28"/>
      <c r="I93" s="28"/>
      <c r="J93" s="28"/>
      <c r="K93" s="28"/>
    </row>
    <row r="94" spans="1:11" ht="15.75" x14ac:dyDescent="0.25">
      <c r="A94" s="5" t="s">
        <v>135</v>
      </c>
      <c r="B94" s="28"/>
      <c r="C94" s="28"/>
      <c r="D94" s="28"/>
      <c r="E94" s="5"/>
      <c r="F94" s="72" t="s">
        <v>134</v>
      </c>
      <c r="G94" s="28"/>
      <c r="H94" s="28"/>
      <c r="I94" s="28"/>
      <c r="J94" s="28"/>
      <c r="K94" s="28"/>
    </row>
    <row r="95" spans="1:11" ht="15.75" x14ac:dyDescent="0.25">
      <c r="A95" s="5"/>
      <c r="B95" s="28"/>
      <c r="C95" s="28"/>
      <c r="D95" s="28"/>
      <c r="E95" s="5"/>
      <c r="F95" s="72"/>
      <c r="G95" s="28"/>
      <c r="H95" s="28"/>
      <c r="I95" s="28"/>
      <c r="J95" s="28"/>
      <c r="K95" s="28"/>
    </row>
    <row r="96" spans="1:11" ht="15.75" x14ac:dyDescent="0.25">
      <c r="A96" s="5"/>
      <c r="B96" s="28"/>
      <c r="C96" s="28"/>
      <c r="D96" s="28"/>
      <c r="E96" s="5"/>
      <c r="F96" s="72"/>
      <c r="G96" s="28"/>
      <c r="H96" s="28"/>
      <c r="I96" s="28"/>
      <c r="J96" s="28"/>
      <c r="K96" s="28"/>
    </row>
    <row r="97" spans="1:11" ht="15.75" x14ac:dyDescent="0.25">
      <c r="A97" s="5"/>
      <c r="B97" s="28"/>
      <c r="C97" s="28"/>
      <c r="D97" s="28"/>
      <c r="E97" s="5"/>
      <c r="F97" s="72"/>
      <c r="G97" s="28"/>
      <c r="H97" s="28"/>
      <c r="I97" s="28"/>
      <c r="J97" s="28"/>
      <c r="K97" s="28"/>
    </row>
    <row r="98" spans="1:11" ht="15.75" x14ac:dyDescent="0.25">
      <c r="A98" s="5"/>
      <c r="B98" s="28"/>
      <c r="C98" s="28"/>
      <c r="D98" s="28"/>
      <c r="E98" s="5"/>
      <c r="F98" s="72"/>
      <c r="G98" s="28"/>
      <c r="H98" s="28"/>
      <c r="I98" s="28"/>
      <c r="J98" s="28"/>
      <c r="K98" s="28"/>
    </row>
    <row r="99" spans="1:11" ht="15.75" x14ac:dyDescent="0.25">
      <c r="A99" s="5"/>
      <c r="B99" s="28"/>
      <c r="C99" s="28"/>
      <c r="D99" s="28"/>
      <c r="E99" s="5"/>
      <c r="F99" s="72"/>
      <c r="G99" s="28"/>
      <c r="H99" s="28"/>
      <c r="I99" s="28"/>
      <c r="J99" s="28"/>
      <c r="K99" s="28"/>
    </row>
    <row r="100" spans="1:11" ht="15.75" x14ac:dyDescent="0.25">
      <c r="A100" s="5"/>
      <c r="B100" s="28"/>
      <c r="C100" s="28"/>
      <c r="D100" s="28"/>
      <c r="E100" s="5"/>
      <c r="F100" s="72"/>
      <c r="G100" s="28"/>
      <c r="H100" s="28"/>
      <c r="I100" s="28"/>
      <c r="J100" s="28"/>
      <c r="K100" s="28"/>
    </row>
    <row r="101" spans="1:11" ht="15.75" x14ac:dyDescent="0.25">
      <c r="A101" s="5"/>
      <c r="B101" s="28"/>
      <c r="C101" s="28"/>
      <c r="D101" s="28"/>
      <c r="E101" s="5"/>
      <c r="F101" s="72"/>
      <c r="G101" s="28"/>
      <c r="H101" s="28"/>
      <c r="I101" s="28"/>
      <c r="J101" s="28"/>
      <c r="K101" s="28"/>
    </row>
    <row r="102" spans="1:11" ht="15.75" x14ac:dyDescent="0.25">
      <c r="A102" s="5"/>
      <c r="B102" s="28"/>
      <c r="C102" s="28"/>
      <c r="D102" s="28"/>
      <c r="E102" s="5"/>
      <c r="F102" s="72"/>
      <c r="G102" s="28"/>
      <c r="H102" s="28"/>
      <c r="I102" s="28"/>
      <c r="J102" s="28"/>
      <c r="K102" s="28"/>
    </row>
    <row r="103" spans="1:11" ht="15.75" x14ac:dyDescent="0.25">
      <c r="A103" s="5"/>
      <c r="B103" s="28"/>
      <c r="C103" s="28"/>
      <c r="D103" s="28"/>
      <c r="E103" s="5"/>
      <c r="F103" s="72"/>
      <c r="G103" s="28"/>
      <c r="H103" s="28"/>
      <c r="I103" s="28"/>
      <c r="J103" s="28"/>
      <c r="K103" s="28"/>
    </row>
    <row r="104" spans="1:11" ht="15.75" x14ac:dyDescent="0.25">
      <c r="A104" s="5"/>
      <c r="B104" s="28"/>
      <c r="C104" s="28"/>
      <c r="D104" s="28"/>
      <c r="E104" s="5"/>
      <c r="F104" s="72"/>
      <c r="G104" s="28"/>
      <c r="H104" s="28"/>
      <c r="I104" s="28"/>
      <c r="J104" s="28"/>
      <c r="K104" s="28"/>
    </row>
    <row r="105" spans="1:11" ht="15.75" x14ac:dyDescent="0.25">
      <c r="A105" s="5"/>
      <c r="B105" s="28"/>
      <c r="C105" s="28"/>
      <c r="D105" s="28"/>
      <c r="E105" s="5"/>
      <c r="F105" s="72"/>
      <c r="G105" s="28"/>
      <c r="H105" s="28"/>
      <c r="I105" s="28"/>
      <c r="J105" s="28"/>
      <c r="K105" s="28"/>
    </row>
    <row r="106" spans="1:11" ht="15.75" x14ac:dyDescent="0.25">
      <c r="A106" s="5"/>
      <c r="B106" s="28"/>
      <c r="C106" s="28"/>
      <c r="D106" s="28"/>
      <c r="E106" s="5"/>
      <c r="F106" s="72"/>
      <c r="G106" s="28"/>
      <c r="H106" s="28"/>
      <c r="I106" s="28"/>
      <c r="J106" s="28"/>
      <c r="K106" s="28"/>
    </row>
    <row r="107" spans="1:11" ht="15.75" x14ac:dyDescent="0.25">
      <c r="A107" s="5"/>
      <c r="B107" s="28"/>
      <c r="C107" s="28"/>
      <c r="D107" s="28"/>
      <c r="E107" s="5"/>
      <c r="F107" s="72"/>
      <c r="G107" s="28"/>
      <c r="H107" s="28"/>
      <c r="I107" s="28"/>
      <c r="J107" s="28"/>
      <c r="K107" s="28"/>
    </row>
    <row r="108" spans="1:11" x14ac:dyDescent="0.25">
      <c r="A108" s="28"/>
      <c r="B108" s="28"/>
      <c r="C108" s="28"/>
      <c r="D108" s="28"/>
      <c r="E108" s="28"/>
      <c r="F108" s="28"/>
      <c r="G108" s="28"/>
      <c r="H108" s="28"/>
      <c r="I108" s="28"/>
      <c r="J108" s="28"/>
      <c r="K108" s="28"/>
    </row>
    <row r="109" spans="1:11" x14ac:dyDescent="0.25">
      <c r="A109" s="139" t="s">
        <v>0</v>
      </c>
      <c r="B109" s="140"/>
      <c r="C109" s="140"/>
      <c r="D109" s="140"/>
      <c r="E109" s="140"/>
      <c r="F109" s="140"/>
      <c r="G109" s="141"/>
      <c r="H109" s="28"/>
      <c r="I109" s="116" t="s">
        <v>1</v>
      </c>
      <c r="J109" s="148" t="str">
        <f>$J$6</f>
        <v>04567</v>
      </c>
      <c r="K109" s="202"/>
    </row>
    <row r="110" spans="1:11" x14ac:dyDescent="0.25">
      <c r="A110" s="142"/>
      <c r="B110" s="143"/>
      <c r="C110" s="143"/>
      <c r="D110" s="143"/>
      <c r="E110" s="143"/>
      <c r="F110" s="143"/>
      <c r="G110" s="144"/>
      <c r="H110" s="28"/>
      <c r="I110" s="117"/>
      <c r="J110" s="203"/>
      <c r="K110" s="204"/>
    </row>
    <row r="111" spans="1:11" x14ac:dyDescent="0.25">
      <c r="A111" s="142"/>
      <c r="B111" s="143"/>
      <c r="C111" s="143"/>
      <c r="D111" s="143"/>
      <c r="E111" s="143"/>
      <c r="F111" s="143"/>
      <c r="G111" s="144"/>
      <c r="H111" s="28"/>
      <c r="I111" s="149" t="s">
        <v>327</v>
      </c>
      <c r="J111" s="150"/>
      <c r="K111" s="151"/>
    </row>
    <row r="112" spans="1:11" x14ac:dyDescent="0.25">
      <c r="A112" s="145"/>
      <c r="B112" s="146"/>
      <c r="C112" s="146"/>
      <c r="D112" s="146"/>
      <c r="E112" s="146"/>
      <c r="F112" s="146"/>
      <c r="G112" s="147"/>
      <c r="H112" s="28"/>
      <c r="I112" s="152"/>
      <c r="J112" s="153"/>
      <c r="K112" s="154"/>
    </row>
    <row r="113" spans="1:11" x14ac:dyDescent="0.25">
      <c r="A113" s="28"/>
      <c r="B113" s="28"/>
      <c r="C113" s="28"/>
      <c r="D113" s="28"/>
      <c r="E113" s="28"/>
      <c r="F113" s="28"/>
      <c r="G113" s="28"/>
      <c r="H113" s="28"/>
      <c r="I113" s="28"/>
      <c r="J113" s="28"/>
      <c r="K113" s="28"/>
    </row>
    <row r="114" spans="1:11" x14ac:dyDescent="0.25">
      <c r="A114" s="28"/>
      <c r="B114" s="28"/>
      <c r="C114" s="28"/>
      <c r="D114" s="28"/>
      <c r="E114" s="28"/>
      <c r="F114" s="28"/>
      <c r="G114" s="28"/>
      <c r="H114" s="28"/>
      <c r="I114" s="28"/>
      <c r="J114" s="28"/>
      <c r="K114" s="28"/>
    </row>
    <row r="115" spans="1:11" ht="15.75" x14ac:dyDescent="0.25">
      <c r="A115" s="101" t="s">
        <v>349</v>
      </c>
      <c r="B115" s="101"/>
      <c r="C115" s="101"/>
      <c r="D115" s="101"/>
      <c r="E115" s="101"/>
      <c r="F115" s="101"/>
      <c r="G115" s="101"/>
      <c r="H115" s="101"/>
      <c r="I115" s="101"/>
      <c r="J115" s="101"/>
      <c r="K115" s="101"/>
    </row>
    <row r="116" spans="1:11" x14ac:dyDescent="0.25">
      <c r="A116" s="102" t="s">
        <v>115</v>
      </c>
      <c r="B116" s="102"/>
      <c r="C116" s="28"/>
      <c r="D116" s="28"/>
      <c r="E116" s="28"/>
      <c r="F116" s="28"/>
      <c r="G116" s="28"/>
      <c r="H116" s="28"/>
      <c r="I116" s="28"/>
      <c r="J116" s="28"/>
      <c r="K116" s="28"/>
    </row>
    <row r="117" spans="1:11" x14ac:dyDescent="0.25">
      <c r="A117" s="28"/>
      <c r="B117" s="28"/>
      <c r="C117" s="28"/>
      <c r="D117" s="28"/>
      <c r="E117" s="28"/>
      <c r="F117" s="28"/>
      <c r="G117" s="28"/>
      <c r="H117" s="28"/>
      <c r="I117" s="28"/>
      <c r="J117" s="28"/>
      <c r="K117" s="28"/>
    </row>
    <row r="118" spans="1:11" ht="15.6" customHeight="1" x14ac:dyDescent="0.25">
      <c r="A118" s="157" t="s">
        <v>130</v>
      </c>
      <c r="B118" s="157"/>
      <c r="C118" s="157"/>
      <c r="D118" s="157"/>
      <c r="E118" s="157"/>
      <c r="F118" s="157"/>
      <c r="G118" s="157"/>
      <c r="H118" s="157"/>
      <c r="I118" s="157"/>
      <c r="J118" s="157"/>
      <c r="K118" s="157"/>
    </row>
    <row r="119" spans="1:11" x14ac:dyDescent="0.25">
      <c r="A119" s="157"/>
      <c r="B119" s="157"/>
      <c r="C119" s="157"/>
      <c r="D119" s="157"/>
      <c r="E119" s="157"/>
      <c r="F119" s="157"/>
      <c r="G119" s="157"/>
      <c r="H119" s="157"/>
      <c r="I119" s="157"/>
      <c r="J119" s="157"/>
      <c r="K119" s="157"/>
    </row>
    <row r="120" spans="1:11" x14ac:dyDescent="0.25">
      <c r="A120" s="157"/>
      <c r="B120" s="157"/>
      <c r="C120" s="157"/>
      <c r="D120" s="157"/>
      <c r="E120" s="157"/>
      <c r="F120" s="157"/>
      <c r="G120" s="157"/>
      <c r="H120" s="157"/>
      <c r="I120" s="157"/>
      <c r="J120" s="157"/>
      <c r="K120" s="157"/>
    </row>
    <row r="121" spans="1:11" x14ac:dyDescent="0.25">
      <c r="A121" s="104" t="s">
        <v>350</v>
      </c>
      <c r="B121" s="104"/>
      <c r="C121" s="104"/>
      <c r="D121" s="104"/>
      <c r="E121" s="104"/>
      <c r="F121" s="104"/>
      <c r="G121" s="104"/>
      <c r="H121" s="104"/>
      <c r="I121" s="104"/>
      <c r="J121" s="104"/>
      <c r="K121" s="104"/>
    </row>
    <row r="122" spans="1:11" x14ac:dyDescent="0.25">
      <c r="A122" s="104" t="s">
        <v>161</v>
      </c>
      <c r="B122" s="104"/>
      <c r="C122" s="104"/>
      <c r="D122" s="104"/>
      <c r="E122" s="104"/>
      <c r="F122" s="104"/>
      <c r="G122" s="104"/>
      <c r="H122" s="104"/>
      <c r="I122" s="104"/>
      <c r="J122" s="104"/>
      <c r="K122" s="104"/>
    </row>
    <row r="123" spans="1:11" x14ac:dyDescent="0.25">
      <c r="A123" s="28"/>
      <c r="B123" s="28"/>
      <c r="C123" s="28"/>
      <c r="D123" s="28"/>
      <c r="E123" s="28"/>
      <c r="F123" s="28"/>
      <c r="G123" s="28"/>
      <c r="H123" s="28"/>
      <c r="I123" s="28"/>
      <c r="J123" s="28"/>
      <c r="K123" s="28"/>
    </row>
    <row r="124" spans="1:11" ht="30" customHeight="1" x14ac:dyDescent="0.25">
      <c r="A124" s="53" t="s">
        <v>12</v>
      </c>
      <c r="B124" s="128" t="s">
        <v>13</v>
      </c>
      <c r="C124" s="129"/>
      <c r="D124" s="128" t="s">
        <v>14</v>
      </c>
      <c r="E124" s="129"/>
      <c r="F124" s="128" t="s">
        <v>15</v>
      </c>
      <c r="G124" s="129"/>
      <c r="H124" s="128" t="s">
        <v>16</v>
      </c>
      <c r="I124" s="129"/>
      <c r="J124" s="128" t="s">
        <v>17</v>
      </c>
      <c r="K124" s="129"/>
    </row>
    <row r="125" spans="1:11" ht="19.149999999999999" customHeight="1" x14ac:dyDescent="0.25">
      <c r="A125" s="53"/>
      <c r="B125" s="128" t="s">
        <v>18</v>
      </c>
      <c r="C125" s="129"/>
      <c r="D125" s="128" t="s">
        <v>18</v>
      </c>
      <c r="E125" s="129"/>
      <c r="F125" s="128" t="s">
        <v>19</v>
      </c>
      <c r="G125" s="129"/>
      <c r="H125" s="128" t="s">
        <v>18</v>
      </c>
      <c r="I125" s="129"/>
      <c r="J125" s="128" t="s">
        <v>19</v>
      </c>
      <c r="K125" s="129"/>
    </row>
    <row r="126" spans="1:11" ht="19.149999999999999" customHeight="1" x14ac:dyDescent="0.25">
      <c r="A126" s="38" t="s">
        <v>129</v>
      </c>
      <c r="B126" s="155">
        <f>IF($D$31=4.8,50,B76*$D$31)</f>
        <v>20</v>
      </c>
      <c r="C126" s="156"/>
      <c r="D126" s="155"/>
      <c r="E126" s="156"/>
      <c r="F126" s="137" t="e">
        <f t="shared" ref="F126:F133" si="2">IF($K$265="UPC1",708*0.2/100,0.25/100*B126+0.1/100*708)</f>
        <v>#N/A</v>
      </c>
      <c r="G126" s="138"/>
      <c r="H126" s="137"/>
      <c r="I126" s="138"/>
      <c r="J126" s="158" t="e">
        <f t="shared" ref="J126:J133" si="3">IF($K$266="ASX",300*0.5/100,300*0.5/100)</f>
        <v>#N/A</v>
      </c>
      <c r="K126" s="159"/>
    </row>
    <row r="127" spans="1:11" ht="19.149999999999999" customHeight="1" x14ac:dyDescent="0.25">
      <c r="A127" s="38" t="s">
        <v>129</v>
      </c>
      <c r="B127" s="155">
        <f>IF($D$31=4.8,100,B77*$D$31)</f>
        <v>50</v>
      </c>
      <c r="C127" s="156"/>
      <c r="D127" s="155"/>
      <c r="E127" s="156"/>
      <c r="F127" s="137" t="e">
        <f t="shared" si="2"/>
        <v>#N/A</v>
      </c>
      <c r="G127" s="138"/>
      <c r="H127" s="137"/>
      <c r="I127" s="138"/>
      <c r="J127" s="158" t="e">
        <f t="shared" si="3"/>
        <v>#N/A</v>
      </c>
      <c r="K127" s="159"/>
    </row>
    <row r="128" spans="1:11" ht="19.149999999999999" customHeight="1" x14ac:dyDescent="0.25">
      <c r="A128" s="38" t="s">
        <v>129</v>
      </c>
      <c r="B128" s="155">
        <f>IF($D$31=4.8,150,B78*$D$31)</f>
        <v>100</v>
      </c>
      <c r="C128" s="156"/>
      <c r="D128" s="155"/>
      <c r="E128" s="156"/>
      <c r="F128" s="137" t="e">
        <f t="shared" si="2"/>
        <v>#N/A</v>
      </c>
      <c r="G128" s="138"/>
      <c r="H128" s="137"/>
      <c r="I128" s="138"/>
      <c r="J128" s="158" t="e">
        <f t="shared" si="3"/>
        <v>#N/A</v>
      </c>
      <c r="K128" s="159"/>
    </row>
    <row r="129" spans="1:11" ht="19.149999999999999" customHeight="1" x14ac:dyDescent="0.25">
      <c r="A129" s="38" t="s">
        <v>129</v>
      </c>
      <c r="B129" s="155">
        <f>IF($D$31=4.8,200,B79*$D$31)</f>
        <v>150</v>
      </c>
      <c r="C129" s="156"/>
      <c r="D129" s="155"/>
      <c r="E129" s="156"/>
      <c r="F129" s="137" t="e">
        <f t="shared" si="2"/>
        <v>#N/A</v>
      </c>
      <c r="G129" s="138"/>
      <c r="H129" s="137"/>
      <c r="I129" s="138"/>
      <c r="J129" s="158" t="e">
        <f t="shared" si="3"/>
        <v>#N/A</v>
      </c>
      <c r="K129" s="159"/>
    </row>
    <row r="130" spans="1:11" ht="19.149999999999999" customHeight="1" x14ac:dyDescent="0.25">
      <c r="A130" s="38" t="s">
        <v>129</v>
      </c>
      <c r="B130" s="155">
        <f>IF($D$31=4.8,240,B80*$D$31)</f>
        <v>200</v>
      </c>
      <c r="C130" s="156"/>
      <c r="D130" s="155"/>
      <c r="E130" s="156"/>
      <c r="F130" s="137" t="e">
        <f t="shared" si="2"/>
        <v>#N/A</v>
      </c>
      <c r="G130" s="138"/>
      <c r="H130" s="137"/>
      <c r="I130" s="138"/>
      <c r="J130" s="158" t="e">
        <f t="shared" si="3"/>
        <v>#N/A</v>
      </c>
      <c r="K130" s="159"/>
    </row>
    <row r="131" spans="1:11" ht="19.149999999999999" customHeight="1" x14ac:dyDescent="0.25">
      <c r="A131" s="38" t="s">
        <v>129</v>
      </c>
      <c r="B131" s="155">
        <f>IF($D$31=4.8,300,B81*$D$31)</f>
        <v>230</v>
      </c>
      <c r="C131" s="156"/>
      <c r="D131" s="155"/>
      <c r="E131" s="156"/>
      <c r="F131" s="137" t="e">
        <f t="shared" si="2"/>
        <v>#N/A</v>
      </c>
      <c r="G131" s="138"/>
      <c r="H131" s="137"/>
      <c r="I131" s="138"/>
      <c r="J131" s="158" t="e">
        <f t="shared" si="3"/>
        <v>#N/A</v>
      </c>
      <c r="K131" s="159"/>
    </row>
    <row r="132" spans="1:11" ht="19.149999999999999" customHeight="1" x14ac:dyDescent="0.25">
      <c r="A132" s="38" t="s">
        <v>129</v>
      </c>
      <c r="B132" s="155">
        <f>IF($D$31=4.8,400,B82*$D$31)</f>
        <v>250</v>
      </c>
      <c r="C132" s="156"/>
      <c r="D132" s="155"/>
      <c r="E132" s="156"/>
      <c r="F132" s="137" t="e">
        <f t="shared" si="2"/>
        <v>#N/A</v>
      </c>
      <c r="G132" s="138"/>
      <c r="H132" s="137"/>
      <c r="I132" s="138"/>
      <c r="J132" s="158" t="e">
        <f t="shared" si="3"/>
        <v>#N/A</v>
      </c>
      <c r="K132" s="159"/>
    </row>
    <row r="133" spans="1:11" ht="19.149999999999999" customHeight="1" x14ac:dyDescent="0.25">
      <c r="A133" s="38" t="s">
        <v>129</v>
      </c>
      <c r="B133" s="155">
        <f>IF($D$31=4.8,599,B83*$D$31)</f>
        <v>264</v>
      </c>
      <c r="C133" s="156"/>
      <c r="D133" s="155"/>
      <c r="E133" s="156"/>
      <c r="F133" s="137" t="e">
        <f t="shared" si="2"/>
        <v>#N/A</v>
      </c>
      <c r="G133" s="138"/>
      <c r="H133" s="137"/>
      <c r="I133" s="138"/>
      <c r="J133" s="158" t="e">
        <f t="shared" si="3"/>
        <v>#N/A</v>
      </c>
      <c r="K133" s="159"/>
    </row>
    <row r="134" spans="1:11" x14ac:dyDescent="0.25">
      <c r="A134" s="28"/>
      <c r="B134" s="28"/>
      <c r="C134" s="28"/>
      <c r="D134" s="28"/>
      <c r="E134" s="28"/>
      <c r="F134" s="28"/>
      <c r="G134" s="28"/>
      <c r="H134" s="28"/>
      <c r="I134" s="28"/>
      <c r="J134" s="28"/>
      <c r="K134" s="28"/>
    </row>
    <row r="135" spans="1:11" x14ac:dyDescent="0.25">
      <c r="A135" s="5" t="s">
        <v>124</v>
      </c>
      <c r="B135" s="5"/>
      <c r="C135" s="5"/>
      <c r="D135" s="5" t="s">
        <v>125</v>
      </c>
      <c r="E135" s="5"/>
      <c r="F135" s="5"/>
      <c r="G135" s="5"/>
      <c r="H135" s="5"/>
      <c r="I135" s="5"/>
      <c r="J135" s="5"/>
      <c r="K135" s="5"/>
    </row>
    <row r="136" spans="1:11" x14ac:dyDescent="0.25">
      <c r="A136" s="28"/>
      <c r="B136" s="28"/>
      <c r="C136" s="28"/>
      <c r="D136" s="28"/>
      <c r="E136" s="28"/>
      <c r="F136" s="28"/>
      <c r="G136" s="28"/>
      <c r="H136" s="28"/>
      <c r="I136" s="28"/>
      <c r="J136" s="28"/>
      <c r="K136" s="28"/>
    </row>
    <row r="137" spans="1:11" x14ac:dyDescent="0.25">
      <c r="A137" s="28"/>
      <c r="B137" s="28"/>
      <c r="C137" s="28"/>
      <c r="D137" s="28"/>
      <c r="E137" s="28"/>
      <c r="F137" s="28"/>
      <c r="G137" s="28"/>
      <c r="H137" s="28"/>
      <c r="I137" s="28"/>
      <c r="J137" s="28"/>
      <c r="K137" s="28"/>
    </row>
    <row r="138" spans="1:11" x14ac:dyDescent="0.25">
      <c r="A138" s="28"/>
      <c r="B138" s="28"/>
      <c r="C138" s="28"/>
      <c r="D138" s="28"/>
      <c r="E138" s="28"/>
      <c r="F138" s="28"/>
      <c r="G138" s="28"/>
      <c r="H138" s="28"/>
      <c r="I138" s="28"/>
      <c r="J138" s="28"/>
      <c r="K138" s="28"/>
    </row>
    <row r="139" spans="1:11" x14ac:dyDescent="0.25">
      <c r="A139" s="28"/>
      <c r="B139" s="28"/>
      <c r="C139" s="28"/>
      <c r="D139" s="28"/>
      <c r="E139" s="28"/>
      <c r="F139" s="28"/>
      <c r="G139" s="28"/>
      <c r="H139" s="28"/>
      <c r="I139" s="28"/>
      <c r="J139" s="28"/>
      <c r="K139" s="28"/>
    </row>
    <row r="140" spans="1:11" x14ac:dyDescent="0.25">
      <c r="A140" s="28"/>
      <c r="B140" s="28"/>
      <c r="C140" s="28"/>
      <c r="D140" s="28"/>
      <c r="E140" s="28"/>
      <c r="F140" s="28"/>
      <c r="G140" s="28"/>
      <c r="H140" s="28"/>
      <c r="I140" s="28"/>
      <c r="J140" s="28"/>
      <c r="K140" s="28"/>
    </row>
    <row r="141" spans="1:11" x14ac:dyDescent="0.25">
      <c r="A141" s="28"/>
      <c r="B141" s="28"/>
      <c r="C141" s="28"/>
      <c r="D141" s="28"/>
      <c r="E141" s="28"/>
      <c r="F141" s="28"/>
      <c r="G141" s="28"/>
      <c r="H141" s="28"/>
      <c r="I141" s="28"/>
      <c r="J141" s="28"/>
      <c r="K141" s="28"/>
    </row>
    <row r="142" spans="1:11" x14ac:dyDescent="0.25">
      <c r="A142" s="28"/>
      <c r="B142" s="28"/>
      <c r="C142" s="28"/>
      <c r="D142" s="28"/>
      <c r="E142" s="28"/>
      <c r="F142" s="28"/>
      <c r="G142" s="28"/>
      <c r="H142" s="28"/>
      <c r="I142" s="28"/>
      <c r="J142" s="28"/>
      <c r="K142" s="28"/>
    </row>
    <row r="143" spans="1:11" x14ac:dyDescent="0.25">
      <c r="A143" s="28"/>
      <c r="B143" s="28"/>
      <c r="C143" s="28"/>
      <c r="D143" s="28"/>
      <c r="E143" s="28"/>
      <c r="F143" s="28"/>
      <c r="G143" s="28"/>
      <c r="H143" s="28"/>
      <c r="I143" s="28"/>
      <c r="J143" s="28"/>
      <c r="K143" s="28"/>
    </row>
    <row r="144" spans="1:11" x14ac:dyDescent="0.25">
      <c r="A144" s="28"/>
      <c r="B144" s="28"/>
      <c r="C144" s="28"/>
      <c r="D144" s="28"/>
      <c r="E144" s="28"/>
      <c r="F144" s="28"/>
      <c r="G144" s="28"/>
      <c r="H144" s="28"/>
      <c r="I144" s="28"/>
      <c r="J144" s="28"/>
      <c r="K144" s="28"/>
    </row>
    <row r="145" spans="1:11" x14ac:dyDescent="0.25">
      <c r="A145" s="28"/>
      <c r="B145" s="28"/>
      <c r="C145" s="28"/>
      <c r="D145" s="28"/>
      <c r="E145" s="28"/>
      <c r="F145" s="28"/>
      <c r="G145" s="28"/>
      <c r="H145" s="28"/>
      <c r="I145" s="28"/>
      <c r="J145" s="28"/>
      <c r="K145" s="28"/>
    </row>
    <row r="146" spans="1:11" x14ac:dyDescent="0.25">
      <c r="A146" s="28"/>
      <c r="B146" s="28"/>
      <c r="C146" s="28"/>
      <c r="D146" s="28"/>
      <c r="E146" s="28"/>
      <c r="F146" s="28"/>
      <c r="G146" s="28"/>
      <c r="H146" s="28"/>
      <c r="I146" s="28"/>
      <c r="J146" s="28"/>
      <c r="K146" s="28"/>
    </row>
    <row r="147" spans="1:11" x14ac:dyDescent="0.25">
      <c r="A147" s="28"/>
      <c r="B147" s="28"/>
      <c r="C147" s="28"/>
      <c r="D147" s="28"/>
      <c r="E147" s="28"/>
      <c r="F147" s="28"/>
      <c r="G147" s="28"/>
      <c r="H147" s="28"/>
      <c r="I147" s="28"/>
      <c r="J147" s="28"/>
      <c r="K147" s="28"/>
    </row>
    <row r="148" spans="1:11" x14ac:dyDescent="0.25">
      <c r="A148" s="28"/>
      <c r="B148" s="28"/>
      <c r="C148" s="28"/>
      <c r="D148" s="28"/>
      <c r="E148" s="28"/>
      <c r="F148" s="28"/>
      <c r="G148" s="28"/>
      <c r="H148" s="28"/>
      <c r="I148" s="28"/>
      <c r="J148" s="28"/>
      <c r="K148" s="28"/>
    </row>
    <row r="149" spans="1:11" x14ac:dyDescent="0.25">
      <c r="A149" s="28"/>
      <c r="B149" s="28"/>
      <c r="C149" s="28"/>
      <c r="D149" s="28"/>
      <c r="E149" s="28"/>
      <c r="F149" s="28"/>
      <c r="G149" s="28"/>
      <c r="H149" s="28"/>
      <c r="I149" s="28"/>
      <c r="J149" s="28"/>
      <c r="K149" s="28"/>
    </row>
    <row r="150" spans="1:11" x14ac:dyDescent="0.25">
      <c r="A150" s="28"/>
      <c r="B150" s="28"/>
      <c r="C150" s="28"/>
      <c r="D150" s="28"/>
      <c r="E150" s="28"/>
      <c r="F150" s="28"/>
      <c r="G150" s="28"/>
      <c r="H150" s="28"/>
      <c r="I150" s="28"/>
      <c r="J150" s="28"/>
      <c r="K150" s="28"/>
    </row>
    <row r="151" spans="1:11" x14ac:dyDescent="0.25">
      <c r="A151" s="28"/>
      <c r="B151" s="28"/>
      <c r="C151" s="28"/>
      <c r="D151" s="28"/>
      <c r="E151" s="28"/>
      <c r="F151" s="28"/>
      <c r="G151" s="28"/>
      <c r="H151" s="28"/>
      <c r="I151" s="28"/>
      <c r="J151" s="28"/>
      <c r="K151" s="28"/>
    </row>
    <row r="152" spans="1:11" x14ac:dyDescent="0.25">
      <c r="A152" s="28"/>
      <c r="B152" s="28"/>
      <c r="C152" s="28"/>
      <c r="D152" s="28"/>
      <c r="E152" s="28"/>
      <c r="F152" s="28"/>
      <c r="G152" s="28"/>
      <c r="H152" s="28"/>
      <c r="I152" s="28"/>
      <c r="J152" s="28"/>
      <c r="K152" s="28"/>
    </row>
    <row r="153" spans="1:11" x14ac:dyDescent="0.25">
      <c r="A153" s="28"/>
      <c r="B153" s="28"/>
      <c r="C153" s="28"/>
      <c r="D153" s="28"/>
      <c r="E153" s="28"/>
      <c r="F153" s="28"/>
      <c r="G153" s="28"/>
      <c r="H153" s="28"/>
      <c r="I153" s="28"/>
      <c r="J153" s="28"/>
      <c r="K153" s="28"/>
    </row>
    <row r="154" spans="1:11" x14ac:dyDescent="0.25">
      <c r="A154" s="28"/>
      <c r="B154" s="28"/>
      <c r="C154" s="28"/>
      <c r="D154" s="28"/>
      <c r="E154" s="28"/>
      <c r="F154" s="28"/>
      <c r="G154" s="28"/>
      <c r="H154" s="28"/>
      <c r="I154" s="28"/>
      <c r="J154" s="28"/>
      <c r="K154" s="28"/>
    </row>
    <row r="155" spans="1:11" x14ac:dyDescent="0.25">
      <c r="A155" s="28"/>
      <c r="B155" s="28"/>
      <c r="C155" s="28"/>
      <c r="D155" s="28"/>
      <c r="E155" s="28"/>
      <c r="F155" s="28"/>
      <c r="G155" s="28"/>
      <c r="H155" s="28"/>
      <c r="I155" s="28"/>
      <c r="J155" s="28"/>
      <c r="K155" s="28"/>
    </row>
    <row r="156" spans="1:11" x14ac:dyDescent="0.25">
      <c r="A156" s="28"/>
      <c r="B156" s="28"/>
      <c r="C156" s="28"/>
      <c r="D156" s="28"/>
      <c r="E156" s="28"/>
      <c r="F156" s="28"/>
      <c r="G156" s="28"/>
      <c r="H156" s="28"/>
      <c r="I156" s="28"/>
      <c r="J156" s="28"/>
      <c r="K156" s="28"/>
    </row>
    <row r="157" spans="1:11" x14ac:dyDescent="0.25">
      <c r="A157" s="28"/>
      <c r="B157" s="28"/>
      <c r="C157" s="28"/>
      <c r="D157" s="28"/>
      <c r="E157" s="28"/>
      <c r="F157" s="28"/>
      <c r="G157" s="28"/>
      <c r="H157" s="28"/>
      <c r="I157" s="28"/>
      <c r="J157" s="28"/>
      <c r="K157" s="28"/>
    </row>
    <row r="158" spans="1:11" x14ac:dyDescent="0.25">
      <c r="A158" s="28"/>
      <c r="B158" s="28"/>
      <c r="C158" s="28"/>
      <c r="D158" s="28"/>
      <c r="E158" s="28"/>
      <c r="F158" s="28"/>
      <c r="G158" s="28"/>
      <c r="H158" s="28"/>
      <c r="I158" s="28"/>
      <c r="J158" s="28"/>
      <c r="K158" s="28"/>
    </row>
    <row r="159" spans="1:11" x14ac:dyDescent="0.25">
      <c r="A159" s="28"/>
      <c r="B159" s="28"/>
      <c r="C159" s="28"/>
      <c r="D159" s="28"/>
      <c r="E159" s="28"/>
      <c r="F159" s="28"/>
      <c r="G159" s="28"/>
      <c r="H159" s="28"/>
      <c r="I159" s="28"/>
      <c r="J159" s="28"/>
      <c r="K159" s="28"/>
    </row>
    <row r="160" spans="1:11" x14ac:dyDescent="0.25">
      <c r="A160" s="107" t="s">
        <v>0</v>
      </c>
      <c r="B160" s="108"/>
      <c r="C160" s="108"/>
      <c r="D160" s="108"/>
      <c r="E160" s="108"/>
      <c r="F160" s="108"/>
      <c r="G160" s="109"/>
      <c r="H160" s="28"/>
      <c r="I160" s="116" t="s">
        <v>1</v>
      </c>
      <c r="J160" s="148" t="str">
        <f>$J$6</f>
        <v>04567</v>
      </c>
      <c r="K160" s="119"/>
    </row>
    <row r="161" spans="1:11" x14ac:dyDescent="0.25">
      <c r="A161" s="110"/>
      <c r="B161" s="111"/>
      <c r="C161" s="111"/>
      <c r="D161" s="111"/>
      <c r="E161" s="111"/>
      <c r="F161" s="111"/>
      <c r="G161" s="112"/>
      <c r="H161" s="28"/>
      <c r="I161" s="117"/>
      <c r="J161" s="120"/>
      <c r="K161" s="121"/>
    </row>
    <row r="162" spans="1:11" x14ac:dyDescent="0.25">
      <c r="A162" s="110"/>
      <c r="B162" s="111"/>
      <c r="C162" s="111"/>
      <c r="D162" s="111"/>
      <c r="E162" s="111"/>
      <c r="F162" s="111"/>
      <c r="G162" s="112"/>
      <c r="H162" s="28"/>
      <c r="I162" s="122" t="s">
        <v>328</v>
      </c>
      <c r="J162" s="123"/>
      <c r="K162" s="124"/>
    </row>
    <row r="163" spans="1:11" x14ac:dyDescent="0.25">
      <c r="A163" s="113"/>
      <c r="B163" s="114"/>
      <c r="C163" s="114"/>
      <c r="D163" s="114"/>
      <c r="E163" s="114"/>
      <c r="F163" s="114"/>
      <c r="G163" s="115"/>
      <c r="H163" s="28"/>
      <c r="I163" s="125"/>
      <c r="J163" s="126"/>
      <c r="K163" s="127"/>
    </row>
    <row r="164" spans="1:11" x14ac:dyDescent="0.25">
      <c r="A164" s="28"/>
      <c r="B164" s="28"/>
      <c r="C164" s="28"/>
      <c r="D164" s="28"/>
      <c r="E164" s="28"/>
      <c r="F164" s="28"/>
      <c r="G164" s="28"/>
      <c r="H164" s="28"/>
      <c r="I164" s="28"/>
      <c r="J164" s="28"/>
      <c r="K164" s="28"/>
    </row>
    <row r="165" spans="1:11" ht="15.75" x14ac:dyDescent="0.25">
      <c r="A165" s="101" t="s">
        <v>329</v>
      </c>
      <c r="B165" s="101"/>
      <c r="C165" s="101"/>
      <c r="D165" s="101"/>
      <c r="E165" s="101"/>
      <c r="F165" s="101"/>
      <c r="G165" s="101"/>
      <c r="H165" s="101"/>
      <c r="I165" s="101"/>
      <c r="J165" s="101"/>
      <c r="K165" s="101"/>
    </row>
    <row r="166" spans="1:11" x14ac:dyDescent="0.25">
      <c r="A166" s="102" t="s">
        <v>115</v>
      </c>
      <c r="B166" s="102"/>
      <c r="C166" s="28"/>
      <c r="D166" s="28"/>
      <c r="E166" s="28"/>
      <c r="F166" s="28"/>
      <c r="G166" s="28"/>
      <c r="H166" s="28"/>
      <c r="I166" s="28"/>
      <c r="J166" s="28"/>
      <c r="K166" s="28"/>
    </row>
    <row r="167" spans="1:11" x14ac:dyDescent="0.25">
      <c r="A167" s="28"/>
      <c r="B167" s="28"/>
      <c r="C167" s="28"/>
      <c r="D167" s="28"/>
      <c r="E167" s="28"/>
      <c r="F167" s="28"/>
      <c r="G167" s="28"/>
      <c r="H167" s="28"/>
      <c r="I167" s="28"/>
      <c r="J167" s="28"/>
      <c r="K167" s="28"/>
    </row>
    <row r="168" spans="1:11" x14ac:dyDescent="0.25">
      <c r="A168" s="157" t="s">
        <v>330</v>
      </c>
      <c r="B168" s="157"/>
      <c r="C168" s="157"/>
      <c r="D168" s="157"/>
      <c r="E168" s="157"/>
      <c r="F168" s="157"/>
      <c r="G168" s="157"/>
      <c r="H168" s="157"/>
      <c r="I168" s="157"/>
      <c r="J168" s="157"/>
      <c r="K168" s="157"/>
    </row>
    <row r="169" spans="1:11" x14ac:dyDescent="0.25">
      <c r="A169" s="157"/>
      <c r="B169" s="157"/>
      <c r="C169" s="157"/>
      <c r="D169" s="157"/>
      <c r="E169" s="157"/>
      <c r="F169" s="157"/>
      <c r="G169" s="157"/>
      <c r="H169" s="157"/>
      <c r="I169" s="157"/>
      <c r="J169" s="157"/>
      <c r="K169" s="157"/>
    </row>
    <row r="170" spans="1:11" x14ac:dyDescent="0.25">
      <c r="A170" s="157"/>
      <c r="B170" s="157"/>
      <c r="C170" s="157"/>
      <c r="D170" s="157"/>
      <c r="E170" s="157"/>
      <c r="F170" s="157"/>
      <c r="G170" s="157"/>
      <c r="H170" s="157"/>
      <c r="I170" s="157"/>
      <c r="J170" s="157"/>
      <c r="K170" s="157"/>
    </row>
    <row r="171" spans="1:11" x14ac:dyDescent="0.25">
      <c r="A171" s="104" t="s">
        <v>331</v>
      </c>
      <c r="B171" s="104"/>
      <c r="C171" s="104"/>
      <c r="D171" s="104"/>
      <c r="E171" s="104"/>
      <c r="F171" s="104"/>
      <c r="G171" s="104"/>
      <c r="H171" s="104"/>
      <c r="I171" s="104"/>
      <c r="J171" s="104"/>
      <c r="K171" s="104"/>
    </row>
    <row r="172" spans="1:11" x14ac:dyDescent="0.25">
      <c r="A172" s="28"/>
      <c r="B172" s="28"/>
      <c r="C172" s="28"/>
      <c r="D172" s="28"/>
      <c r="E172" s="28"/>
      <c r="F172" s="28"/>
      <c r="G172" s="28"/>
      <c r="H172" s="28"/>
      <c r="I172" s="28"/>
      <c r="J172" s="28"/>
      <c r="K172" s="28"/>
    </row>
    <row r="173" spans="1:11" ht="27" customHeight="1" x14ac:dyDescent="0.25">
      <c r="A173" s="48" t="s">
        <v>12</v>
      </c>
      <c r="B173" s="160" t="s">
        <v>13</v>
      </c>
      <c r="C173" s="160"/>
      <c r="D173" s="160" t="s">
        <v>140</v>
      </c>
      <c r="E173" s="160"/>
      <c r="F173" s="160" t="s">
        <v>143</v>
      </c>
      <c r="G173" s="160"/>
      <c r="H173" s="160" t="s">
        <v>142</v>
      </c>
      <c r="I173" s="160"/>
      <c r="J173" s="160" t="s">
        <v>17</v>
      </c>
      <c r="K173" s="160"/>
    </row>
    <row r="174" spans="1:11" x14ac:dyDescent="0.25">
      <c r="A174" s="48"/>
      <c r="B174" s="160" t="s">
        <v>139</v>
      </c>
      <c r="C174" s="160"/>
      <c r="D174" s="160" t="s">
        <v>139</v>
      </c>
      <c r="E174" s="160"/>
      <c r="F174" s="160" t="s">
        <v>141</v>
      </c>
      <c r="G174" s="160"/>
      <c r="H174" s="160" t="s">
        <v>18</v>
      </c>
      <c r="I174" s="160"/>
      <c r="J174" s="160" t="s">
        <v>19</v>
      </c>
      <c r="K174" s="160"/>
    </row>
    <row r="175" spans="1:11" ht="19.149999999999999" customHeight="1" x14ac:dyDescent="0.25">
      <c r="A175" s="51" t="s">
        <v>116</v>
      </c>
      <c r="B175" s="161">
        <v>50</v>
      </c>
      <c r="C175" s="161"/>
      <c r="D175" s="161"/>
      <c r="E175" s="161"/>
      <c r="F175" s="169" t="e">
        <f>IF($K$265="UPC1",0.01/100*150,0.01/100*100)</f>
        <v>#N/A</v>
      </c>
      <c r="G175" s="169"/>
      <c r="H175" s="161"/>
      <c r="I175" s="161"/>
      <c r="J175" s="133" t="e">
        <f>IF($K$266="ASX",150*0.5/100,150*0.5/100)</f>
        <v>#N/A</v>
      </c>
      <c r="K175" s="134"/>
    </row>
    <row r="176" spans="1:11" ht="19.149999999999999" customHeight="1" x14ac:dyDescent="0.25">
      <c r="A176" s="51" t="s">
        <v>116</v>
      </c>
      <c r="B176" s="161">
        <v>60</v>
      </c>
      <c r="C176" s="161"/>
      <c r="D176" s="161"/>
      <c r="E176" s="161"/>
      <c r="F176" s="169" t="e">
        <f>IF($K$265="UPC1",0.01/100*150,0.01/100*100)</f>
        <v>#N/A</v>
      </c>
      <c r="G176" s="169"/>
      <c r="H176" s="161"/>
      <c r="I176" s="161"/>
      <c r="J176" s="133" t="e">
        <f>IF($K$266="ASX",150*0.5/100,150*0.5/100)</f>
        <v>#N/A</v>
      </c>
      <c r="K176" s="134"/>
    </row>
    <row r="177" spans="1:11" ht="19.149999999999999" customHeight="1" x14ac:dyDescent="0.25">
      <c r="A177" s="51" t="s">
        <v>116</v>
      </c>
      <c r="B177" s="161">
        <v>400</v>
      </c>
      <c r="C177" s="161"/>
      <c r="D177" s="161"/>
      <c r="E177" s="161"/>
      <c r="F177" s="169" t="e">
        <f>IF($K$265="UPC1",0.01/100*600,0.01/100*1000)</f>
        <v>#N/A</v>
      </c>
      <c r="G177" s="169"/>
      <c r="H177" s="161"/>
      <c r="I177" s="161"/>
      <c r="J177" s="133" t="e">
        <f>IF($K$266="ASX",150*0.5/100,150*0.5/100)</f>
        <v>#N/A</v>
      </c>
      <c r="K177" s="134"/>
    </row>
    <row r="178" spans="1:11" ht="19.149999999999999" customHeight="1" x14ac:dyDescent="0.25">
      <c r="A178" s="51" t="s">
        <v>116</v>
      </c>
      <c r="B178" s="161">
        <v>1000</v>
      </c>
      <c r="C178" s="161"/>
      <c r="D178" s="161"/>
      <c r="E178" s="161"/>
      <c r="F178" s="169" t="e">
        <f>IF($K$265="UPC1",0.01/100*1200,0.01/100*5000)</f>
        <v>#N/A</v>
      </c>
      <c r="G178" s="169"/>
      <c r="H178" s="161"/>
      <c r="I178" s="161"/>
      <c r="J178" s="133" t="e">
        <f>IF($K$266="ASX",150*0.5/100,150*0.5/100)</f>
        <v>#N/A</v>
      </c>
      <c r="K178" s="134"/>
    </row>
    <row r="179" spans="1:11" ht="19.149999999999999" customHeight="1" x14ac:dyDescent="0.25">
      <c r="A179" s="51" t="s">
        <v>116</v>
      </c>
      <c r="B179" s="161">
        <v>1200</v>
      </c>
      <c r="C179" s="161"/>
      <c r="D179" s="161"/>
      <c r="E179" s="161"/>
      <c r="F179" s="169" t="e">
        <f>IF($K$265="UPC1",0.01/100*1200,0.01/100*5000)</f>
        <v>#N/A</v>
      </c>
      <c r="G179" s="169"/>
      <c r="H179" s="161"/>
      <c r="I179" s="161"/>
      <c r="J179" s="133" t="e">
        <f>IF($K$266="ASX",150*0.5/100,150*0.5/100)</f>
        <v>#N/A</v>
      </c>
      <c r="K179" s="134"/>
    </row>
    <row r="180" spans="1:11" x14ac:dyDescent="0.25">
      <c r="A180" s="28"/>
      <c r="B180" s="28"/>
      <c r="C180" s="28"/>
      <c r="D180" s="28"/>
      <c r="E180" s="28"/>
      <c r="F180" s="28"/>
      <c r="G180" s="28"/>
      <c r="H180" s="28"/>
      <c r="I180" s="28"/>
      <c r="J180" s="28"/>
      <c r="K180" s="28"/>
    </row>
    <row r="181" spans="1:11" x14ac:dyDescent="0.25">
      <c r="A181" s="5" t="s">
        <v>124</v>
      </c>
      <c r="B181" s="5"/>
      <c r="C181" s="5"/>
      <c r="D181" s="5" t="s">
        <v>125</v>
      </c>
      <c r="E181" s="5"/>
      <c r="F181" s="28"/>
      <c r="G181" s="28"/>
      <c r="H181" s="28"/>
      <c r="I181" s="28"/>
      <c r="J181" s="28"/>
      <c r="K181" s="28"/>
    </row>
    <row r="182" spans="1:11" x14ac:dyDescent="0.25">
      <c r="A182" s="28"/>
      <c r="B182" s="28"/>
      <c r="C182" s="28"/>
      <c r="D182" s="28" t="s">
        <v>144</v>
      </c>
      <c r="E182" s="28"/>
      <c r="F182" s="28"/>
      <c r="G182" s="28"/>
      <c r="H182" s="28"/>
      <c r="I182" s="28"/>
      <c r="J182" s="28"/>
      <c r="K182" s="28"/>
    </row>
    <row r="183" spans="1:11" x14ac:dyDescent="0.25">
      <c r="A183" s="28"/>
      <c r="B183" s="28"/>
      <c r="C183" s="28"/>
      <c r="D183" s="28"/>
      <c r="E183" s="28"/>
      <c r="F183" s="28"/>
      <c r="G183" s="28"/>
      <c r="H183" s="28"/>
      <c r="I183" s="28"/>
      <c r="J183" s="28"/>
      <c r="K183" s="28"/>
    </row>
    <row r="184" spans="1:11" x14ac:dyDescent="0.25">
      <c r="A184" s="28"/>
      <c r="B184" s="28"/>
      <c r="C184" s="28"/>
      <c r="D184" s="28"/>
      <c r="E184" s="28"/>
      <c r="F184" s="28"/>
      <c r="G184" s="28"/>
      <c r="H184" s="28"/>
      <c r="I184" s="28"/>
      <c r="J184" s="28"/>
      <c r="K184" s="28"/>
    </row>
    <row r="185" spans="1:11" x14ac:dyDescent="0.25">
      <c r="A185" s="28"/>
      <c r="B185" s="28"/>
      <c r="C185" s="28"/>
      <c r="D185" s="28"/>
      <c r="E185" s="28"/>
      <c r="F185" s="28"/>
      <c r="G185" s="28"/>
      <c r="H185" s="28"/>
      <c r="I185" s="28"/>
      <c r="J185" s="28"/>
      <c r="K185" s="28"/>
    </row>
    <row r="186" spans="1:11" x14ac:dyDescent="0.25">
      <c r="A186" s="28"/>
      <c r="B186" s="28"/>
      <c r="C186" s="28"/>
      <c r="D186" s="28"/>
      <c r="E186" s="28"/>
      <c r="F186" s="28"/>
      <c r="G186" s="28"/>
      <c r="H186" s="28"/>
      <c r="I186" s="28"/>
      <c r="J186" s="28"/>
      <c r="K186" s="28"/>
    </row>
    <row r="187" spans="1:11" x14ac:dyDescent="0.25">
      <c r="A187" s="28"/>
      <c r="B187" s="28"/>
      <c r="C187" s="28"/>
      <c r="D187" s="28"/>
      <c r="E187" s="28"/>
      <c r="F187" s="28"/>
      <c r="G187" s="28"/>
      <c r="H187" s="28"/>
      <c r="I187" s="28"/>
      <c r="J187" s="28"/>
      <c r="K187" s="28"/>
    </row>
    <row r="188" spans="1:11" x14ac:dyDescent="0.25">
      <c r="A188" s="28"/>
      <c r="B188" s="28"/>
      <c r="C188" s="28"/>
      <c r="D188" s="28"/>
      <c r="E188" s="28"/>
      <c r="F188" s="28"/>
      <c r="G188" s="28"/>
      <c r="H188" s="28"/>
      <c r="I188" s="28"/>
      <c r="J188" s="28"/>
      <c r="K188" s="28"/>
    </row>
    <row r="189" spans="1:11" x14ac:dyDescent="0.25">
      <c r="A189" s="28"/>
      <c r="B189" s="28"/>
      <c r="C189" s="28"/>
      <c r="D189" s="28"/>
      <c r="E189" s="28"/>
      <c r="F189" s="28"/>
      <c r="G189" s="28"/>
      <c r="H189" s="28"/>
      <c r="I189" s="28"/>
      <c r="J189" s="28"/>
      <c r="K189" s="28"/>
    </row>
    <row r="190" spans="1:11" x14ac:dyDescent="0.25">
      <c r="A190" s="28"/>
      <c r="B190" s="28"/>
      <c r="C190" s="28"/>
      <c r="D190" s="28"/>
      <c r="E190" s="28"/>
      <c r="F190" s="28"/>
      <c r="G190" s="28"/>
      <c r="H190" s="28"/>
      <c r="I190" s="28"/>
      <c r="J190" s="28"/>
      <c r="K190" s="28"/>
    </row>
    <row r="191" spans="1:11" x14ac:dyDescent="0.25">
      <c r="A191" s="28"/>
      <c r="B191" s="28"/>
      <c r="C191" s="28"/>
      <c r="D191" s="28"/>
      <c r="E191" s="28"/>
      <c r="F191" s="28"/>
      <c r="G191" s="28"/>
      <c r="H191" s="28"/>
      <c r="I191" s="28"/>
      <c r="J191" s="28"/>
      <c r="K191" s="28"/>
    </row>
    <row r="192" spans="1:11" x14ac:dyDescent="0.25">
      <c r="A192" s="28"/>
      <c r="B192" s="28"/>
      <c r="C192" s="28"/>
      <c r="D192" s="28"/>
      <c r="E192" s="28"/>
      <c r="F192" s="28"/>
      <c r="G192" s="28"/>
      <c r="H192" s="28"/>
      <c r="I192" s="28"/>
      <c r="J192" s="28"/>
      <c r="K192" s="28"/>
    </row>
    <row r="193" spans="1:11" x14ac:dyDescent="0.25">
      <c r="A193" s="28"/>
      <c r="B193" s="28"/>
      <c r="C193" s="28"/>
      <c r="D193" s="28"/>
      <c r="E193" s="28"/>
      <c r="F193" s="28"/>
      <c r="G193" s="28"/>
      <c r="H193" s="28"/>
      <c r="I193" s="28"/>
      <c r="J193" s="28"/>
      <c r="K193" s="28"/>
    </row>
    <row r="194" spans="1:11" x14ac:dyDescent="0.25">
      <c r="A194" s="28"/>
      <c r="B194" s="28"/>
      <c r="C194" s="28"/>
      <c r="D194" s="28"/>
      <c r="E194" s="28"/>
      <c r="F194" s="28"/>
      <c r="G194" s="28"/>
      <c r="H194" s="28"/>
      <c r="I194" s="28"/>
      <c r="J194" s="28"/>
      <c r="K194" s="28"/>
    </row>
    <row r="195" spans="1:11" x14ac:dyDescent="0.25">
      <c r="A195" s="28"/>
      <c r="B195" s="28"/>
      <c r="C195" s="28"/>
      <c r="D195" s="28"/>
      <c r="E195" s="28"/>
      <c r="F195" s="28"/>
      <c r="G195" s="28"/>
      <c r="H195" s="28"/>
      <c r="I195" s="28"/>
      <c r="J195" s="28"/>
      <c r="K195" s="28"/>
    </row>
    <row r="196" spans="1:11" x14ac:dyDescent="0.25">
      <c r="A196" s="28"/>
      <c r="B196" s="28"/>
      <c r="C196" s="28"/>
      <c r="D196" s="28"/>
      <c r="E196" s="28"/>
      <c r="F196" s="28"/>
      <c r="G196" s="28"/>
      <c r="H196" s="28"/>
      <c r="I196" s="28"/>
      <c r="J196" s="28"/>
      <c r="K196" s="28"/>
    </row>
    <row r="197" spans="1:11" x14ac:dyDescent="0.25">
      <c r="A197" s="28"/>
      <c r="B197" s="28"/>
      <c r="C197" s="28"/>
      <c r="D197" s="28"/>
      <c r="E197" s="28"/>
      <c r="F197" s="28"/>
      <c r="G197" s="28"/>
      <c r="H197" s="28"/>
      <c r="I197" s="28"/>
      <c r="J197" s="28"/>
      <c r="K197" s="28"/>
    </row>
    <row r="198" spans="1:11" x14ac:dyDescent="0.25">
      <c r="A198" s="28"/>
      <c r="B198" s="28"/>
      <c r="C198" s="28"/>
      <c r="D198" s="28"/>
      <c r="E198" s="28"/>
      <c r="F198" s="28"/>
      <c r="G198" s="28"/>
      <c r="H198" s="28"/>
      <c r="I198" s="28"/>
      <c r="J198" s="28"/>
      <c r="K198" s="28"/>
    </row>
    <row r="199" spans="1:11" x14ac:dyDescent="0.25">
      <c r="A199" s="28"/>
      <c r="B199" s="28"/>
      <c r="C199" s="28"/>
      <c r="D199" s="28"/>
      <c r="E199" s="28"/>
      <c r="F199" s="28"/>
      <c r="G199" s="28"/>
      <c r="H199" s="28"/>
      <c r="I199" s="28"/>
      <c r="J199" s="28"/>
      <c r="K199" s="28"/>
    </row>
    <row r="200" spans="1:11" x14ac:dyDescent="0.25">
      <c r="A200" s="28"/>
      <c r="B200" s="28"/>
      <c r="C200" s="28"/>
      <c r="D200" s="28"/>
      <c r="E200" s="28"/>
      <c r="F200" s="28"/>
      <c r="G200" s="28"/>
      <c r="H200" s="28"/>
      <c r="I200" s="28"/>
      <c r="J200" s="28"/>
      <c r="K200" s="28"/>
    </row>
    <row r="201" spans="1:11" x14ac:dyDescent="0.25">
      <c r="A201" s="28"/>
      <c r="B201" s="28"/>
      <c r="C201" s="28"/>
      <c r="D201" s="28"/>
      <c r="E201" s="28"/>
      <c r="F201" s="28"/>
      <c r="G201" s="28"/>
      <c r="H201" s="28"/>
      <c r="I201" s="28"/>
      <c r="J201" s="28"/>
      <c r="K201" s="28"/>
    </row>
    <row r="202" spans="1:11" x14ac:dyDescent="0.25">
      <c r="A202" s="28"/>
      <c r="B202" s="28"/>
      <c r="C202" s="28"/>
      <c r="D202" s="28"/>
      <c r="E202" s="28"/>
      <c r="F202" s="28"/>
      <c r="G202" s="28"/>
      <c r="H202" s="28"/>
      <c r="I202" s="28"/>
      <c r="J202" s="28"/>
      <c r="K202" s="28"/>
    </row>
    <row r="203" spans="1:11" x14ac:dyDescent="0.25">
      <c r="A203" s="28"/>
      <c r="B203" s="28"/>
      <c r="C203" s="28"/>
      <c r="D203" s="28"/>
      <c r="E203" s="28"/>
      <c r="F203" s="28"/>
      <c r="G203" s="28"/>
      <c r="H203" s="28"/>
      <c r="I203" s="28"/>
      <c r="J203" s="28"/>
      <c r="K203" s="28"/>
    </row>
    <row r="204" spans="1:11" x14ac:dyDescent="0.25">
      <c r="A204" s="28"/>
      <c r="B204" s="28"/>
      <c r="C204" s="28"/>
      <c r="D204" s="28"/>
      <c r="E204" s="28"/>
      <c r="F204" s="28"/>
      <c r="G204" s="28"/>
      <c r="H204" s="28"/>
      <c r="I204" s="28"/>
      <c r="J204" s="28"/>
      <c r="K204" s="28"/>
    </row>
    <row r="205" spans="1:11" x14ac:dyDescent="0.25">
      <c r="A205" s="28"/>
      <c r="B205" s="28"/>
      <c r="C205" s="28"/>
      <c r="D205" s="28"/>
      <c r="E205" s="28"/>
      <c r="F205" s="28"/>
      <c r="G205" s="28"/>
      <c r="H205" s="28"/>
      <c r="I205" s="28"/>
      <c r="J205" s="28"/>
      <c r="K205" s="28"/>
    </row>
    <row r="206" spans="1:11" x14ac:dyDescent="0.25">
      <c r="A206" s="28"/>
      <c r="B206" s="28"/>
      <c r="C206" s="28"/>
      <c r="D206" s="28"/>
      <c r="E206" s="28"/>
      <c r="F206" s="28"/>
      <c r="G206" s="28"/>
      <c r="H206" s="28"/>
      <c r="I206" s="28"/>
      <c r="J206" s="28"/>
      <c r="K206" s="28"/>
    </row>
    <row r="207" spans="1:11" x14ac:dyDescent="0.25">
      <c r="A207" s="28"/>
      <c r="B207" s="28"/>
      <c r="C207" s="28"/>
      <c r="D207" s="28"/>
      <c r="E207" s="28"/>
      <c r="F207" s="28"/>
      <c r="G207" s="28"/>
      <c r="H207" s="28"/>
      <c r="I207" s="28"/>
      <c r="J207" s="28"/>
      <c r="K207" s="28"/>
    </row>
    <row r="208" spans="1:11" x14ac:dyDescent="0.25">
      <c r="A208" s="28"/>
      <c r="B208" s="28"/>
      <c r="C208" s="28"/>
      <c r="D208" s="28"/>
      <c r="E208" s="28"/>
      <c r="F208" s="28"/>
      <c r="G208" s="28"/>
      <c r="H208" s="28"/>
      <c r="I208" s="28"/>
      <c r="J208" s="28"/>
      <c r="K208" s="28"/>
    </row>
    <row r="209" spans="1:11" x14ac:dyDescent="0.25">
      <c r="A209" s="28"/>
      <c r="B209" s="28"/>
      <c r="C209" s="28"/>
      <c r="D209" s="28"/>
      <c r="E209" s="28"/>
      <c r="F209" s="28"/>
      <c r="G209" s="28"/>
      <c r="H209" s="28"/>
      <c r="I209" s="28"/>
      <c r="J209" s="28"/>
      <c r="K209" s="28"/>
    </row>
    <row r="210" spans="1:11" x14ac:dyDescent="0.25">
      <c r="A210" s="28"/>
      <c r="B210" s="28"/>
      <c r="C210" s="28"/>
      <c r="D210" s="28"/>
      <c r="E210" s="28"/>
      <c r="F210" s="28"/>
      <c r="G210" s="28"/>
      <c r="H210" s="28"/>
      <c r="I210" s="28"/>
      <c r="J210" s="28"/>
      <c r="K210" s="28"/>
    </row>
    <row r="211" spans="1:11" x14ac:dyDescent="0.25">
      <c r="A211" s="28"/>
      <c r="B211" s="28"/>
      <c r="C211" s="28"/>
      <c r="D211" s="28"/>
      <c r="E211" s="28"/>
      <c r="F211" s="28"/>
      <c r="G211" s="28"/>
      <c r="H211" s="28"/>
      <c r="I211" s="28"/>
      <c r="J211" s="28"/>
      <c r="K211" s="28"/>
    </row>
    <row r="212" spans="1:11" x14ac:dyDescent="0.25">
      <c r="A212" s="107" t="s">
        <v>0</v>
      </c>
      <c r="B212" s="108"/>
      <c r="C212" s="108"/>
      <c r="D212" s="108"/>
      <c r="E212" s="108"/>
      <c r="F212" s="108"/>
      <c r="G212" s="109"/>
      <c r="H212" s="28"/>
      <c r="I212" s="116" t="s">
        <v>1</v>
      </c>
      <c r="J212" s="148" t="str">
        <f>$J$6</f>
        <v>04567</v>
      </c>
      <c r="K212" s="119"/>
    </row>
    <row r="213" spans="1:11" x14ac:dyDescent="0.25">
      <c r="A213" s="110"/>
      <c r="B213" s="111"/>
      <c r="C213" s="111"/>
      <c r="D213" s="111"/>
      <c r="E213" s="111"/>
      <c r="F213" s="111"/>
      <c r="G213" s="112"/>
      <c r="H213" s="28"/>
      <c r="I213" s="117"/>
      <c r="J213" s="120"/>
      <c r="K213" s="121"/>
    </row>
    <row r="214" spans="1:11" x14ac:dyDescent="0.25">
      <c r="A214" s="110"/>
      <c r="B214" s="111"/>
      <c r="C214" s="111"/>
      <c r="D214" s="111"/>
      <c r="E214" s="111"/>
      <c r="F214" s="111"/>
      <c r="G214" s="112"/>
      <c r="H214" s="28"/>
      <c r="I214" s="122" t="s">
        <v>332</v>
      </c>
      <c r="J214" s="123"/>
      <c r="K214" s="124"/>
    </row>
    <row r="215" spans="1:11" x14ac:dyDescent="0.25">
      <c r="A215" s="113"/>
      <c r="B215" s="114"/>
      <c r="C215" s="114"/>
      <c r="D215" s="114"/>
      <c r="E215" s="114"/>
      <c r="F215" s="114"/>
      <c r="G215" s="115"/>
      <c r="H215" s="28"/>
      <c r="I215" s="125"/>
      <c r="J215" s="126"/>
      <c r="K215" s="127"/>
    </row>
    <row r="216" spans="1:11" x14ac:dyDescent="0.25">
      <c r="A216" s="28"/>
      <c r="B216" s="28"/>
      <c r="C216" s="28"/>
      <c r="D216" s="28"/>
      <c r="E216" s="28"/>
      <c r="F216" s="28"/>
      <c r="G216" s="28"/>
      <c r="H216" s="28"/>
      <c r="I216" s="28"/>
      <c r="J216" s="28"/>
      <c r="K216" s="28"/>
    </row>
    <row r="217" spans="1:11" ht="15.75" x14ac:dyDescent="0.25">
      <c r="A217" s="101" t="s">
        <v>333</v>
      </c>
      <c r="B217" s="101"/>
      <c r="C217" s="101"/>
      <c r="D217" s="101"/>
      <c r="E217" s="101"/>
      <c r="F217" s="101"/>
      <c r="G217" s="101"/>
      <c r="H217" s="101"/>
      <c r="I217" s="101"/>
      <c r="J217" s="101"/>
      <c r="K217" s="101"/>
    </row>
    <row r="218" spans="1:11" x14ac:dyDescent="0.25">
      <c r="A218" s="102" t="s">
        <v>115</v>
      </c>
      <c r="B218" s="102"/>
      <c r="C218" s="28"/>
      <c r="D218" s="28"/>
      <c r="E218" s="28"/>
      <c r="F218" s="28"/>
      <c r="G218" s="28"/>
      <c r="H218" s="28"/>
      <c r="I218" s="28"/>
      <c r="J218" s="28"/>
      <c r="K218" s="28"/>
    </row>
    <row r="219" spans="1:11" x14ac:dyDescent="0.25">
      <c r="A219" s="28"/>
      <c r="B219" s="28"/>
      <c r="C219" s="28"/>
      <c r="D219" s="28"/>
      <c r="E219" s="28"/>
      <c r="F219" s="28"/>
      <c r="G219" s="28"/>
      <c r="H219" s="28"/>
      <c r="I219" s="28"/>
      <c r="J219" s="28"/>
      <c r="K219" s="28"/>
    </row>
    <row r="220" spans="1:11" x14ac:dyDescent="0.25">
      <c r="A220" s="157" t="s">
        <v>334</v>
      </c>
      <c r="B220" s="157"/>
      <c r="C220" s="157"/>
      <c r="D220" s="157"/>
      <c r="E220" s="157"/>
      <c r="F220" s="157"/>
      <c r="G220" s="157"/>
      <c r="H220" s="157"/>
      <c r="I220" s="157"/>
      <c r="J220" s="157"/>
      <c r="K220" s="157"/>
    </row>
    <row r="221" spans="1:11" x14ac:dyDescent="0.25">
      <c r="A221" s="157"/>
      <c r="B221" s="157"/>
      <c r="C221" s="157"/>
      <c r="D221" s="157"/>
      <c r="E221" s="157"/>
      <c r="F221" s="157"/>
      <c r="G221" s="157"/>
      <c r="H221" s="157"/>
      <c r="I221" s="157"/>
      <c r="J221" s="157"/>
      <c r="K221" s="157"/>
    </row>
    <row r="222" spans="1:11" x14ac:dyDescent="0.25">
      <c r="A222" s="157"/>
      <c r="B222" s="157"/>
      <c r="C222" s="157"/>
      <c r="D222" s="157"/>
      <c r="E222" s="157"/>
      <c r="F222" s="157"/>
      <c r="G222" s="157"/>
      <c r="H222" s="157"/>
      <c r="I222" s="157"/>
      <c r="J222" s="157"/>
      <c r="K222" s="157"/>
    </row>
    <row r="223" spans="1:11" x14ac:dyDescent="0.25">
      <c r="A223" s="104" t="s">
        <v>335</v>
      </c>
      <c r="B223" s="104"/>
      <c r="C223" s="104"/>
      <c r="D223" s="104"/>
      <c r="E223" s="104"/>
      <c r="F223" s="104"/>
      <c r="G223" s="104"/>
      <c r="H223" s="104"/>
      <c r="I223" s="104"/>
      <c r="J223" s="104"/>
      <c r="K223" s="104"/>
    </row>
    <row r="224" spans="1:11" x14ac:dyDescent="0.25">
      <c r="A224" s="54" t="str">
        <f>IF(E25="A","Frequency 400Hz.","Frequency 60Hz.")</f>
        <v>Frequency 400Hz.</v>
      </c>
      <c r="B224" s="54"/>
      <c r="C224" s="54"/>
      <c r="D224" s="54"/>
      <c r="E224" s="54"/>
      <c r="F224" s="54"/>
      <c r="G224" s="54"/>
      <c r="H224" s="54"/>
      <c r="I224" s="54"/>
      <c r="J224" s="54"/>
      <c r="K224" s="54"/>
    </row>
    <row r="225" spans="1:11" x14ac:dyDescent="0.25">
      <c r="A225" s="28"/>
      <c r="B225" s="28"/>
      <c r="C225" s="28"/>
      <c r="D225" s="28"/>
      <c r="E225" s="28"/>
      <c r="F225" s="28"/>
      <c r="G225" s="28"/>
      <c r="H225" s="28"/>
      <c r="I225" s="28"/>
      <c r="J225" s="28"/>
      <c r="K225" s="28"/>
    </row>
    <row r="226" spans="1:11" ht="27" customHeight="1" x14ac:dyDescent="0.25">
      <c r="A226" s="160" t="s">
        <v>152</v>
      </c>
      <c r="B226" s="160"/>
      <c r="C226" s="160" t="s">
        <v>336</v>
      </c>
      <c r="D226" s="160"/>
      <c r="E226" s="160" t="s">
        <v>351</v>
      </c>
      <c r="F226" s="160"/>
      <c r="G226" s="160" t="s">
        <v>352</v>
      </c>
      <c r="H226" s="160"/>
      <c r="I226" s="187" t="s">
        <v>150</v>
      </c>
      <c r="J226" s="188"/>
      <c r="K226" s="189"/>
    </row>
    <row r="227" spans="1:11" ht="19.149999999999999" customHeight="1" x14ac:dyDescent="0.25">
      <c r="A227" s="160" t="s">
        <v>153</v>
      </c>
      <c r="B227" s="160"/>
      <c r="C227" s="160" t="s">
        <v>153</v>
      </c>
      <c r="D227" s="160"/>
      <c r="E227" s="160" t="s">
        <v>153</v>
      </c>
      <c r="F227" s="160"/>
      <c r="G227" s="160" t="s">
        <v>153</v>
      </c>
      <c r="H227" s="160"/>
      <c r="I227" s="187" t="s">
        <v>154</v>
      </c>
      <c r="J227" s="188"/>
      <c r="K227" s="189"/>
    </row>
    <row r="228" spans="1:11" ht="19.149999999999999" customHeight="1" x14ac:dyDescent="0.25">
      <c r="A228" s="190">
        <v>0.5</v>
      </c>
      <c r="B228" s="191"/>
      <c r="C228" s="171"/>
      <c r="D228" s="173"/>
      <c r="E228" s="162">
        <f t="shared" ref="E228:E235" si="4">IF(A228&lt;=$A$235/$D$31,A228,"N/A")</f>
        <v>0.5</v>
      </c>
      <c r="F228" s="162"/>
      <c r="G228" s="170"/>
      <c r="H228" s="170"/>
      <c r="I228" s="171" t="e">
        <f t="shared" ref="I228:I235" si="5">IF($K$265="UPC1",0.2/100*40,A228*0.25/100+0.1/100*40)</f>
        <v>#N/A</v>
      </c>
      <c r="J228" s="172"/>
      <c r="K228" s="173"/>
    </row>
    <row r="229" spans="1:11" ht="19.149999999999999" customHeight="1" x14ac:dyDescent="0.25">
      <c r="A229" s="190">
        <v>1</v>
      </c>
      <c r="B229" s="191"/>
      <c r="C229" s="171"/>
      <c r="D229" s="173"/>
      <c r="E229" s="162">
        <f t="shared" si="4"/>
        <v>1</v>
      </c>
      <c r="F229" s="162"/>
      <c r="G229" s="170"/>
      <c r="H229" s="170"/>
      <c r="I229" s="171" t="e">
        <f t="shared" si="5"/>
        <v>#N/A</v>
      </c>
      <c r="J229" s="172"/>
      <c r="K229" s="173"/>
    </row>
    <row r="230" spans="1:11" ht="19.149999999999999" customHeight="1" x14ac:dyDescent="0.25">
      <c r="A230" s="190">
        <v>2</v>
      </c>
      <c r="B230" s="191"/>
      <c r="C230" s="171"/>
      <c r="D230" s="173"/>
      <c r="E230" s="162">
        <f t="shared" si="4"/>
        <v>2</v>
      </c>
      <c r="F230" s="162"/>
      <c r="G230" s="170"/>
      <c r="H230" s="170"/>
      <c r="I230" s="171" t="e">
        <f t="shared" si="5"/>
        <v>#N/A</v>
      </c>
      <c r="J230" s="172"/>
      <c r="K230" s="173"/>
    </row>
    <row r="231" spans="1:11" ht="19.149999999999999" customHeight="1" x14ac:dyDescent="0.25">
      <c r="A231" s="190">
        <v>4</v>
      </c>
      <c r="B231" s="191"/>
      <c r="C231" s="199"/>
      <c r="D231" s="201"/>
      <c r="E231" s="162">
        <f t="shared" si="4"/>
        <v>4</v>
      </c>
      <c r="F231" s="162"/>
      <c r="G231" s="170"/>
      <c r="H231" s="170"/>
      <c r="I231" s="171" t="e">
        <f t="shared" si="5"/>
        <v>#N/A</v>
      </c>
      <c r="J231" s="172"/>
      <c r="K231" s="173"/>
    </row>
    <row r="232" spans="1:11" ht="19.149999999999999" customHeight="1" x14ac:dyDescent="0.25">
      <c r="A232" s="190">
        <v>6</v>
      </c>
      <c r="B232" s="191"/>
      <c r="C232" s="199"/>
      <c r="D232" s="201"/>
      <c r="E232" s="162">
        <f t="shared" si="4"/>
        <v>6</v>
      </c>
      <c r="F232" s="162"/>
      <c r="G232" s="170"/>
      <c r="H232" s="170"/>
      <c r="I232" s="171" t="e">
        <f t="shared" si="5"/>
        <v>#N/A</v>
      </c>
      <c r="J232" s="172"/>
      <c r="K232" s="173"/>
    </row>
    <row r="233" spans="1:11" ht="19.149999999999999" customHeight="1" x14ac:dyDescent="0.25">
      <c r="A233" s="190">
        <v>8</v>
      </c>
      <c r="B233" s="191"/>
      <c r="C233" s="199"/>
      <c r="D233" s="201"/>
      <c r="E233" s="162" t="str">
        <f t="shared" si="4"/>
        <v>N/A</v>
      </c>
      <c r="F233" s="162"/>
      <c r="G233" s="170"/>
      <c r="H233" s="170"/>
      <c r="I233" s="171" t="e">
        <f t="shared" si="5"/>
        <v>#N/A</v>
      </c>
      <c r="J233" s="172"/>
      <c r="K233" s="173"/>
    </row>
    <row r="234" spans="1:11" ht="19.149999999999999" customHeight="1" x14ac:dyDescent="0.25">
      <c r="A234" s="190">
        <v>10</v>
      </c>
      <c r="B234" s="191"/>
      <c r="C234" s="199"/>
      <c r="D234" s="201"/>
      <c r="E234" s="162" t="str">
        <f t="shared" si="4"/>
        <v>N/A</v>
      </c>
      <c r="F234" s="162"/>
      <c r="G234" s="170"/>
      <c r="H234" s="170"/>
      <c r="I234" s="171" t="e">
        <f t="shared" si="5"/>
        <v>#N/A</v>
      </c>
      <c r="J234" s="172"/>
      <c r="K234" s="173"/>
    </row>
    <row r="235" spans="1:11" ht="19.149999999999999" customHeight="1" x14ac:dyDescent="0.25">
      <c r="A235" s="190">
        <v>15</v>
      </c>
      <c r="B235" s="191"/>
      <c r="C235" s="199"/>
      <c r="D235" s="201"/>
      <c r="E235" s="162" t="str">
        <f t="shared" si="4"/>
        <v>N/A</v>
      </c>
      <c r="F235" s="162"/>
      <c r="G235" s="170"/>
      <c r="H235" s="170"/>
      <c r="I235" s="171" t="e">
        <f t="shared" si="5"/>
        <v>#N/A</v>
      </c>
      <c r="J235" s="172"/>
      <c r="K235" s="173"/>
    </row>
    <row r="236" spans="1:11" x14ac:dyDescent="0.25">
      <c r="A236" s="28"/>
      <c r="B236" s="28"/>
      <c r="C236" s="28"/>
      <c r="D236" s="28"/>
      <c r="E236" s="28"/>
      <c r="F236" s="28"/>
      <c r="G236" s="28"/>
      <c r="H236" s="28"/>
      <c r="I236" s="28"/>
      <c r="J236" s="28"/>
      <c r="K236" s="28"/>
    </row>
    <row r="237" spans="1:11" ht="15.75" x14ac:dyDescent="0.25">
      <c r="A237" s="8" t="s">
        <v>124</v>
      </c>
      <c r="B237" s="28"/>
      <c r="C237" s="28" t="s">
        <v>156</v>
      </c>
      <c r="D237" s="28"/>
      <c r="E237" s="28"/>
      <c r="F237" s="28"/>
      <c r="G237" s="28"/>
      <c r="H237" s="28"/>
      <c r="I237" s="28"/>
      <c r="J237" s="28"/>
      <c r="K237" s="28"/>
    </row>
    <row r="238" spans="1:11" x14ac:dyDescent="0.25">
      <c r="A238" s="28"/>
      <c r="B238" s="28"/>
      <c r="C238" s="28" t="s">
        <v>157</v>
      </c>
      <c r="D238" s="28"/>
      <c r="E238" s="28"/>
      <c r="F238" s="28"/>
      <c r="G238" s="28"/>
      <c r="H238" s="28"/>
      <c r="I238" s="28"/>
      <c r="J238" s="28"/>
      <c r="K238" s="28"/>
    </row>
    <row r="239" spans="1:11" x14ac:dyDescent="0.25">
      <c r="A239" s="28"/>
      <c r="B239" s="28"/>
      <c r="C239" s="28"/>
      <c r="D239" s="28"/>
      <c r="E239" s="28"/>
      <c r="F239" s="28"/>
      <c r="G239" s="28"/>
      <c r="H239" s="28"/>
      <c r="I239" s="28"/>
      <c r="J239" s="28"/>
      <c r="K239" s="28"/>
    </row>
    <row r="240" spans="1:11" x14ac:dyDescent="0.25">
      <c r="A240" s="28"/>
      <c r="B240" s="28"/>
      <c r="C240" s="28"/>
      <c r="D240" s="28"/>
      <c r="E240" s="28"/>
      <c r="F240" s="28"/>
      <c r="G240" s="28"/>
      <c r="H240" s="28"/>
      <c r="I240" s="28"/>
      <c r="J240" s="28"/>
      <c r="K240" s="28"/>
    </row>
    <row r="241" spans="1:11" x14ac:dyDescent="0.25">
      <c r="A241" s="28"/>
      <c r="B241" s="28"/>
      <c r="C241" s="28"/>
      <c r="D241" s="28"/>
      <c r="E241" s="28"/>
      <c r="F241" s="28"/>
      <c r="G241" s="28"/>
      <c r="H241" s="28"/>
      <c r="I241" s="28"/>
      <c r="J241" s="28"/>
      <c r="K241" s="28"/>
    </row>
    <row r="242" spans="1:11" x14ac:dyDescent="0.25">
      <c r="A242" s="28"/>
      <c r="B242" s="28"/>
      <c r="C242" s="28"/>
      <c r="D242" s="28"/>
      <c r="E242" s="28"/>
      <c r="F242" s="28"/>
      <c r="G242" s="28"/>
      <c r="H242" s="28"/>
      <c r="I242" s="28"/>
      <c r="J242" s="28"/>
      <c r="K242" s="28"/>
    </row>
    <row r="243" spans="1:11" x14ac:dyDescent="0.25">
      <c r="A243" s="28"/>
      <c r="B243" s="28"/>
      <c r="C243" s="28"/>
      <c r="D243" s="28"/>
      <c r="E243" s="28"/>
      <c r="F243" s="28"/>
      <c r="G243" s="28"/>
      <c r="H243" s="28"/>
      <c r="I243" s="28"/>
      <c r="J243" s="28"/>
      <c r="K243" s="28"/>
    </row>
    <row r="244" spans="1:11" x14ac:dyDescent="0.25">
      <c r="A244" s="28"/>
      <c r="B244" s="28"/>
      <c r="C244" s="28"/>
      <c r="D244" s="28"/>
      <c r="E244" s="28"/>
      <c r="F244" s="28"/>
      <c r="G244" s="28"/>
      <c r="H244" s="28"/>
      <c r="I244" s="28"/>
      <c r="J244" s="28"/>
      <c r="K244" s="28"/>
    </row>
    <row r="245" spans="1:11" x14ac:dyDescent="0.25">
      <c r="A245" s="28"/>
      <c r="B245" s="28"/>
      <c r="C245" s="28"/>
      <c r="D245" s="28"/>
      <c r="E245" s="28"/>
      <c r="F245" s="28"/>
      <c r="G245" s="28"/>
      <c r="H245" s="28"/>
      <c r="I245" s="28"/>
      <c r="J245" s="28"/>
      <c r="K245" s="28"/>
    </row>
    <row r="246" spans="1:11" x14ac:dyDescent="0.25">
      <c r="A246" s="28"/>
      <c r="B246" s="28"/>
      <c r="C246" s="28"/>
      <c r="D246" s="28"/>
      <c r="E246" s="28"/>
      <c r="F246" s="28"/>
      <c r="G246" s="28"/>
      <c r="H246" s="28"/>
      <c r="I246" s="28"/>
      <c r="J246" s="28"/>
      <c r="K246" s="28"/>
    </row>
    <row r="247" spans="1:11" x14ac:dyDescent="0.25">
      <c r="A247" s="28"/>
      <c r="B247" s="28"/>
      <c r="C247" s="28"/>
      <c r="D247" s="28"/>
      <c r="E247" s="28"/>
      <c r="F247" s="28"/>
      <c r="G247" s="28"/>
      <c r="H247" s="28"/>
      <c r="I247" s="28"/>
      <c r="J247" s="28"/>
      <c r="K247" s="28"/>
    </row>
    <row r="248" spans="1:11" x14ac:dyDescent="0.25">
      <c r="A248" s="28"/>
      <c r="B248" s="28"/>
      <c r="C248" s="28"/>
      <c r="D248" s="28"/>
      <c r="E248" s="28"/>
      <c r="F248" s="28"/>
      <c r="G248" s="28"/>
      <c r="H248" s="28"/>
      <c r="I248" s="28"/>
      <c r="J248" s="28"/>
      <c r="K248" s="28"/>
    </row>
    <row r="249" spans="1:11" x14ac:dyDescent="0.25">
      <c r="A249" s="28"/>
      <c r="B249" s="28"/>
      <c r="C249" s="28"/>
      <c r="D249" s="28"/>
      <c r="E249" s="28"/>
      <c r="F249" s="28"/>
      <c r="G249" s="28"/>
      <c r="H249" s="28"/>
      <c r="I249" s="28"/>
      <c r="J249" s="28"/>
      <c r="K249" s="28"/>
    </row>
    <row r="250" spans="1:11" x14ac:dyDescent="0.25">
      <c r="A250" s="28"/>
      <c r="B250" s="28"/>
      <c r="C250" s="28"/>
      <c r="D250" s="28"/>
      <c r="E250" s="28"/>
      <c r="F250" s="28"/>
      <c r="G250" s="28"/>
      <c r="H250" s="28"/>
      <c r="I250" s="28"/>
      <c r="J250" s="28"/>
      <c r="K250" s="28"/>
    </row>
    <row r="251" spans="1:11" x14ac:dyDescent="0.25">
      <c r="A251" s="28"/>
      <c r="B251" s="28"/>
      <c r="C251" s="28"/>
      <c r="D251" s="28"/>
      <c r="E251" s="28"/>
      <c r="F251" s="28"/>
      <c r="G251" s="28"/>
      <c r="H251" s="28"/>
      <c r="I251" s="28"/>
      <c r="J251" s="28"/>
      <c r="K251" s="28"/>
    </row>
    <row r="252" spans="1:11" x14ac:dyDescent="0.25">
      <c r="A252" s="28"/>
      <c r="B252" s="28"/>
      <c r="C252" s="28"/>
      <c r="D252" s="28"/>
      <c r="E252" s="28"/>
      <c r="F252" s="28"/>
      <c r="G252" s="28"/>
      <c r="H252" s="28"/>
      <c r="I252" s="28"/>
      <c r="J252" s="28"/>
      <c r="K252" s="28"/>
    </row>
    <row r="253" spans="1:11" x14ac:dyDescent="0.25">
      <c r="A253" s="28"/>
      <c r="B253" s="28"/>
      <c r="C253" s="28"/>
      <c r="D253" s="28"/>
      <c r="E253" s="28"/>
      <c r="F253" s="28"/>
      <c r="G253" s="28"/>
      <c r="H253" s="28"/>
      <c r="I253" s="28"/>
      <c r="J253" s="28"/>
      <c r="K253" s="28"/>
    </row>
    <row r="254" spans="1:11" x14ac:dyDescent="0.25">
      <c r="A254" s="28"/>
      <c r="B254" s="28"/>
      <c r="C254" s="28"/>
      <c r="D254" s="28"/>
      <c r="E254" s="28"/>
      <c r="F254" s="28"/>
      <c r="G254" s="28"/>
      <c r="H254" s="28"/>
      <c r="I254" s="28"/>
      <c r="J254" s="28"/>
      <c r="K254" s="28"/>
    </row>
    <row r="255" spans="1:11" x14ac:dyDescent="0.25">
      <c r="A255" s="28"/>
      <c r="B255" s="28"/>
      <c r="C255" s="28"/>
      <c r="D255" s="28"/>
      <c r="E255" s="28"/>
      <c r="F255" s="28"/>
      <c r="G255" s="28"/>
      <c r="H255" s="28"/>
      <c r="I255" s="28"/>
      <c r="J255" s="28"/>
      <c r="K255" s="28"/>
    </row>
    <row r="256" spans="1:11" x14ac:dyDescent="0.25">
      <c r="A256" s="28"/>
      <c r="B256" s="28"/>
      <c r="C256" s="28"/>
      <c r="D256" s="28"/>
      <c r="E256" s="28"/>
      <c r="F256" s="28"/>
      <c r="G256" s="28"/>
      <c r="H256" s="28"/>
      <c r="I256" s="28"/>
      <c r="J256" s="28"/>
      <c r="K256" s="28"/>
    </row>
    <row r="257" spans="1:11" x14ac:dyDescent="0.25">
      <c r="A257" s="28"/>
      <c r="B257" s="28"/>
      <c r="C257" s="28"/>
      <c r="D257" s="28"/>
      <c r="E257" s="28"/>
      <c r="F257" s="28"/>
      <c r="G257" s="28"/>
      <c r="H257" s="28"/>
      <c r="I257" s="28"/>
      <c r="J257" s="28"/>
      <c r="K257" s="28"/>
    </row>
    <row r="258" spans="1:11" x14ac:dyDescent="0.25">
      <c r="A258" s="28"/>
      <c r="B258" s="28"/>
      <c r="C258" s="28"/>
      <c r="D258" s="28"/>
      <c r="E258" s="28"/>
      <c r="F258" s="28"/>
      <c r="G258" s="28"/>
      <c r="H258" s="28"/>
      <c r="I258" s="28"/>
      <c r="J258" s="28"/>
      <c r="K258" s="28"/>
    </row>
    <row r="259" spans="1:11" x14ac:dyDescent="0.25">
      <c r="A259" s="28"/>
      <c r="B259" s="28"/>
      <c r="C259" s="28"/>
      <c r="D259" s="28"/>
      <c r="E259" s="28"/>
      <c r="F259" s="28"/>
      <c r="G259" s="28"/>
      <c r="H259" s="28"/>
      <c r="I259" s="28"/>
      <c r="J259" s="28"/>
      <c r="K259" s="28"/>
    </row>
    <row r="260" spans="1:11" x14ac:dyDescent="0.25">
      <c r="A260" s="28"/>
      <c r="B260" s="28"/>
      <c r="C260" s="28"/>
      <c r="D260" s="28"/>
      <c r="E260" s="28"/>
      <c r="F260" s="28"/>
      <c r="G260" s="28"/>
      <c r="H260" s="28"/>
      <c r="I260" s="28"/>
      <c r="J260" s="28"/>
      <c r="K260" s="28"/>
    </row>
    <row r="261" spans="1:11" x14ac:dyDescent="0.25">
      <c r="A261" s="153" t="s">
        <v>158</v>
      </c>
      <c r="B261" s="153"/>
      <c r="C261" s="153"/>
      <c r="D261" s="153"/>
      <c r="E261" s="153"/>
      <c r="F261" s="153"/>
      <c r="G261" s="153"/>
      <c r="H261" s="153"/>
      <c r="I261" s="153"/>
      <c r="J261" s="153"/>
      <c r="K261" s="153"/>
    </row>
    <row r="262" spans="1:11" x14ac:dyDescent="0.25">
      <c r="A262" s="28"/>
      <c r="B262" s="28"/>
      <c r="C262" s="28"/>
      <c r="D262" s="28"/>
      <c r="E262" s="28"/>
      <c r="F262" s="28"/>
      <c r="G262" s="28"/>
      <c r="H262" s="28"/>
      <c r="I262" s="28"/>
      <c r="J262" s="28"/>
      <c r="K262" s="28"/>
    </row>
    <row r="263" spans="1:11" x14ac:dyDescent="0.25">
      <c r="A263" s="177" t="s">
        <v>163</v>
      </c>
      <c r="B263" s="177"/>
      <c r="C263" s="177"/>
      <c r="D263" s="177"/>
      <c r="E263" s="177"/>
      <c r="F263" s="177"/>
      <c r="G263" s="177"/>
      <c r="H263" s="177"/>
      <c r="I263" s="177"/>
      <c r="J263" s="177"/>
      <c r="K263" s="177"/>
    </row>
    <row r="264" spans="1:11" x14ac:dyDescent="0.25">
      <c r="A264" s="177"/>
      <c r="B264" s="177"/>
      <c r="C264" s="177"/>
      <c r="D264" s="177"/>
      <c r="E264" s="177"/>
      <c r="F264" s="177"/>
      <c r="G264" s="177"/>
      <c r="H264" s="177"/>
      <c r="I264" s="177"/>
      <c r="J264" s="177"/>
      <c r="K264" s="177"/>
    </row>
    <row r="265" spans="1:11" x14ac:dyDescent="0.25">
      <c r="A265" s="50" t="s">
        <v>164</v>
      </c>
      <c r="B265" s="178" t="str">
        <f>D17</f>
        <v>Caltest Instruments Ltd</v>
      </c>
      <c r="C265" s="178"/>
      <c r="D265" s="178"/>
      <c r="E265" s="178"/>
      <c r="F265" s="50" t="s">
        <v>165</v>
      </c>
      <c r="G265" s="178">
        <f>D30</f>
        <v>1243</v>
      </c>
      <c r="H265" s="178"/>
      <c r="I265" s="39" t="s">
        <v>214</v>
      </c>
      <c r="J265" s="39"/>
      <c r="K265" s="39" t="e">
        <f>VLOOKUP(B266,'1PhT data'!A:C,3,0)</f>
        <v>#N/A</v>
      </c>
    </row>
    <row r="266" spans="1:11" x14ac:dyDescent="0.25">
      <c r="A266" s="50" t="s">
        <v>83</v>
      </c>
      <c r="B266" s="178" t="str">
        <f>D28</f>
        <v/>
      </c>
      <c r="C266" s="178"/>
      <c r="D266" s="178"/>
      <c r="E266" s="178"/>
      <c r="F266" s="50" t="s">
        <v>166</v>
      </c>
      <c r="G266" s="179">
        <f>D34</f>
        <v>44175</v>
      </c>
      <c r="H266" s="179"/>
      <c r="I266" s="39" t="s">
        <v>233</v>
      </c>
      <c r="J266" s="39"/>
      <c r="K266" s="39" t="e">
        <f>VLOOKUP(B266,'1PhT data'!A:C,2,0)</f>
        <v>#N/A</v>
      </c>
    </row>
    <row r="267" spans="1:11" x14ac:dyDescent="0.25">
      <c r="A267" s="28"/>
      <c r="B267" s="28"/>
      <c r="C267" s="28"/>
      <c r="D267" s="28"/>
      <c r="E267" s="28"/>
      <c r="F267" s="28"/>
      <c r="G267" s="28"/>
      <c r="H267" s="28"/>
      <c r="I267" s="28"/>
      <c r="J267" s="28"/>
      <c r="K267" s="28"/>
    </row>
    <row r="268" spans="1:11" x14ac:dyDescent="0.25">
      <c r="A268" s="175" t="s">
        <v>167</v>
      </c>
      <c r="B268" s="175"/>
      <c r="C268" s="175"/>
      <c r="D268" s="175"/>
      <c r="E268" s="175"/>
      <c r="F268" s="175"/>
      <c r="G268" s="175"/>
      <c r="H268" s="175"/>
      <c r="I268" s="175"/>
      <c r="J268" s="175"/>
      <c r="K268" s="175"/>
    </row>
    <row r="269" spans="1:11" x14ac:dyDescent="0.25">
      <c r="A269" s="39" t="s">
        <v>168</v>
      </c>
      <c r="B269" s="39" t="s">
        <v>12</v>
      </c>
      <c r="C269" s="176" t="s">
        <v>169</v>
      </c>
      <c r="D269" s="176"/>
      <c r="E269" s="39" t="s">
        <v>12</v>
      </c>
      <c r="F269" s="176" t="s">
        <v>169</v>
      </c>
      <c r="G269" s="176"/>
      <c r="H269" s="39" t="s">
        <v>12</v>
      </c>
      <c r="I269" s="176" t="s">
        <v>169</v>
      </c>
      <c r="J269" s="176"/>
      <c r="K269" s="39"/>
    </row>
    <row r="270" spans="1:11" x14ac:dyDescent="0.25">
      <c r="A270" s="39" t="s">
        <v>170</v>
      </c>
      <c r="B270" s="39" t="s">
        <v>173</v>
      </c>
      <c r="C270" s="176"/>
      <c r="D270" s="176"/>
      <c r="E270" s="39" t="s">
        <v>174</v>
      </c>
      <c r="F270" s="176"/>
      <c r="G270" s="176"/>
      <c r="H270" s="39" t="s">
        <v>175</v>
      </c>
      <c r="I270" s="176"/>
      <c r="J270" s="176"/>
      <c r="K270" s="39"/>
    </row>
    <row r="271" spans="1:11" x14ac:dyDescent="0.25">
      <c r="A271" s="39" t="s">
        <v>171</v>
      </c>
      <c r="B271" s="39" t="s">
        <v>173</v>
      </c>
      <c r="C271" s="176"/>
      <c r="D271" s="176"/>
      <c r="E271" s="39" t="s">
        <v>174</v>
      </c>
      <c r="F271" s="176"/>
      <c r="G271" s="176"/>
      <c r="H271" s="39" t="s">
        <v>175</v>
      </c>
      <c r="I271" s="176"/>
      <c r="J271" s="176"/>
      <c r="K271" s="39"/>
    </row>
    <row r="272" spans="1:11" x14ac:dyDescent="0.25">
      <c r="A272" s="39" t="s">
        <v>170</v>
      </c>
      <c r="B272" s="39" t="s">
        <v>173</v>
      </c>
      <c r="C272" s="176"/>
      <c r="D272" s="176"/>
      <c r="E272" s="39" t="s">
        <v>174</v>
      </c>
      <c r="F272" s="176"/>
      <c r="G272" s="176"/>
      <c r="H272" s="39" t="s">
        <v>175</v>
      </c>
      <c r="I272" s="176"/>
      <c r="J272" s="176"/>
      <c r="K272" s="39"/>
    </row>
    <row r="273" spans="1:11" x14ac:dyDescent="0.25">
      <c r="A273" s="39" t="s">
        <v>172</v>
      </c>
      <c r="B273" s="39" t="s">
        <v>173</v>
      </c>
      <c r="C273" s="176"/>
      <c r="D273" s="176"/>
      <c r="E273" s="39" t="s">
        <v>174</v>
      </c>
      <c r="F273" s="176"/>
      <c r="G273" s="176"/>
      <c r="H273" s="39" t="s">
        <v>175</v>
      </c>
      <c r="I273" s="176"/>
      <c r="J273" s="176"/>
      <c r="K273" s="39"/>
    </row>
    <row r="274" spans="1:11" x14ac:dyDescent="0.25">
      <c r="A274" s="28"/>
      <c r="B274" s="28"/>
      <c r="C274" s="28"/>
      <c r="D274" s="28"/>
      <c r="E274" s="28"/>
      <c r="F274" s="28"/>
      <c r="G274" s="28"/>
      <c r="H274" s="28"/>
      <c r="I274" s="28"/>
      <c r="J274" s="28"/>
      <c r="K274" s="28"/>
    </row>
    <row r="275" spans="1:11" x14ac:dyDescent="0.25">
      <c r="A275" s="28"/>
      <c r="B275" s="160" t="s">
        <v>176</v>
      </c>
      <c r="C275" s="160"/>
      <c r="D275" s="160"/>
      <c r="E275" s="28"/>
      <c r="F275" s="28"/>
      <c r="G275" s="160" t="s">
        <v>177</v>
      </c>
      <c r="H275" s="160"/>
      <c r="I275" s="160"/>
      <c r="J275" s="28"/>
      <c r="K275" s="28"/>
    </row>
    <row r="276" spans="1:11" x14ac:dyDescent="0.25">
      <c r="A276" s="28"/>
      <c r="B276" s="160"/>
      <c r="C276" s="160"/>
      <c r="D276" s="160"/>
      <c r="E276" s="28"/>
      <c r="F276" s="28"/>
      <c r="G276" s="160"/>
      <c r="H276" s="160"/>
      <c r="I276" s="160"/>
      <c r="J276" s="28"/>
      <c r="K276" s="28"/>
    </row>
    <row r="277" spans="1:11" x14ac:dyDescent="0.25">
      <c r="A277" s="28"/>
      <c r="B277" s="39" t="s">
        <v>168</v>
      </c>
      <c r="C277" s="176"/>
      <c r="D277" s="176"/>
      <c r="E277" s="28"/>
      <c r="F277" s="28"/>
      <c r="G277" s="39" t="s">
        <v>168</v>
      </c>
      <c r="H277" s="176"/>
      <c r="I277" s="176"/>
      <c r="J277" s="28"/>
      <c r="K277" s="28"/>
    </row>
    <row r="278" spans="1:11" x14ac:dyDescent="0.25">
      <c r="A278" s="28"/>
      <c r="B278" s="39" t="s">
        <v>170</v>
      </c>
      <c r="C278" s="176"/>
      <c r="D278" s="176"/>
      <c r="E278" s="28"/>
      <c r="F278" s="28"/>
      <c r="G278" s="39" t="s">
        <v>170</v>
      </c>
      <c r="H278" s="176"/>
      <c r="I278" s="176"/>
      <c r="J278" s="28"/>
      <c r="K278" s="28"/>
    </row>
    <row r="279" spans="1:11" x14ac:dyDescent="0.25">
      <c r="A279" s="28"/>
      <c r="B279" s="39" t="s">
        <v>171</v>
      </c>
      <c r="C279" s="176"/>
      <c r="D279" s="176"/>
      <c r="E279" s="28"/>
      <c r="F279" s="28"/>
      <c r="G279" s="39" t="s">
        <v>171</v>
      </c>
      <c r="H279" s="176"/>
      <c r="I279" s="176"/>
      <c r="J279" s="28"/>
      <c r="K279" s="28"/>
    </row>
    <row r="280" spans="1:11" x14ac:dyDescent="0.25">
      <c r="A280" s="28"/>
      <c r="B280" s="39" t="s">
        <v>170</v>
      </c>
      <c r="C280" s="176"/>
      <c r="D280" s="176"/>
      <c r="E280" s="28"/>
      <c r="F280" s="28"/>
      <c r="G280" s="39" t="s">
        <v>170</v>
      </c>
      <c r="H280" s="176"/>
      <c r="I280" s="176"/>
      <c r="J280" s="28"/>
      <c r="K280" s="28"/>
    </row>
    <row r="281" spans="1:11" x14ac:dyDescent="0.25">
      <c r="A281" s="28"/>
      <c r="B281" s="39" t="s">
        <v>172</v>
      </c>
      <c r="C281" s="176"/>
      <c r="D281" s="176"/>
      <c r="E281" s="28"/>
      <c r="F281" s="28"/>
      <c r="G281" s="39" t="s">
        <v>172</v>
      </c>
      <c r="H281" s="176"/>
      <c r="I281" s="176"/>
      <c r="J281" s="28"/>
      <c r="K281" s="28"/>
    </row>
    <row r="282" spans="1:11" x14ac:dyDescent="0.25">
      <c r="A282" s="28"/>
      <c r="B282" s="28"/>
      <c r="C282" s="28"/>
      <c r="D282" s="28"/>
      <c r="E282" s="28"/>
      <c r="F282" s="28"/>
      <c r="G282" s="28"/>
      <c r="H282" s="28"/>
      <c r="I282" s="28"/>
      <c r="J282" s="28"/>
      <c r="K282" s="28"/>
    </row>
    <row r="283" spans="1:11" x14ac:dyDescent="0.25">
      <c r="A283" s="28"/>
      <c r="B283" s="106" t="s">
        <v>178</v>
      </c>
      <c r="C283" s="106"/>
      <c r="D283" s="106"/>
      <c r="E283" s="106"/>
      <c r="F283" s="106"/>
      <c r="G283" s="106"/>
      <c r="H283" s="106"/>
      <c r="I283" s="106"/>
      <c r="J283" s="106"/>
      <c r="K283" s="28"/>
    </row>
    <row r="284" spans="1:11" x14ac:dyDescent="0.25">
      <c r="A284" s="28"/>
      <c r="B284" s="28"/>
      <c r="C284" s="28"/>
      <c r="D284" s="28"/>
      <c r="E284" s="28"/>
      <c r="F284" s="28"/>
      <c r="G284" s="28"/>
      <c r="H284" s="28"/>
      <c r="I284" s="28"/>
      <c r="J284" s="28"/>
      <c r="K284" s="28"/>
    </row>
    <row r="285" spans="1:11" x14ac:dyDescent="0.25">
      <c r="A285" s="28"/>
      <c r="B285" s="28" t="s">
        <v>179</v>
      </c>
      <c r="C285" s="28"/>
      <c r="D285" s="28"/>
      <c r="E285" s="28"/>
      <c r="F285" s="28"/>
      <c r="G285" s="28"/>
      <c r="H285" s="28"/>
      <c r="I285" s="28"/>
      <c r="J285" s="28"/>
      <c r="K285" s="28"/>
    </row>
    <row r="286" spans="1:11" x14ac:dyDescent="0.25">
      <c r="A286" s="175" t="s">
        <v>180</v>
      </c>
      <c r="B286" s="175"/>
      <c r="C286" s="175"/>
      <c r="D286" s="175"/>
      <c r="E286" s="175"/>
      <c r="F286" s="175"/>
      <c r="G286" s="175"/>
      <c r="H286" s="175"/>
      <c r="I286" s="175"/>
      <c r="J286" s="175"/>
      <c r="K286" s="175"/>
    </row>
    <row r="287" spans="1:11" x14ac:dyDescent="0.25">
      <c r="A287" s="39" t="s">
        <v>181</v>
      </c>
      <c r="B287" s="39"/>
      <c r="C287" s="182"/>
      <c r="D287" s="183"/>
      <c r="E287" s="184"/>
      <c r="F287" s="39" t="s">
        <v>182</v>
      </c>
      <c r="G287" s="39"/>
      <c r="H287" s="182"/>
      <c r="I287" s="184"/>
      <c r="J287" s="39" t="s">
        <v>119</v>
      </c>
      <c r="K287" s="39"/>
    </row>
    <row r="288" spans="1:11" x14ac:dyDescent="0.25">
      <c r="A288" s="39" t="s">
        <v>183</v>
      </c>
      <c r="B288" s="39"/>
      <c r="C288" s="180"/>
      <c r="D288" s="185"/>
      <c r="E288" s="185"/>
      <c r="F288" s="185"/>
      <c r="G288" s="185"/>
      <c r="H288" s="185"/>
      <c r="I288" s="185"/>
      <c r="J288" s="185"/>
      <c r="K288" s="181"/>
    </row>
    <row r="289" spans="1:11" x14ac:dyDescent="0.25">
      <c r="A289" s="39" t="s">
        <v>184</v>
      </c>
      <c r="B289" s="39"/>
      <c r="C289" s="39"/>
      <c r="D289" s="182"/>
      <c r="E289" s="184"/>
      <c r="F289" s="39" t="s">
        <v>185</v>
      </c>
      <c r="G289" s="182"/>
      <c r="H289" s="183"/>
      <c r="I289" s="183"/>
      <c r="J289" s="183"/>
      <c r="K289" s="184"/>
    </row>
    <row r="290" spans="1:11" x14ac:dyDescent="0.25">
      <c r="A290" s="39" t="s">
        <v>186</v>
      </c>
      <c r="B290" s="39"/>
      <c r="C290" s="39"/>
      <c r="D290" s="182"/>
      <c r="E290" s="184"/>
      <c r="F290" s="39" t="s">
        <v>187</v>
      </c>
      <c r="G290" s="182"/>
      <c r="H290" s="183"/>
      <c r="I290" s="184"/>
      <c r="J290" s="39" t="s">
        <v>192</v>
      </c>
      <c r="K290" s="39"/>
    </row>
    <row r="291" spans="1:11" x14ac:dyDescent="0.25">
      <c r="A291" s="28"/>
      <c r="B291" s="28"/>
      <c r="C291" s="28"/>
      <c r="D291" s="28"/>
      <c r="E291" s="28"/>
      <c r="F291" s="28"/>
      <c r="G291" s="28"/>
      <c r="H291" s="28"/>
      <c r="I291" s="28"/>
      <c r="J291" s="28"/>
      <c r="K291" s="28"/>
    </row>
    <row r="292" spans="1:11" x14ac:dyDescent="0.25">
      <c r="A292" s="28"/>
      <c r="B292" s="28"/>
      <c r="C292" s="28"/>
      <c r="D292" s="28"/>
      <c r="E292" s="28"/>
      <c r="F292" s="28"/>
      <c r="G292" s="28"/>
      <c r="H292" s="28"/>
      <c r="I292" s="28"/>
      <c r="J292" s="28"/>
      <c r="K292" s="28"/>
    </row>
    <row r="293" spans="1:11" x14ac:dyDescent="0.25">
      <c r="A293" s="175" t="s">
        <v>188</v>
      </c>
      <c r="B293" s="175"/>
      <c r="C293" s="175"/>
      <c r="D293" s="175"/>
      <c r="E293" s="175"/>
      <c r="F293" s="175"/>
      <c r="G293" s="175"/>
      <c r="H293" s="175"/>
      <c r="I293" s="175"/>
      <c r="J293" s="175"/>
      <c r="K293" s="175"/>
    </row>
    <row r="294" spans="1:11" x14ac:dyDescent="0.25">
      <c r="A294" s="50" t="s">
        <v>181</v>
      </c>
      <c r="B294" s="50"/>
      <c r="C294" s="182"/>
      <c r="D294" s="183"/>
      <c r="E294" s="184"/>
      <c r="F294" s="178" t="s">
        <v>182</v>
      </c>
      <c r="G294" s="178"/>
      <c r="H294" s="182"/>
      <c r="I294" s="184"/>
      <c r="J294" s="39" t="s">
        <v>119</v>
      </c>
      <c r="K294" s="39"/>
    </row>
    <row r="295" spans="1:11" x14ac:dyDescent="0.25">
      <c r="A295" s="180" t="s">
        <v>189</v>
      </c>
      <c r="B295" s="181"/>
      <c r="C295" s="182"/>
      <c r="D295" s="183"/>
      <c r="E295" s="184"/>
      <c r="F295" s="39" t="s">
        <v>190</v>
      </c>
      <c r="G295" s="182"/>
      <c r="H295" s="183"/>
      <c r="I295" s="183"/>
      <c r="J295" s="183"/>
      <c r="K295" s="184"/>
    </row>
    <row r="296" spans="1:11" x14ac:dyDescent="0.25">
      <c r="A296" s="50" t="s">
        <v>184</v>
      </c>
      <c r="B296" s="50"/>
      <c r="C296" s="50"/>
      <c r="D296" s="182"/>
      <c r="E296" s="184"/>
      <c r="F296" s="39" t="s">
        <v>185</v>
      </c>
      <c r="G296" s="182"/>
      <c r="H296" s="183"/>
      <c r="I296" s="183"/>
      <c r="J296" s="183"/>
      <c r="K296" s="184"/>
    </row>
    <row r="297" spans="1:11" x14ac:dyDescent="0.25">
      <c r="A297" s="50" t="s">
        <v>186</v>
      </c>
      <c r="B297" s="50"/>
      <c r="C297" s="50"/>
      <c r="D297" s="182"/>
      <c r="E297" s="184"/>
      <c r="F297" s="39" t="s">
        <v>187</v>
      </c>
      <c r="G297" s="182"/>
      <c r="H297" s="183"/>
      <c r="I297" s="184"/>
      <c r="J297" s="39" t="s">
        <v>192</v>
      </c>
      <c r="K297" s="39"/>
    </row>
    <row r="298" spans="1:11" x14ac:dyDescent="0.25">
      <c r="A298" s="28"/>
      <c r="B298" s="28"/>
      <c r="C298" s="28"/>
      <c r="D298" s="28"/>
      <c r="E298" s="28"/>
      <c r="F298" s="28"/>
      <c r="G298" s="28"/>
      <c r="H298" s="28"/>
      <c r="I298" s="28"/>
      <c r="J298" s="28"/>
      <c r="K298" s="28"/>
    </row>
    <row r="299" spans="1:11" x14ac:dyDescent="0.25">
      <c r="A299" s="28"/>
      <c r="B299" s="28"/>
      <c r="C299" s="28"/>
      <c r="D299" s="28"/>
      <c r="E299" s="28"/>
      <c r="F299" s="28"/>
      <c r="G299" s="28"/>
      <c r="H299" s="28"/>
      <c r="I299" s="28"/>
      <c r="J299" s="28"/>
      <c r="K299" s="28"/>
    </row>
    <row r="300" spans="1:11" x14ac:dyDescent="0.25">
      <c r="A300" s="28"/>
      <c r="B300" s="28"/>
      <c r="C300" s="28"/>
      <c r="D300" s="28"/>
      <c r="E300" s="28"/>
      <c r="F300" s="28"/>
      <c r="G300" s="28"/>
      <c r="H300" s="28"/>
      <c r="I300" s="28"/>
      <c r="J300" s="28"/>
      <c r="K300" s="28"/>
    </row>
    <row r="301" spans="1:11" x14ac:dyDescent="0.25">
      <c r="A301" s="28"/>
      <c r="B301" s="28"/>
      <c r="C301" s="28"/>
      <c r="D301" s="28"/>
      <c r="E301" s="28"/>
      <c r="F301" s="28"/>
      <c r="G301" s="28"/>
      <c r="H301" s="28"/>
      <c r="I301" s="28"/>
      <c r="J301" s="28"/>
      <c r="K301" s="28"/>
    </row>
    <row r="302" spans="1:11" x14ac:dyDescent="0.25">
      <c r="A302" s="28"/>
      <c r="B302" s="28"/>
      <c r="C302" s="28"/>
      <c r="D302" s="28"/>
      <c r="E302" s="28"/>
      <c r="F302" s="28"/>
      <c r="G302" s="28"/>
      <c r="H302" s="28"/>
      <c r="I302" s="28"/>
      <c r="J302" s="28"/>
      <c r="K302" s="28"/>
    </row>
    <row r="303" spans="1:11" x14ac:dyDescent="0.25">
      <c r="A303" s="28"/>
      <c r="B303" s="28"/>
      <c r="C303" s="28"/>
      <c r="D303" s="28"/>
      <c r="E303" s="28"/>
      <c r="F303" s="28"/>
      <c r="G303" s="28"/>
      <c r="H303" s="28"/>
      <c r="I303" s="28"/>
      <c r="J303" s="28"/>
      <c r="K303" s="28"/>
    </row>
    <row r="304" spans="1:11" x14ac:dyDescent="0.25">
      <c r="A304" s="28"/>
      <c r="B304" s="28"/>
      <c r="C304" s="28"/>
      <c r="D304" s="28"/>
      <c r="E304" s="28"/>
      <c r="F304" s="28"/>
      <c r="G304" s="28"/>
      <c r="H304" s="28"/>
      <c r="I304" s="28"/>
      <c r="J304" s="28"/>
      <c r="K304" s="28"/>
    </row>
    <row r="305" spans="1:11" x14ac:dyDescent="0.25">
      <c r="A305" s="28"/>
      <c r="B305" s="28"/>
      <c r="C305" s="28"/>
      <c r="D305" s="28"/>
      <c r="E305" s="28"/>
      <c r="F305" s="28"/>
      <c r="G305" s="28"/>
      <c r="H305" s="28"/>
      <c r="I305" s="28"/>
      <c r="J305" s="28"/>
      <c r="K305" s="28"/>
    </row>
    <row r="306" spans="1:11" x14ac:dyDescent="0.25">
      <c r="A306" s="28"/>
      <c r="B306" s="28"/>
      <c r="C306" s="28"/>
      <c r="D306" s="28"/>
      <c r="E306" s="28"/>
      <c r="F306" s="28"/>
      <c r="G306" s="28"/>
      <c r="H306" s="28"/>
      <c r="I306" s="28"/>
      <c r="J306" s="28"/>
      <c r="K306" s="28"/>
    </row>
    <row r="307" spans="1:11" x14ac:dyDescent="0.25">
      <c r="A307" s="28"/>
      <c r="B307" s="28"/>
      <c r="C307" s="28"/>
      <c r="D307" s="28"/>
      <c r="E307" s="28"/>
      <c r="F307" s="28"/>
      <c r="G307" s="28"/>
      <c r="H307" s="28"/>
      <c r="I307" s="28"/>
      <c r="J307" s="28"/>
      <c r="K307" s="28"/>
    </row>
    <row r="308" spans="1:11" x14ac:dyDescent="0.25">
      <c r="A308" s="28"/>
      <c r="B308" s="28"/>
      <c r="C308" s="28"/>
      <c r="D308" s="28"/>
      <c r="E308" s="28"/>
      <c r="F308" s="28"/>
      <c r="G308" s="28"/>
      <c r="H308" s="28"/>
      <c r="I308" s="28"/>
      <c r="J308" s="28"/>
      <c r="K308" s="28"/>
    </row>
    <row r="309" spans="1:11" x14ac:dyDescent="0.25">
      <c r="A309" s="28"/>
      <c r="B309" s="28"/>
      <c r="C309" s="28"/>
      <c r="D309" s="28"/>
      <c r="E309" s="28"/>
      <c r="F309" s="28"/>
      <c r="G309" s="28"/>
      <c r="H309" s="28"/>
      <c r="I309" s="28"/>
      <c r="J309" s="28"/>
      <c r="K309" s="28"/>
    </row>
    <row r="310" spans="1:11" x14ac:dyDescent="0.25">
      <c r="A310" s="28"/>
      <c r="B310" s="28"/>
      <c r="C310" s="28"/>
      <c r="D310" s="28"/>
      <c r="E310" s="28"/>
      <c r="F310" s="28"/>
      <c r="G310" s="28"/>
      <c r="H310" s="28"/>
      <c r="I310" s="28"/>
      <c r="J310" s="28"/>
      <c r="K310" s="28"/>
    </row>
    <row r="311" spans="1:11" x14ac:dyDescent="0.25">
      <c r="A311" s="28"/>
      <c r="B311" s="28"/>
      <c r="C311" s="28"/>
      <c r="D311" s="28"/>
      <c r="E311" s="28"/>
      <c r="F311" s="28"/>
      <c r="G311" s="28"/>
      <c r="H311" s="28"/>
      <c r="I311" s="28"/>
      <c r="J311" s="28"/>
      <c r="K311" s="28"/>
    </row>
    <row r="312" spans="1:11" x14ac:dyDescent="0.25">
      <c r="A312" s="28"/>
      <c r="B312" s="28"/>
      <c r="C312" s="28"/>
      <c r="D312" s="28"/>
      <c r="E312" s="28"/>
      <c r="F312" s="28"/>
      <c r="G312" s="28"/>
      <c r="H312" s="28"/>
      <c r="I312" s="28"/>
      <c r="J312" s="28"/>
      <c r="K312" s="28"/>
    </row>
    <row r="313" spans="1:11" x14ac:dyDescent="0.25">
      <c r="A313" s="28"/>
      <c r="B313" s="28"/>
      <c r="C313" s="28"/>
      <c r="D313" s="28"/>
      <c r="E313" s="28"/>
      <c r="F313" s="28"/>
      <c r="G313" s="28"/>
      <c r="H313" s="28"/>
      <c r="I313" s="28"/>
      <c r="J313" s="28"/>
      <c r="K313" s="28"/>
    </row>
    <row r="314" spans="1:11" x14ac:dyDescent="0.25">
      <c r="A314" s="28"/>
      <c r="B314" s="28"/>
      <c r="C314" s="28"/>
      <c r="D314" s="28"/>
      <c r="E314" s="28"/>
      <c r="F314" s="28"/>
      <c r="G314" s="28"/>
      <c r="H314" s="28"/>
      <c r="I314" s="28"/>
      <c r="J314" s="28"/>
      <c r="K314" s="28"/>
    </row>
    <row r="315" spans="1:11" x14ac:dyDescent="0.25">
      <c r="A315" s="28"/>
      <c r="B315" s="28"/>
      <c r="C315" s="28"/>
      <c r="D315" s="28"/>
      <c r="E315" s="28"/>
      <c r="F315" s="28"/>
      <c r="G315" s="28"/>
      <c r="H315" s="28"/>
      <c r="I315" s="28"/>
      <c r="J315" s="28"/>
      <c r="K315" s="28"/>
    </row>
    <row r="316" spans="1:11" x14ac:dyDescent="0.25">
      <c r="A316" s="28"/>
      <c r="B316" s="28"/>
      <c r="C316" s="28"/>
      <c r="D316" s="28"/>
      <c r="E316" s="28"/>
      <c r="F316" s="28"/>
      <c r="G316" s="28"/>
      <c r="H316" s="28"/>
      <c r="I316" s="28"/>
      <c r="J316" s="28"/>
      <c r="K316" s="28"/>
    </row>
    <row r="317" spans="1:11" x14ac:dyDescent="0.25">
      <c r="A317" s="28"/>
      <c r="B317" s="28"/>
      <c r="C317" s="28"/>
      <c r="D317" s="28"/>
      <c r="E317" s="28"/>
      <c r="F317" s="28"/>
      <c r="G317" s="28"/>
      <c r="H317" s="28"/>
      <c r="I317" s="28"/>
      <c r="J317" s="28"/>
      <c r="K317" s="28"/>
    </row>
    <row r="318" spans="1:11" x14ac:dyDescent="0.25">
      <c r="A318" s="28"/>
      <c r="B318" s="28"/>
      <c r="C318" s="28"/>
      <c r="D318" s="28"/>
      <c r="E318" s="28"/>
      <c r="F318" s="28"/>
      <c r="G318" s="28"/>
      <c r="H318" s="28"/>
      <c r="I318" s="28"/>
      <c r="J318" s="28"/>
      <c r="K318" s="28"/>
    </row>
  </sheetData>
  <mergeCells count="302">
    <mergeCell ref="D296:E296"/>
    <mergeCell ref="G296:K296"/>
    <mergeCell ref="D297:E297"/>
    <mergeCell ref="G297:I297"/>
    <mergeCell ref="C294:E294"/>
    <mergeCell ref="F294:G294"/>
    <mergeCell ref="H294:I294"/>
    <mergeCell ref="A295:B295"/>
    <mergeCell ref="C295:E295"/>
    <mergeCell ref="G295:K295"/>
    <mergeCell ref="C288:K288"/>
    <mergeCell ref="D289:E289"/>
    <mergeCell ref="G289:K289"/>
    <mergeCell ref="D290:E290"/>
    <mergeCell ref="G290:I290"/>
    <mergeCell ref="A293:K293"/>
    <mergeCell ref="C281:D281"/>
    <mergeCell ref="H281:I281"/>
    <mergeCell ref="B283:J283"/>
    <mergeCell ref="A286:K286"/>
    <mergeCell ref="C287:E287"/>
    <mergeCell ref="H287:I287"/>
    <mergeCell ref="C278:D278"/>
    <mergeCell ref="H278:I278"/>
    <mergeCell ref="C279:D279"/>
    <mergeCell ref="H279:I279"/>
    <mergeCell ref="C280:D280"/>
    <mergeCell ref="H280:I280"/>
    <mergeCell ref="C273:D273"/>
    <mergeCell ref="F273:G273"/>
    <mergeCell ref="I273:J273"/>
    <mergeCell ref="B275:D276"/>
    <mergeCell ref="G275:I276"/>
    <mergeCell ref="C277:D277"/>
    <mergeCell ref="H277:I277"/>
    <mergeCell ref="C271:D271"/>
    <mergeCell ref="F271:G271"/>
    <mergeCell ref="I271:J271"/>
    <mergeCell ref="C272:D272"/>
    <mergeCell ref="F272:G272"/>
    <mergeCell ref="I272:J272"/>
    <mergeCell ref="C269:D269"/>
    <mergeCell ref="F269:G269"/>
    <mergeCell ref="I269:J269"/>
    <mergeCell ref="C270:D270"/>
    <mergeCell ref="F270:G270"/>
    <mergeCell ref="I270:J270"/>
    <mergeCell ref="A263:K264"/>
    <mergeCell ref="B265:E265"/>
    <mergeCell ref="G265:H265"/>
    <mergeCell ref="B266:E266"/>
    <mergeCell ref="G266:H266"/>
    <mergeCell ref="A268:K268"/>
    <mergeCell ref="A235:B235"/>
    <mergeCell ref="C235:D235"/>
    <mergeCell ref="E235:F235"/>
    <mergeCell ref="G235:H235"/>
    <mergeCell ref="I235:K235"/>
    <mergeCell ref="A261:K261"/>
    <mergeCell ref="A233:B233"/>
    <mergeCell ref="C233:D233"/>
    <mergeCell ref="E233:F233"/>
    <mergeCell ref="G233:H233"/>
    <mergeCell ref="I233:K233"/>
    <mergeCell ref="A234:B234"/>
    <mergeCell ref="C234:D234"/>
    <mergeCell ref="E234:F234"/>
    <mergeCell ref="G234:H234"/>
    <mergeCell ref="I234:K234"/>
    <mergeCell ref="A231:B231"/>
    <mergeCell ref="C231:D231"/>
    <mergeCell ref="E231:F231"/>
    <mergeCell ref="G231:H231"/>
    <mergeCell ref="I231:K231"/>
    <mergeCell ref="A232:B232"/>
    <mergeCell ref="C232:D232"/>
    <mergeCell ref="E232:F232"/>
    <mergeCell ref="G232:H232"/>
    <mergeCell ref="I232:K232"/>
    <mergeCell ref="A229:B229"/>
    <mergeCell ref="C229:D229"/>
    <mergeCell ref="E229:F229"/>
    <mergeCell ref="G229:H229"/>
    <mergeCell ref="I229:K229"/>
    <mergeCell ref="A230:B230"/>
    <mergeCell ref="C230:D230"/>
    <mergeCell ref="E230:F230"/>
    <mergeCell ref="G230:H230"/>
    <mergeCell ref="I230:K230"/>
    <mergeCell ref="A227:B227"/>
    <mergeCell ref="C227:D227"/>
    <mergeCell ref="E227:F227"/>
    <mergeCell ref="G227:H227"/>
    <mergeCell ref="I227:K227"/>
    <mergeCell ref="A228:B228"/>
    <mergeCell ref="C228:D228"/>
    <mergeCell ref="E228:F228"/>
    <mergeCell ref="G228:H228"/>
    <mergeCell ref="I228:K228"/>
    <mergeCell ref="A220:K222"/>
    <mergeCell ref="A223:K223"/>
    <mergeCell ref="A226:B226"/>
    <mergeCell ref="C226:D226"/>
    <mergeCell ref="E226:F226"/>
    <mergeCell ref="G226:H226"/>
    <mergeCell ref="I226:K226"/>
    <mergeCell ref="A212:G215"/>
    <mergeCell ref="I212:I213"/>
    <mergeCell ref="J212:K213"/>
    <mergeCell ref="I214:K215"/>
    <mergeCell ref="A217:K217"/>
    <mergeCell ref="A218:B218"/>
    <mergeCell ref="B178:C178"/>
    <mergeCell ref="D178:E178"/>
    <mergeCell ref="F178:G178"/>
    <mergeCell ref="H178:I178"/>
    <mergeCell ref="J178:K178"/>
    <mergeCell ref="B179:C179"/>
    <mergeCell ref="D179:E179"/>
    <mergeCell ref="F179:G179"/>
    <mergeCell ref="H179:I179"/>
    <mergeCell ref="J179:K179"/>
    <mergeCell ref="B176:C176"/>
    <mergeCell ref="D176:E176"/>
    <mergeCell ref="F176:G176"/>
    <mergeCell ref="H176:I176"/>
    <mergeCell ref="J176:K176"/>
    <mergeCell ref="B177:C177"/>
    <mergeCell ref="D177:E177"/>
    <mergeCell ref="F177:G177"/>
    <mergeCell ref="H177:I177"/>
    <mergeCell ref="J177:K177"/>
    <mergeCell ref="B174:C174"/>
    <mergeCell ref="D174:E174"/>
    <mergeCell ref="F174:G174"/>
    <mergeCell ref="H174:I174"/>
    <mergeCell ref="J174:K174"/>
    <mergeCell ref="B175:C175"/>
    <mergeCell ref="D175:E175"/>
    <mergeCell ref="F175:G175"/>
    <mergeCell ref="H175:I175"/>
    <mergeCell ref="J175:K175"/>
    <mergeCell ref="A165:K165"/>
    <mergeCell ref="A166:B166"/>
    <mergeCell ref="A168:K170"/>
    <mergeCell ref="A171:K171"/>
    <mergeCell ref="B173:C173"/>
    <mergeCell ref="D173:E173"/>
    <mergeCell ref="F173:G173"/>
    <mergeCell ref="H173:I173"/>
    <mergeCell ref="J173:K173"/>
    <mergeCell ref="B133:C133"/>
    <mergeCell ref="D133:E133"/>
    <mergeCell ref="F133:G133"/>
    <mergeCell ref="H133:I133"/>
    <mergeCell ref="J133:K133"/>
    <mergeCell ref="A160:G163"/>
    <mergeCell ref="I160:I161"/>
    <mergeCell ref="J160:K161"/>
    <mergeCell ref="I162:K163"/>
    <mergeCell ref="B131:C131"/>
    <mergeCell ref="D131:E131"/>
    <mergeCell ref="F131:G131"/>
    <mergeCell ref="H131:I131"/>
    <mergeCell ref="J131:K131"/>
    <mergeCell ref="B132:C132"/>
    <mergeCell ref="D132:E132"/>
    <mergeCell ref="F132:G132"/>
    <mergeCell ref="H132:I132"/>
    <mergeCell ref="J132:K132"/>
    <mergeCell ref="B129:C129"/>
    <mergeCell ref="D129:E129"/>
    <mergeCell ref="F129:G129"/>
    <mergeCell ref="H129:I129"/>
    <mergeCell ref="J129:K129"/>
    <mergeCell ref="B130:C130"/>
    <mergeCell ref="D130:E130"/>
    <mergeCell ref="F130:G130"/>
    <mergeCell ref="H130:I130"/>
    <mergeCell ref="J130:K130"/>
    <mergeCell ref="B127:C127"/>
    <mergeCell ref="D127:E127"/>
    <mergeCell ref="F127:G127"/>
    <mergeCell ref="H127:I127"/>
    <mergeCell ref="J127:K127"/>
    <mergeCell ref="B128:C128"/>
    <mergeCell ref="D128:E128"/>
    <mergeCell ref="F128:G128"/>
    <mergeCell ref="H128:I128"/>
    <mergeCell ref="J128:K128"/>
    <mergeCell ref="B125:C125"/>
    <mergeCell ref="D125:E125"/>
    <mergeCell ref="F125:G125"/>
    <mergeCell ref="H125:I125"/>
    <mergeCell ref="J125:K125"/>
    <mergeCell ref="B126:C126"/>
    <mergeCell ref="D126:E126"/>
    <mergeCell ref="F126:G126"/>
    <mergeCell ref="H126:I126"/>
    <mergeCell ref="J126:K126"/>
    <mergeCell ref="A115:K115"/>
    <mergeCell ref="A116:B116"/>
    <mergeCell ref="A118:K120"/>
    <mergeCell ref="A121:K121"/>
    <mergeCell ref="A122:K122"/>
    <mergeCell ref="B124:C124"/>
    <mergeCell ref="D124:E124"/>
    <mergeCell ref="F124:G124"/>
    <mergeCell ref="H124:I124"/>
    <mergeCell ref="J124:K124"/>
    <mergeCell ref="B83:C83"/>
    <mergeCell ref="D83:E83"/>
    <mergeCell ref="F83:G83"/>
    <mergeCell ref="H83:I83"/>
    <mergeCell ref="J83:K83"/>
    <mergeCell ref="A109:G112"/>
    <mergeCell ref="I109:I110"/>
    <mergeCell ref="J109:K110"/>
    <mergeCell ref="I111:K112"/>
    <mergeCell ref="B81:C81"/>
    <mergeCell ref="D81:E81"/>
    <mergeCell ref="F81:G81"/>
    <mergeCell ref="H81:I81"/>
    <mergeCell ref="J81:K81"/>
    <mergeCell ref="B82:C82"/>
    <mergeCell ref="D82:E82"/>
    <mergeCell ref="F82:G82"/>
    <mergeCell ref="H82:I82"/>
    <mergeCell ref="J82:K82"/>
    <mergeCell ref="B79:C79"/>
    <mergeCell ref="D79:E79"/>
    <mergeCell ref="F79:G79"/>
    <mergeCell ref="H79:I79"/>
    <mergeCell ref="J79:K79"/>
    <mergeCell ref="B80:C80"/>
    <mergeCell ref="D80:E80"/>
    <mergeCell ref="F80:G80"/>
    <mergeCell ref="H80:I80"/>
    <mergeCell ref="J80:K80"/>
    <mergeCell ref="B77:C77"/>
    <mergeCell ref="D77:E77"/>
    <mergeCell ref="F77:G77"/>
    <mergeCell ref="H77:I77"/>
    <mergeCell ref="J77:K77"/>
    <mergeCell ref="B78:C78"/>
    <mergeCell ref="D78:E78"/>
    <mergeCell ref="F78:G78"/>
    <mergeCell ref="H78:I78"/>
    <mergeCell ref="J78:K78"/>
    <mergeCell ref="B75:C75"/>
    <mergeCell ref="D75:E75"/>
    <mergeCell ref="F75:G75"/>
    <mergeCell ref="H75:I75"/>
    <mergeCell ref="J75:K75"/>
    <mergeCell ref="B76:C76"/>
    <mergeCell ref="D76:E76"/>
    <mergeCell ref="F76:G76"/>
    <mergeCell ref="H76:I76"/>
    <mergeCell ref="J76:K76"/>
    <mergeCell ref="A65:K65"/>
    <mergeCell ref="A66:B66"/>
    <mergeCell ref="A68:K70"/>
    <mergeCell ref="A71:K71"/>
    <mergeCell ref="A72:K72"/>
    <mergeCell ref="B74:C74"/>
    <mergeCell ref="D74:E74"/>
    <mergeCell ref="F74:G74"/>
    <mergeCell ref="H74:I74"/>
    <mergeCell ref="J74:K74"/>
    <mergeCell ref="A47:K47"/>
    <mergeCell ref="A49:K51"/>
    <mergeCell ref="A54:K54"/>
    <mergeCell ref="A55:K55"/>
    <mergeCell ref="A56:K56"/>
    <mergeCell ref="A60:G63"/>
    <mergeCell ref="I60:I61"/>
    <mergeCell ref="J60:K61"/>
    <mergeCell ref="I62:K63"/>
    <mergeCell ref="A36:B36"/>
    <mergeCell ref="A37:B37"/>
    <mergeCell ref="A38:B38"/>
    <mergeCell ref="D38:E38"/>
    <mergeCell ref="A42:B42"/>
    <mergeCell ref="A45:K45"/>
    <mergeCell ref="A31:B31"/>
    <mergeCell ref="A32:B32"/>
    <mergeCell ref="A33:B33"/>
    <mergeCell ref="A34:B34"/>
    <mergeCell ref="D34:E34"/>
    <mergeCell ref="A35:B35"/>
    <mergeCell ref="A25:B25"/>
    <mergeCell ref="A26:B26"/>
    <mergeCell ref="A27:B27"/>
    <mergeCell ref="A28:B28"/>
    <mergeCell ref="A29:B29"/>
    <mergeCell ref="A30:B30"/>
    <mergeCell ref="A1:K2"/>
    <mergeCell ref="A6:B7"/>
    <mergeCell ref="C6:E6"/>
    <mergeCell ref="G6:I6"/>
    <mergeCell ref="A16:K16"/>
    <mergeCell ref="A24:B24"/>
  </mergeCells>
  <conditionalFormatting sqref="H76:I83">
    <cfRule type="cellIs" dxfId="0" priority="1" operator="lessThan">
      <formula>100</formula>
    </cfRule>
  </conditionalFormatting>
  <dataValidations count="1">
    <dataValidation type="list" allowBlank="1" showInputMessage="1" showErrorMessage="1" sqref="J290" xr:uid="{2CEE3BF6-C168-4CF3-92FE-30F42A914AFD}">
      <formula1>$J$24:$J$25</formula1>
    </dataValidation>
  </dataValidations>
  <pageMargins left="0.59055118110236227" right="0.39370078740157483" top="0.23622047244094491" bottom="0.23622047244094491" header="0.31496062992125984" footer="0.31496062992125984"/>
  <pageSetup paperSize="9" orientation="portrait" r:id="rId1"/>
  <rowBreaks count="5" manualBreakCount="5">
    <brk id="59" max="16383" man="1"/>
    <brk id="108" max="16383" man="1"/>
    <brk id="159" max="16383" man="1"/>
    <brk id="211" max="16383" man="1"/>
    <brk id="262" max="16383" man="1"/>
  </rowBreaks>
  <drawing r:id="rId2"/>
  <legacyDrawing r:id="rId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20</vt:i4>
      </vt:variant>
      <vt:variant>
        <vt:lpstr>Named Ranges</vt:lpstr>
      </vt:variant>
      <vt:variant>
        <vt:i4>2</vt:i4>
      </vt:variant>
    </vt:vector>
  </HeadingPairs>
  <TitlesOfParts>
    <vt:vector size="22" baseType="lpstr">
      <vt:lpstr>Front Page</vt:lpstr>
      <vt:lpstr>Checks</vt:lpstr>
      <vt:lpstr>3 Ph</vt:lpstr>
      <vt:lpstr>3 Ph Tx</vt:lpstr>
      <vt:lpstr>3 Ph AFX</vt:lpstr>
      <vt:lpstr>2 Ph</vt:lpstr>
      <vt:lpstr>2 Ph Tx</vt:lpstr>
      <vt:lpstr>115ASX</vt:lpstr>
      <vt:lpstr>115ASXT</vt:lpstr>
      <vt:lpstr>Test Equ</vt:lpstr>
      <vt:lpstr>3Ph data</vt:lpstr>
      <vt:lpstr>3PhT data</vt:lpstr>
      <vt:lpstr>AFX</vt:lpstr>
      <vt:lpstr>2Ph data</vt:lpstr>
      <vt:lpstr>2PhT data</vt:lpstr>
      <vt:lpstr>1Ph data</vt:lpstr>
      <vt:lpstr>1PhT data</vt:lpstr>
      <vt:lpstr>Other data do not use</vt:lpstr>
      <vt:lpstr>Limits</vt:lpstr>
      <vt:lpstr>All types</vt:lpstr>
      <vt:lpstr>Checks!Print_Area</vt:lpstr>
      <vt:lpstr>'Front Page'!Print_Area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krzysztof.gawlik</dc:creator>
  <cp:lastModifiedBy>ATE Test</cp:lastModifiedBy>
  <cp:lastPrinted>2021-01-14T11:06:06Z</cp:lastPrinted>
  <dcterms:created xsi:type="dcterms:W3CDTF">2020-12-10T09:28:11Z</dcterms:created>
  <dcterms:modified xsi:type="dcterms:W3CDTF">2021-09-13T19:16:29Z</dcterms:modified>
</cp:coreProperties>
</file>