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omments1.xml" ContentType="application/vnd.openxmlformats-officedocument.spreadsheetml.comments+xml"/>
  <Override PartName="/xl/customProperty11.bin" ContentType="application/vnd.openxmlformats-officedocument.spreadsheetml.customProperty"/>
  <Override PartName="/xl/comments2.xml" ContentType="application/vnd.openxmlformats-officedocument.spreadsheetml.comments+xml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bobby\Downloads\"/>
    </mc:Choice>
  </mc:AlternateContent>
  <xr:revisionPtr revIDLastSave="0" documentId="8_{643EA000-295C-4401-AB27-F0C974065C46}" xr6:coauthVersionLast="47" xr6:coauthVersionMax="47" xr10:uidLastSave="{00000000-0000-0000-0000-000000000000}"/>
  <bookViews>
    <workbookView xWindow="-110" yWindow="-110" windowWidth="22780" windowHeight="14660" tabRatio="870" activeTab="4" xr2:uid="{00000000-000D-0000-FFFF-FFFF00000000}"/>
  </bookViews>
  <sheets>
    <sheet name="Summary" sheetId="2959" r:id="rId1"/>
    <sheet name="FC" sheetId="1" r:id="rId2"/>
    <sheet name="Chart" sheetId="2965" state="hidden" r:id="rId3"/>
    <sheet name="Data Input=&gt;" sheetId="2963" r:id="rId4"/>
    <sheet name="Audited Balance Sheet Input" sheetId="2962" r:id="rId5"/>
    <sheet name="Budget P&amp;L Input" sheetId="2933" r:id="rId6"/>
    <sheet name="Audited FS" sheetId="2954" r:id="rId7"/>
    <sheet name="Workpapers=&gt;" sheetId="2966" r:id="rId8"/>
    <sheet name="1007" sheetId="2948" r:id="rId9"/>
    <sheet name="1008" sheetId="2949" r:id="rId10"/>
    <sheet name="2005-2" sheetId="2964" r:id="rId11"/>
    <sheet name="2503" sheetId="2941" r:id="rId12"/>
    <sheet name="4001" sheetId="2930" r:id="rId13"/>
    <sheet name="4002" sheetId="2950" r:id="rId14"/>
  </sheets>
  <definedNames>
    <definedName name="_Key1" localSheetId="5" hidden="1">#REF!</definedName>
    <definedName name="_Key1" localSheetId="0" hidden="1">#REF!</definedName>
    <definedName name="_Key1" hidden="1">#REF!</definedName>
    <definedName name="_Key2" localSheetId="5" hidden="1">#REF!</definedName>
    <definedName name="_Key2" hidden="1">#REF!</definedName>
    <definedName name="_Key3" localSheetId="5" hidden="1">#REF!</definedName>
    <definedName name="_Key3" hidden="1">#REF!</definedName>
    <definedName name="_Order1" hidden="1">255</definedName>
    <definedName name="_Sort" localSheetId="5" hidden="1">#REF!</definedName>
    <definedName name="_Sort" hidden="1">#REF!</definedName>
    <definedName name="AfterRetirement" localSheetId="10">#REF!&gt;=DesiredRetirementAge</definedName>
    <definedName name="AfterRetirement">#REF!&gt;=DesiredRetirementAge</definedName>
    <definedName name="Age" localSheetId="10">IF(PlanYear&lt;='2005-2'!PlanYears,PlanYear-1+YourCurrentAge,NA())</definedName>
    <definedName name="Age">IF(PlanYear&lt;=PlanYears,PlanYear-1+YourCurrentAge,NA())</definedName>
    <definedName name="AnnualPenionsBenefitsAtRetirement">#REF!</definedName>
    <definedName name="AnnualPensionBenefitAfterRetirementIncreasesPercentage">#REF!</definedName>
    <definedName name="AnnualPensionBenefitAmountUncertaintyPercentage">#REF!</definedName>
    <definedName name="AnnualPensionCenefitIncreasesUncertaintyPercentage">#REF!</definedName>
    <definedName name="AnnualSavingsAmountUncertaintyPercentage">#REF!</definedName>
    <definedName name="AnnualSavingsIncreasesUncertaintyPercentage">#REF!</definedName>
    <definedName name="Balance" localSheetId="10">IF(PlanYear&lt;='2005-2'!PlanYears,#REF!,NA())</definedName>
    <definedName name="Balance">IF(PlanYear&lt;=PlanYears,#REF!,NA())</definedName>
    <definedName name="Balance_Over" localSheetId="10">IF(PlanYear&lt;='2005-2'!PlanYears,#REF!,NA())</definedName>
    <definedName name="Balance_Over">IF(PlanYear&lt;=PlanYears,#REF!,NA())</definedName>
    <definedName name="Balance_Under" localSheetId="10">IF(PlanYear&lt;='2005-2'!PlanYears,#REF!,NA())</definedName>
    <definedName name="Balance_Under">IF(PlanYear&lt;=PlanYears,#REF!,NA())</definedName>
    <definedName name="BeforeRetirement" localSheetId="10">#REF!&lt;DesiredRetirementAge</definedName>
    <definedName name="BeforeRetirement">#REF!&lt;DesiredRetirementAge</definedName>
    <definedName name="Beginning_Balance" localSheetId="10">-FV(Interest_Rate/12,'2005-2'!Payment_Number-1,-'2005-2'!Monthly_Payment,Loan_Amount)</definedName>
    <definedName name="Beginning_Balance">-FV(Interest_Rate/12,Payment_Number-1,-Monthly_Payment,Loan_Amount)</definedName>
    <definedName name="CurrentAnnualIncome">#REF!</definedName>
    <definedName name="CurrentAnnualIncomeIncreasesPercentage">#REF!</definedName>
    <definedName name="CurrentAnnualSavingsAmount">#REF!</definedName>
    <definedName name="CurrentAnnualSavingsAmount_Over" localSheetId="10">CurrentAnnualSavingsAmount+CurrentAnnualSavingsAmount*AnnualSavingsAmountUncertaintyPercentage/2</definedName>
    <definedName name="CurrentAnnualSavingsAmount_Over">CurrentAnnualSavingsAmount+CurrentAnnualSavingsAmount*AnnualSavingsAmountUncertaintyPercentage/2</definedName>
    <definedName name="CurrentAnnualSavingsAmount_Under" localSheetId="10">CurrentAnnualSavingsAmount-CurrentAnnualSavingsAmount*AnnualSavingsAmountUncertaintyPercentage/2</definedName>
    <definedName name="CurrentAnnualSavingsAmount_Under">CurrentAnnualSavingsAmount-CurrentAnnualSavingsAmount*AnnualSavingsAmountUncertaintyPercentage/2</definedName>
    <definedName name="CurrentAnnualSavingsIncreasesPercentage">#REF!</definedName>
    <definedName name="CurrentRetirementSavingsBalance">#REF!</definedName>
    <definedName name="DesiredRetirementAge">#REF!</definedName>
    <definedName name="DesiredRetirementIncome" localSheetId="10">IF(PlanYear&lt;='2005-2'!PlanYears,'2005-2'!AfterRetirement*IncomeReplacementAtRetirementPercentage*CurrentAnnualIncome*(1+CurrentAnnualIncomeIncreasesPercentage)^(#REF!-#REF!),NA())</definedName>
    <definedName name="DesiredRetirementIncome">IF(PlanYear&lt;=PlanYears,AfterRetirement*IncomeReplacementAtRetirementPercentage*CurrentAnnualIncome*(1+CurrentAnnualIncomeIncreasesPercentage)^(#REF!-#REF!),NA())</definedName>
    <definedName name="DynamicPrintArea" localSheetId="10">OFFSET(#REF!,,,'2005-2'!PlanYears+35)</definedName>
    <definedName name="DynamicPrintArea">OFFSET(#REF!,,,PlanYears+35)</definedName>
    <definedName name="EndBalance" localSheetId="10">IF(PlanYear&lt;='2005-2'!PlanYears,#REF!+#REF!+#REF!-#REF!+#REF!,NA())</definedName>
    <definedName name="EndBalance">IF(PlanYear&lt;=PlanYears,#REF!+#REF!+#REF!-#REF!+#REF!,NA())</definedName>
    <definedName name="Ending_Balance" localSheetId="10">-FV(Interest_Rate/12,'2005-2'!Payment_Number,-'2005-2'!Monthly_Payment,Loan_Amount)</definedName>
    <definedName name="Ending_Balance">-FV(Interest_Rate/12,Payment_Number,-Monthly_Payment,Loan_Amount)</definedName>
    <definedName name="FA_Template" localSheetId="10">#REF!</definedName>
    <definedName name="FA_Template">#REF!</definedName>
    <definedName name="FileLocations" localSheetId="0">Summary!#REF!</definedName>
    <definedName name="FileLocations">#REF!</definedName>
    <definedName name="Header_Row">ROW(#REF!)</definedName>
    <definedName name="Header_Row_Back">ROW(#REF!)</definedName>
    <definedName name="IncomeReplacementAtRetirementPercentage">#REF!</definedName>
    <definedName name="Interest" localSheetId="10">-IPMT(Interest_Rate/12,'2005-2'!Payment_Number,Number_of_Payments,Loan_Amount)</definedName>
    <definedName name="Interest">-IPMT(Interest_Rate/12,Payment_Number,Number_of_Payments,Loan_Amount)</definedName>
    <definedName name="Interest_Over" localSheetId="10">IF(PlanYear&lt;='2005-2'!PlanYears,(#REF!*'2005-2'!BeforeRetirement*(InvestmentReturnPreRetirementPercentage+InvestmentReturnUncertaintyPercentage/2))+(#REF!*'2005-2'!AfterRetirement*(InvestmentReturnPostRetirementPercentage+InvestmentReturnUncertaintyPercentage/2)),NA())</definedName>
    <definedName name="Interest_Over">IF(PlanYear&lt;=PlanYears,(#REF!*BeforeRetirement*(InvestmentReturnPreRetirementPercentage+InvestmentReturnUncertaintyPercentage/2))+(#REF!*AfterRetirement*(InvestmentReturnPostRetirementPercentage+InvestmentReturnUncertaintyPercentage/2)),NA())</definedName>
    <definedName name="Interest_Rate">#REF!</definedName>
    <definedName name="Interest_Under" localSheetId="10">IF(PlanYear&lt;='2005-2'!PlanYears,(#REF!*'2005-2'!BeforeRetirement*(InvestmentReturnPreRetirementPercentage-InvestmentReturnUncertaintyPercentage/2))+(#REF!*'2005-2'!AfterRetirement*(InvestmentReturnPostRetirementPercentage-InvestmentReturnUncertaintyPercentage/2)),NA())</definedName>
    <definedName name="Interest_Under">IF(PlanYear&lt;=PlanYears,(#REF!*BeforeRetirement*(InvestmentReturnPreRetirementPercentage-InvestmentReturnUncertaintyPercentage/2))+(#REF!*AfterRetirement*(InvestmentReturnPostRetirementPercentage-InvestmentReturnUncertaintyPercentage/2)),NA())</definedName>
    <definedName name="Interest1" localSheetId="10">IF(PlanYear&lt;='2005-2'!PlanYears,(#REF!*'2005-2'!BeforeRetirement*InvestmentReturnPreRetirementPercentage)+(#REF!*'2005-2'!AfterRetirement*InvestmentReturnPostRetirementPercentage),NA())</definedName>
    <definedName name="Interest1">IF(PlanYear&lt;=PlanYears,(#REF!*BeforeRetirement*InvestmentReturnPreRetirementPercentage)+(#REF!*AfterRetirement*InvestmentReturnPostRetirementPercentage),NA())</definedName>
    <definedName name="InvestmentReturnPostRetirementPercentage">#REF!</definedName>
    <definedName name="InvestmentReturnPreRetirementPercentage">#REF!</definedName>
    <definedName name="InvestmentReturnUncertaintyPercentage">#REF!</definedName>
    <definedName name="Last_Row" localSheetId="10">IF('2005-2'!Values_Entered,Header_Row+Number_of_Payments,Header_Row)</definedName>
    <definedName name="Last_Row">IF(Values_Entered,Header_Row+Number_of_Payments,Header_Row)</definedName>
    <definedName name="LastRow">COUNTIF(#REF!,"&gt;1")+35</definedName>
    <definedName name="Loan_Amount">#REF!</definedName>
    <definedName name="Loan_Not_Paid" localSheetId="10">IF('2005-2'!Payment_Number&lt;=Number_of_Payments,1,0)</definedName>
    <definedName name="Loan_Not_Paid">IF(Payment_Number&lt;=Number_of_Payments,1,0)</definedName>
    <definedName name="Loan_Start">#REF!</definedName>
    <definedName name="Loan_Years">#REF!</definedName>
    <definedName name="ModelLocation" localSheetId="0">Summary!#REF!</definedName>
    <definedName name="ModelLocation">#REF!</definedName>
    <definedName name="Monthly_Payment" localSheetId="10">-PMT(Interest_Rate/12,Number_of_Payments,Loan_Amount)</definedName>
    <definedName name="Monthly_Payment">-PMT(Interest_Rate/12,Number_of_Payments,Loan_Amount)</definedName>
    <definedName name="Number_of_Payments">#REF!</definedName>
    <definedName name="Payment_Date" localSheetId="10">DATE(YEAR(Loan_Start),MONTH(Loan_Start)+'2005-2'!Payment_Number,DAY(Loan_Start))</definedName>
    <definedName name="Payment_Date">DATE(YEAR(Loan_Start),MONTH(Loan_Start)+Payment_Number,DAY(Loan_Start))</definedName>
    <definedName name="Payment_Number" localSheetId="10">ROW()-Header_Row</definedName>
    <definedName name="Payment_Number">ROW()-Header_Row</definedName>
    <definedName name="PensionIncome" localSheetId="10">IF(PlanYear&lt;='2005-2'!PlanYears,'2005-2'!AfterRetirement*'2005-2'!PensionIncomeInflated,NA())</definedName>
    <definedName name="PensionIncome">IF(PlanYear&lt;=PlanYears,AfterRetirement*PensionIncomeInflated,NA())</definedName>
    <definedName name="PensionIncome_Over" localSheetId="10">IF(PlanYear&lt;='2005-2'!PlanYears,'2005-2'!AfterRetirement*'2005-2'!PensionIncomeInflated_Over,NA())</definedName>
    <definedName name="PensionIncome_Over">IF(PlanYear&lt;=PlanYears,AfterRetirement*PensionIncomeInflated_Over,NA())</definedName>
    <definedName name="PensionIncome_Under" localSheetId="10">IF(PlanYear&lt;='2005-2'!PlanYears,'2005-2'!AfterRetirement*'2005-2'!PensionIncomeInflated_Under,NA())</definedName>
    <definedName name="PensionIncome_Under">IF(PlanYear&lt;=PlanYears,AfterRetirement*PensionIncomeInflated_Under,NA())</definedName>
    <definedName name="PensionIncomeInflated" localSheetId="10">AnnualPenionsBenefitsAtRetirement*(1+AnnualPensionBenefitAfterRetirementIncreasesPercentage)^(#REF!-DesiredRetirementAge)</definedName>
    <definedName name="PensionIncomeInflated">AnnualPenionsBenefitsAtRetirement*(1+AnnualPensionBenefitAfterRetirementIncreasesPercentage)^(#REF!-DesiredRetirementAge)</definedName>
    <definedName name="PensionIncomeInflated_Over" localSheetId="10">(AnnualPenionsBenefitsAtRetirement+AnnualPenionsBenefitsAtRetirement*AnnualPensionBenefitAmountUncertaintyPercentage/2)*(1+AnnualPensionBenefitAfterRetirementIncreasesPercentage+AnnualPensionCenefitIncreasesUncertaintyPercentage/2)^(#REF!-DesiredRetirementAge)</definedName>
    <definedName name="PensionIncomeInflated_Over">(AnnualPenionsBenefitsAtRetirement+AnnualPenionsBenefitsAtRetirement*AnnualPensionBenefitAmountUncertaintyPercentage/2)*(1+AnnualPensionBenefitAfterRetirementIncreasesPercentage+AnnualPensionCenefitIncreasesUncertaintyPercentage/2)^(#REF!-DesiredRetirementAge)</definedName>
    <definedName name="PensionIncomeInflated_Under" localSheetId="10">(AnnualPenionsBenefitsAtRetirement-AnnualPenionsBenefitsAtRetirement*AnnualPensionBenefitAmountUncertaintyPercentage/2)*(1+AnnualPensionBenefitAfterRetirementIncreasesPercentage-AnnualPensionCenefitIncreasesUncertaintyPercentage/2)^(#REF!-DesiredRetirementAge)</definedName>
    <definedName name="PensionIncomeInflated_Under">(AnnualPenionsBenefitsAtRetirement-AnnualPenionsBenefitsAtRetirement*AnnualPensionBenefitAmountUncertaintyPercentage/2)*(1+AnnualPensionBenefitAfterRetirementIncreasesPercentage-AnnualPensionCenefitIncreasesUncertaintyPercentage/2)^(#REF!-DesiredRetirementAge)</definedName>
    <definedName name="PlanYear">ROWS(#REF!)</definedName>
    <definedName name="PlanYears" localSheetId="10">YearsOfRetirementIncome+(DesiredRetirementAge-YourCurrentAge)</definedName>
    <definedName name="PlanYears">YearsOfRetirementIncome+(DesiredRetirementAge-YourCurrentAge)</definedName>
    <definedName name="Principal" localSheetId="10">-PPMT(Interest_Rate/12,'2005-2'!Payment_Number,Number_of_Payments,Loan_Amount)</definedName>
    <definedName name="Principal">-PPMT(Interest_Rate/12,Payment_Number,Number_of_Payments,Loan_Amount)</definedName>
    <definedName name="Print_Area_Reset" localSheetId="10">OFFSET(#REF!,0,0,LastRow)</definedName>
    <definedName name="Print_Area_Reset">OFFSET(#REF!,0,0,LastRow)</definedName>
    <definedName name="ResultsDisplay_Failure_1">#REF!</definedName>
    <definedName name="ResultsDisplay_Failure_2">#REF!</definedName>
    <definedName name="ResultsDisplay_Failure_3">#REF!</definedName>
    <definedName name="ResultsDisplay_Failure_4">#REF!</definedName>
    <definedName name="ResultsDisplay_Success_1">#REF!</definedName>
    <definedName name="ResultsDisplay_Success_2">#REF!</definedName>
    <definedName name="ResultsDisplay_Success_3">#REF!</definedName>
    <definedName name="ResultsDisplay_Success_4">#REF!</definedName>
    <definedName name="ResultsDisplay_Success_5">#REF!</definedName>
    <definedName name="Salary" localSheetId="10">IF(PlanYear&lt;='2005-2'!PlanYears,'2005-2'!BeforeRetirement*(#REF!+#REF!*CurrentAnnualIncomeIncreasesPercentage),NA())</definedName>
    <definedName name="Salary">IF(PlanYear&lt;=PlanYears,BeforeRetirement*(#REF!+#REF!*CurrentAnnualIncomeIncreasesPercentage),NA())</definedName>
    <definedName name="SavingsBalance_Disbursements" localSheetId="10">#REF!:INDEX(#REF!,'2005-2'!PlanYears)</definedName>
    <definedName name="SavingsBalance_Disbursements">#REF!:INDEX(#REF!,PlanYears)</definedName>
    <definedName name="SavingsBalance_RetiredPeriod" localSheetId="10">#REF!:INDEX(#REF!,'2005-2'!PlanYears)</definedName>
    <definedName name="SavingsBalance_RetiredPeriod">#REF!:INDEX(#REF!,PlanYears)</definedName>
    <definedName name="SavingsBalance_WorkingPeriod" localSheetId="10">#REF!:INDEX(#REF!,'2005-2'!PlanYears)</definedName>
    <definedName name="SavingsBalance_WorkingPeriod">#REF!:INDEX(#REF!,PlanYears)</definedName>
    <definedName name="solver_adj" localSheetId="0" hidden="1">Summary!#REF!</definedName>
    <definedName name="solver_opt" localSheetId="0" hidden="1">Summary!#REF!</definedName>
    <definedName name="solver_typ" localSheetId="0" hidden="1">3</definedName>
    <definedName name="solver_val" localSheetId="0" hidden="1">0</definedName>
    <definedName name="Success">#REF!</definedName>
    <definedName name="Total_Cost">#REF!</definedName>
    <definedName name="UncertaintyCone_Over" localSheetId="10">#REF!:INDEX(#REF!,'2005-2'!PlanYears)</definedName>
    <definedName name="UncertaintyCone_Over">#REF!:INDEX(#REF!,PlanYears)</definedName>
    <definedName name="UncertaintyCone_Under" localSheetId="10">#REF!:INDEX(#REF!,'2005-2'!PlanYears)</definedName>
    <definedName name="UncertaintyCone_Under">#REF!:INDEX(#REF!,PlanYears)</definedName>
    <definedName name="Values_Entered" localSheetId="10">IF(Loan_Amount*Interest_Rate*Loan_Years*Loan_Start&gt;0,1,0)</definedName>
    <definedName name="Values_Entered">IF(Loan_Amount*Interest_Rate*Loan_Years*Loan_Start&gt;0,1,0)</definedName>
    <definedName name="VAR_Template" localSheetId="10">#REF!</definedName>
    <definedName name="VAR_Template">#REF!</definedName>
    <definedName name="YearlySavings" localSheetId="10">IF(PlanYear&lt;='2005-2'!PlanYears,'2005-2'!BeforeRetirement*'2005-2'!YearlySavingsInflated,NA())</definedName>
    <definedName name="YearlySavings">IF(PlanYear&lt;=PlanYears,BeforeRetirement*YearlySavingsInflated,NA())</definedName>
    <definedName name="YearlySavings_Over" localSheetId="10">IF(PlanYear&lt;='2005-2'!PlanYears,'2005-2'!BeforeRetirement*'2005-2'!YearlySavingsInflated_Over,NA())</definedName>
    <definedName name="YearlySavings_Over">IF(PlanYear&lt;=PlanYears,BeforeRetirement*YearlySavingsInflated_Over,NA())</definedName>
    <definedName name="YearlySavings_Under" localSheetId="10">IF(PlanYear&lt;='2005-2'!PlanYears,'2005-2'!BeforeRetirement*'2005-2'!YearlySavingsInflated_Under,NA())</definedName>
    <definedName name="YearlySavings_Under">IF(PlanYear&lt;=PlanYears,BeforeRetirement*YearlySavingsInflated_Under,NA())</definedName>
    <definedName name="YearlySavingsInflated" localSheetId="10">#REF!+#REF!*CurrentAnnualSavingsIncreasesPercentage</definedName>
    <definedName name="YearlySavingsInflated">#REF!+#REF!*CurrentAnnualSavingsIncreasesPercentage</definedName>
    <definedName name="YearlySavingsInflated_Over" localSheetId="10">#REF!+#REF!*(CurrentAnnualSavingsIncreasesPercentage+AnnualSavingsIncreasesUncertaintyPercentage/2)</definedName>
    <definedName name="YearlySavingsInflated_Over">#REF!+#REF!*(CurrentAnnualSavingsIncreasesPercentage+AnnualSavingsIncreasesUncertaintyPercentage/2)</definedName>
    <definedName name="YearlySavingsInflated_Under" localSheetId="10">#REF!+#REF!*(CurrentAnnualSavingsIncreasesPercentage-AnnualSavingsIncreasesUncertaintyPercentage/2)</definedName>
    <definedName name="YearlySavingsInflated_Under">#REF!+#REF!*(CurrentAnnualSavingsIncreasesPercentage-AnnualSavingsIncreasesUncertaintyPercentage/2)</definedName>
    <definedName name="YearsOfRetirementIncome">#REF!</definedName>
    <definedName name="YourCurrentAge">#REF!</definedName>
  </definedNames>
  <calcPr calcId="191029"/>
  <customWorkbookViews>
    <customWorkbookView name="russell's view" guid="{0C8E75F0-104F-11D3-8830-006008AC4B3E}" maximized="1" windowWidth="1020" windowHeight="579" activeSheetId="2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9" i="2954" l="1"/>
  <c r="Q109" i="2954"/>
  <c r="P109" i="2954"/>
  <c r="P118" i="2954"/>
  <c r="R118" i="2954"/>
  <c r="Q118" i="2954"/>
  <c r="O118" i="1"/>
  <c r="P118" i="1"/>
  <c r="Q118" i="1"/>
  <c r="R118" i="1"/>
  <c r="X204" i="1"/>
  <c r="Y204" i="1" s="1"/>
  <c r="Z204" i="1" s="1"/>
  <c r="AA204" i="1" s="1"/>
  <c r="AB204" i="1" s="1"/>
  <c r="AC204" i="1" s="1"/>
  <c r="AD204" i="1" s="1"/>
  <c r="AE204" i="1" s="1"/>
  <c r="AF204" i="1" s="1"/>
  <c r="AG204" i="1" s="1"/>
  <c r="X224" i="1"/>
  <c r="Y224" i="1" s="1"/>
  <c r="W224" i="1"/>
  <c r="V224" i="1"/>
  <c r="W227" i="1"/>
  <c r="W225" i="1"/>
  <c r="W226" i="1"/>
  <c r="U226" i="1"/>
  <c r="V226" i="1"/>
  <c r="W219" i="1"/>
  <c r="U219" i="1"/>
  <c r="V219" i="1"/>
  <c r="X219" i="1"/>
  <c r="X218" i="1"/>
  <c r="T217" i="1"/>
  <c r="W204" i="1"/>
  <c r="V204" i="1"/>
  <c r="U204" i="1"/>
  <c r="T204" i="1"/>
  <c r="R108" i="2954"/>
  <c r="R117" i="2954"/>
  <c r="Z224" i="1" l="1"/>
  <c r="Y219" i="1"/>
  <c r="Z219" i="1"/>
  <c r="AA219" i="1" s="1"/>
  <c r="Z69" i="1" l="1"/>
  <c r="AQ54" i="2949"/>
  <c r="AP54" i="2949"/>
  <c r="AE54" i="2949"/>
  <c r="AD54" i="2949"/>
  <c r="M54" i="2949"/>
  <c r="L54" i="2949"/>
  <c r="AQ52" i="2949"/>
  <c r="AP52" i="2949"/>
  <c r="AE52" i="2949"/>
  <c r="AD52" i="2949"/>
  <c r="AC52" i="2949"/>
  <c r="AC54" i="2949" s="1"/>
  <c r="Q52" i="2949"/>
  <c r="M52" i="2949"/>
  <c r="L52" i="2949"/>
  <c r="N51" i="2949"/>
  <c r="P51" i="2949" s="1"/>
  <c r="T51" i="2949" s="1"/>
  <c r="BC49" i="2949"/>
  <c r="BC52" i="2949" s="1"/>
  <c r="BB49" i="2949"/>
  <c r="BB52" i="2949" s="1"/>
  <c r="BA49" i="2949"/>
  <c r="BA52" i="2949" s="1"/>
  <c r="AW49" i="2949"/>
  <c r="AW52" i="2949" s="1"/>
  <c r="AW54" i="2949" s="1"/>
  <c r="AV49" i="2949"/>
  <c r="AV52" i="2949" s="1"/>
  <c r="AV54" i="2949" s="1"/>
  <c r="AU49" i="2949"/>
  <c r="AU52" i="2949" s="1"/>
  <c r="AT49" i="2949"/>
  <c r="AQ49" i="2949"/>
  <c r="AP49" i="2949"/>
  <c r="AO49" i="2949"/>
  <c r="AO52" i="2949" s="1"/>
  <c r="AK49" i="2949"/>
  <c r="AK52" i="2949" s="1"/>
  <c r="AJ49" i="2949"/>
  <c r="AJ52" i="2949" s="1"/>
  <c r="AI49" i="2949"/>
  <c r="AI52" i="2949" s="1"/>
  <c r="AI54" i="2949" s="1"/>
  <c r="AE49" i="2949"/>
  <c r="AD49" i="2949"/>
  <c r="AC49" i="2949"/>
  <c r="Y49" i="2949"/>
  <c r="Y52" i="2949" s="1"/>
  <c r="X49" i="2949"/>
  <c r="X52" i="2949" s="1"/>
  <c r="W49" i="2949"/>
  <c r="W52" i="2949" s="1"/>
  <c r="S49" i="2949"/>
  <c r="S52" i="2949" s="1"/>
  <c r="S54" i="2949" s="1"/>
  <c r="R49" i="2949"/>
  <c r="R52" i="2949" s="1"/>
  <c r="Q49" i="2949"/>
  <c r="M49" i="2949"/>
  <c r="L49" i="2949"/>
  <c r="K49" i="2949"/>
  <c r="K52" i="2949" s="1"/>
  <c r="J49" i="2949"/>
  <c r="J52" i="2949" s="1"/>
  <c r="BN48" i="2949"/>
  <c r="AE67" i="1" s="1"/>
  <c r="BM48" i="2949"/>
  <c r="AD67" i="1" s="1"/>
  <c r="BL48" i="2949"/>
  <c r="AC67" i="1" s="1"/>
  <c r="AX48" i="2949"/>
  <c r="BP48" i="2949" s="1"/>
  <c r="AG67" i="1" s="1"/>
  <c r="AX47" i="2949"/>
  <c r="N47" i="2949"/>
  <c r="BP46" i="2949"/>
  <c r="AG65" i="1" s="1"/>
  <c r="BO46" i="2949"/>
  <c r="AF65" i="1" s="1"/>
  <c r="BN46" i="2949"/>
  <c r="AX46" i="2949"/>
  <c r="N46" i="2949"/>
  <c r="P46" i="2949" s="1"/>
  <c r="T46" i="2949" s="1"/>
  <c r="V46" i="2949" s="1"/>
  <c r="Z46" i="2949" s="1"/>
  <c r="AB46" i="2949" s="1"/>
  <c r="AF46" i="2949" s="1"/>
  <c r="AH46" i="2949" s="1"/>
  <c r="AL46" i="2949" s="1"/>
  <c r="AN46" i="2949" s="1"/>
  <c r="AR46" i="2949" s="1"/>
  <c r="BP45" i="2949"/>
  <c r="BO45" i="2949"/>
  <c r="BN45" i="2949"/>
  <c r="AE64" i="1" s="1"/>
  <c r="BM45" i="2949"/>
  <c r="AD64" i="1" s="1"/>
  <c r="AZ45" i="2949"/>
  <c r="BD45" i="2949" s="1"/>
  <c r="AX45" i="2949"/>
  <c r="N45" i="2949"/>
  <c r="AW42" i="2949"/>
  <c r="AV42" i="2949"/>
  <c r="AK42" i="2949"/>
  <c r="AJ42" i="2949"/>
  <c r="AJ54" i="2949" s="1"/>
  <c r="AI42" i="2949"/>
  <c r="W42" i="2949"/>
  <c r="S42" i="2949"/>
  <c r="L42" i="2949"/>
  <c r="K42" i="2949"/>
  <c r="K54" i="2949" s="1"/>
  <c r="J42" i="2949"/>
  <c r="J54" i="2949" s="1"/>
  <c r="P41" i="2949"/>
  <c r="T41" i="2949" s="1"/>
  <c r="V41" i="2949" s="1"/>
  <c r="Z41" i="2949" s="1"/>
  <c r="AB41" i="2949" s="1"/>
  <c r="AF41" i="2949" s="1"/>
  <c r="AH41" i="2949" s="1"/>
  <c r="AL41" i="2949" s="1"/>
  <c r="AN41" i="2949" s="1"/>
  <c r="AR41" i="2949" s="1"/>
  <c r="AT41" i="2949" s="1"/>
  <c r="AX41" i="2949" s="1"/>
  <c r="BC40" i="2949"/>
  <c r="BC42" i="2949" s="1"/>
  <c r="BC54" i="2949" s="1"/>
  <c r="BB40" i="2949"/>
  <c r="BB42" i="2949" s="1"/>
  <c r="BB54" i="2949" s="1"/>
  <c r="BA40" i="2949"/>
  <c r="BA42" i="2949" s="1"/>
  <c r="BA54" i="2949" s="1"/>
  <c r="AW40" i="2949"/>
  <c r="AV40" i="2949"/>
  <c r="AU40" i="2949"/>
  <c r="AU42" i="2949" s="1"/>
  <c r="AQ40" i="2949"/>
  <c r="AQ42" i="2949" s="1"/>
  <c r="AP40" i="2949"/>
  <c r="AP42" i="2949" s="1"/>
  <c r="AO40" i="2949"/>
  <c r="AO42" i="2949" s="1"/>
  <c r="AO54" i="2949" s="1"/>
  <c r="AK40" i="2949"/>
  <c r="AJ40" i="2949"/>
  <c r="AI40" i="2949"/>
  <c r="AE40" i="2949"/>
  <c r="AE42" i="2949" s="1"/>
  <c r="AD40" i="2949"/>
  <c r="AD42" i="2949" s="1"/>
  <c r="AC40" i="2949"/>
  <c r="AC42" i="2949" s="1"/>
  <c r="Y40" i="2949"/>
  <c r="Y42" i="2949" s="1"/>
  <c r="Y54" i="2949" s="1"/>
  <c r="X40" i="2949"/>
  <c r="X42" i="2949" s="1"/>
  <c r="X54" i="2949" s="1"/>
  <c r="W40" i="2949"/>
  <c r="S40" i="2949"/>
  <c r="R40" i="2949"/>
  <c r="R42" i="2949" s="1"/>
  <c r="Q40" i="2949"/>
  <c r="Q42" i="2949" s="1"/>
  <c r="Q54" i="2949" s="1"/>
  <c r="N40" i="2949"/>
  <c r="M40" i="2949"/>
  <c r="M42" i="2949" s="1"/>
  <c r="L40" i="2949"/>
  <c r="K40" i="2949"/>
  <c r="J40" i="2949"/>
  <c r="Z39" i="2949"/>
  <c r="Q71" i="1" s="1"/>
  <c r="Q72" i="1" s="1"/>
  <c r="V39" i="2949"/>
  <c r="T39" i="2949"/>
  <c r="P71" i="1" s="1"/>
  <c r="P72" i="1" s="1"/>
  <c r="P39" i="2949"/>
  <c r="N39" i="2949"/>
  <c r="W68" i="1"/>
  <c r="V68" i="1"/>
  <c r="U68" i="1"/>
  <c r="T68" i="1"/>
  <c r="O68" i="1"/>
  <c r="N68" i="1"/>
  <c r="W67" i="1"/>
  <c r="V67" i="1"/>
  <c r="U67" i="1"/>
  <c r="T67" i="1"/>
  <c r="W66" i="1"/>
  <c r="V66" i="1"/>
  <c r="U66" i="1"/>
  <c r="T66" i="1"/>
  <c r="N66" i="1"/>
  <c r="AE65" i="1"/>
  <c r="W65" i="1"/>
  <c r="V65" i="1"/>
  <c r="U65" i="1"/>
  <c r="T65" i="1"/>
  <c r="N65" i="1"/>
  <c r="W64" i="1"/>
  <c r="V64" i="1"/>
  <c r="U64" i="1"/>
  <c r="T64" i="1"/>
  <c r="N64" i="1"/>
  <c r="W71" i="1"/>
  <c r="V71" i="1"/>
  <c r="V72" i="1" s="1"/>
  <c r="U71" i="1"/>
  <c r="U72" i="1" s="1"/>
  <c r="T71" i="1"/>
  <c r="T72" i="1" s="1"/>
  <c r="O71" i="1"/>
  <c r="N71" i="1"/>
  <c r="R204" i="1"/>
  <c r="Q204" i="1"/>
  <c r="P204" i="1"/>
  <c r="O204" i="1"/>
  <c r="N204" i="1"/>
  <c r="W72" i="1"/>
  <c r="O72" i="1"/>
  <c r="N72" i="1"/>
  <c r="X206" i="1"/>
  <c r="BN41" i="2949" l="1"/>
  <c r="BH41" i="2949"/>
  <c r="BM41" i="2949"/>
  <c r="BL41" i="2949"/>
  <c r="BJ41" i="2949"/>
  <c r="BK41" i="2949"/>
  <c r="BI41" i="2949"/>
  <c r="BG41" i="2949"/>
  <c r="AZ41" i="2949"/>
  <c r="BD41" i="2949" s="1"/>
  <c r="BP41" i="2949"/>
  <c r="BO41" i="2949"/>
  <c r="AK54" i="2949"/>
  <c r="AB39" i="2949"/>
  <c r="AF39" i="2949" s="1"/>
  <c r="R54" i="2949"/>
  <c r="AF64" i="1"/>
  <c r="P47" i="2949"/>
  <c r="T47" i="2949" s="1"/>
  <c r="O66" i="1"/>
  <c r="AG64" i="1"/>
  <c r="BO48" i="2949"/>
  <c r="AF67" i="1" s="1"/>
  <c r="BM49" i="2949"/>
  <c r="O65" i="1"/>
  <c r="P45" i="2949"/>
  <c r="N49" i="2949"/>
  <c r="N52" i="2949" s="1"/>
  <c r="O64" i="1"/>
  <c r="BL47" i="2949"/>
  <c r="AC66" i="1" s="1"/>
  <c r="BK47" i="2949"/>
  <c r="AB66" i="1" s="1"/>
  <c r="BJ47" i="2949"/>
  <c r="AA66" i="1" s="1"/>
  <c r="BI47" i="2949"/>
  <c r="Z66" i="1" s="1"/>
  <c r="BH47" i="2949"/>
  <c r="Y66" i="1" s="1"/>
  <c r="P65" i="1"/>
  <c r="AZ47" i="2949"/>
  <c r="BD47" i="2949" s="1"/>
  <c r="BG47" i="2949" s="1"/>
  <c r="X66" i="1" s="1"/>
  <c r="V51" i="2949"/>
  <c r="Z51" i="2949" s="1"/>
  <c r="P68" i="1"/>
  <c r="Q65" i="1"/>
  <c r="AU54" i="2949"/>
  <c r="BL46" i="2949"/>
  <c r="AC65" i="1" s="1"/>
  <c r="BK46" i="2949"/>
  <c r="AB65" i="1" s="1"/>
  <c r="BJ46" i="2949"/>
  <c r="AA65" i="1" s="1"/>
  <c r="BH46" i="2949"/>
  <c r="Y65" i="1" s="1"/>
  <c r="BI46" i="2949"/>
  <c r="Z65" i="1" s="1"/>
  <c r="BM47" i="2949"/>
  <c r="AD66" i="1" s="1"/>
  <c r="R65" i="1"/>
  <c r="W54" i="2949"/>
  <c r="AZ46" i="2949"/>
  <c r="BD46" i="2949" s="1"/>
  <c r="BG46" i="2949" s="1"/>
  <c r="X65" i="1" s="1"/>
  <c r="BN47" i="2949"/>
  <c r="AE66" i="1" s="1"/>
  <c r="AX49" i="2949"/>
  <c r="BL45" i="2949"/>
  <c r="BK45" i="2949"/>
  <c r="BJ45" i="2949"/>
  <c r="BH45" i="2949"/>
  <c r="BI45" i="2949"/>
  <c r="BM46" i="2949"/>
  <c r="AD65" i="1" s="1"/>
  <c r="BO47" i="2949"/>
  <c r="AF66" i="1" s="1"/>
  <c r="BG45" i="2949"/>
  <c r="BP47" i="2949"/>
  <c r="AG66" i="1" s="1"/>
  <c r="N42" i="2949"/>
  <c r="N54" i="2949" s="1"/>
  <c r="P40" i="2949"/>
  <c r="BK48" i="2949"/>
  <c r="AB67" i="1" s="1"/>
  <c r="BJ48" i="2949"/>
  <c r="AA67" i="1" s="1"/>
  <c r="AZ48" i="2949"/>
  <c r="BD48" i="2949" s="1"/>
  <c r="BG48" i="2949" s="1"/>
  <c r="X67" i="1" s="1"/>
  <c r="BI48" i="2949"/>
  <c r="Z67" i="1" s="1"/>
  <c r="BH48" i="2949"/>
  <c r="Y67" i="1" s="1"/>
  <c r="AZ49" i="2949" l="1"/>
  <c r="BI49" i="2949"/>
  <c r="Z64" i="1"/>
  <c r="BD49" i="2949"/>
  <c r="Q68" i="1"/>
  <c r="AB51" i="2949"/>
  <c r="AF51" i="2949" s="1"/>
  <c r="BN49" i="2949"/>
  <c r="BH49" i="2949"/>
  <c r="Y64" i="1"/>
  <c r="P66" i="1"/>
  <c r="V47" i="2949"/>
  <c r="Z47" i="2949" s="1"/>
  <c r="AA64" i="1"/>
  <c r="BJ49" i="2949"/>
  <c r="BO49" i="2949"/>
  <c r="P49" i="2949"/>
  <c r="P52" i="2949" s="1"/>
  <c r="T45" i="2949"/>
  <c r="BG49" i="2949"/>
  <c r="X64" i="1"/>
  <c r="BP49" i="2949"/>
  <c r="AB64" i="1"/>
  <c r="BK49" i="2949"/>
  <c r="T40" i="2949"/>
  <c r="P42" i="2949"/>
  <c r="AC64" i="1"/>
  <c r="BL49" i="2949"/>
  <c r="AF40" i="2949"/>
  <c r="AH39" i="2949"/>
  <c r="AL39" i="2949" s="1"/>
  <c r="R71" i="1"/>
  <c r="R72" i="1" s="1"/>
  <c r="T42" i="2949" l="1"/>
  <c r="V40" i="2949"/>
  <c r="AF42" i="2949"/>
  <c r="AH40" i="2949"/>
  <c r="AH42" i="2949" s="1"/>
  <c r="BI51" i="2949"/>
  <c r="Q66" i="1"/>
  <c r="AB47" i="2949"/>
  <c r="AF47" i="2949" s="1"/>
  <c r="AN39" i="2949"/>
  <c r="AR39" i="2949" s="1"/>
  <c r="AL40" i="2949"/>
  <c r="R68" i="1"/>
  <c r="AH51" i="2949"/>
  <c r="AL51" i="2949" s="1"/>
  <c r="AN51" i="2949" s="1"/>
  <c r="AR51" i="2949" s="1"/>
  <c r="AT51" i="2949" s="1"/>
  <c r="P64" i="1"/>
  <c r="V45" i="2949"/>
  <c r="T49" i="2949"/>
  <c r="T52" i="2949" s="1"/>
  <c r="P54" i="2949"/>
  <c r="Z45" i="2949" l="1"/>
  <c r="V49" i="2949"/>
  <c r="V52" i="2949" s="1"/>
  <c r="Z68" i="1"/>
  <c r="BJ51" i="2949"/>
  <c r="AX51" i="2949"/>
  <c r="AT52" i="2949"/>
  <c r="AL42" i="2949"/>
  <c r="AN40" i="2949"/>
  <c r="AN42" i="2949" s="1"/>
  <c r="AT39" i="2949"/>
  <c r="AX39" i="2949" s="1"/>
  <c r="AR40" i="2949"/>
  <c r="AH47" i="2949"/>
  <c r="AL47" i="2949" s="1"/>
  <c r="AN47" i="2949" s="1"/>
  <c r="AR47" i="2949" s="1"/>
  <c r="R66" i="1"/>
  <c r="V42" i="2949"/>
  <c r="V54" i="2949" s="1"/>
  <c r="Z40" i="2949"/>
  <c r="BI52" i="2949"/>
  <c r="T54" i="2949"/>
  <c r="AB45" i="2949" l="1"/>
  <c r="Z49" i="2949"/>
  <c r="Z52" i="2949" s="1"/>
  <c r="Q64" i="1"/>
  <c r="AR42" i="2949"/>
  <c r="AT40" i="2949"/>
  <c r="AT42" i="2949" s="1"/>
  <c r="AT54" i="2949" s="1"/>
  <c r="BP39" i="2949"/>
  <c r="BO39" i="2949"/>
  <c r="AX40" i="2949"/>
  <c r="BJ39" i="2949"/>
  <c r="BN39" i="2949"/>
  <c r="BL39" i="2949"/>
  <c r="BK39" i="2949"/>
  <c r="BM39" i="2949"/>
  <c r="BI39" i="2949"/>
  <c r="BH39" i="2949"/>
  <c r="AZ39" i="2949"/>
  <c r="BD39" i="2949" s="1"/>
  <c r="AZ51" i="2949"/>
  <c r="BH51" i="2949"/>
  <c r="AX52" i="2949"/>
  <c r="AA68" i="1"/>
  <c r="BK51" i="2949"/>
  <c r="BJ52" i="2949"/>
  <c r="Z42" i="2949"/>
  <c r="Z54" i="2949" s="1"/>
  <c r="AB40" i="2949"/>
  <c r="AB42" i="2949" s="1"/>
  <c r="AB71" i="1" l="1"/>
  <c r="AB72" i="1" s="1"/>
  <c r="BK40" i="2949"/>
  <c r="BK42" i="2949" s="1"/>
  <c r="AB68" i="1"/>
  <c r="BL51" i="2949"/>
  <c r="BK52" i="2949"/>
  <c r="BL40" i="2949"/>
  <c r="BL42" i="2949" s="1"/>
  <c r="AC71" i="1"/>
  <c r="AC72" i="1" s="1"/>
  <c r="AZ40" i="2949"/>
  <c r="AZ42" i="2949" s="1"/>
  <c r="AX42" i="2949"/>
  <c r="AX54" i="2949" s="1"/>
  <c r="AF71" i="1"/>
  <c r="AF72" i="1" s="1"/>
  <c r="BO40" i="2949"/>
  <c r="BO42" i="2949" s="1"/>
  <c r="AG71" i="1"/>
  <c r="AG72" i="1" s="1"/>
  <c r="BP40" i="2949"/>
  <c r="BP42" i="2949" s="1"/>
  <c r="BH40" i="2949"/>
  <c r="BH42" i="2949" s="1"/>
  <c r="Y71" i="1"/>
  <c r="Y72" i="1" s="1"/>
  <c r="BN40" i="2949"/>
  <c r="BN42" i="2949" s="1"/>
  <c r="AE71" i="1"/>
  <c r="AE72" i="1" s="1"/>
  <c r="AA71" i="1"/>
  <c r="AA72" i="1" s="1"/>
  <c r="BJ40" i="2949"/>
  <c r="BJ42" i="2949" s="1"/>
  <c r="BJ54" i="2949" s="1"/>
  <c r="BD51" i="2949"/>
  <c r="AZ52" i="2949"/>
  <c r="BG39" i="2949"/>
  <c r="BD40" i="2949"/>
  <c r="BD42" i="2949" s="1"/>
  <c r="AB54" i="2949"/>
  <c r="Z71" i="1"/>
  <c r="Z72" i="1" s="1"/>
  <c r="BI40" i="2949"/>
  <c r="BI42" i="2949" s="1"/>
  <c r="BI54" i="2949" s="1"/>
  <c r="Y68" i="1"/>
  <c r="BH52" i="2949"/>
  <c r="BM40" i="2949"/>
  <c r="BM42" i="2949" s="1"/>
  <c r="AD71" i="1"/>
  <c r="AD72" i="1" s="1"/>
  <c r="AF45" i="2949"/>
  <c r="AB49" i="2949"/>
  <c r="AB52" i="2949" s="1"/>
  <c r="AC68" i="1" l="1"/>
  <c r="BM51" i="2949"/>
  <c r="BL52" i="2949"/>
  <c r="X71" i="1"/>
  <c r="X72" i="1" s="1"/>
  <c r="BG40" i="2949"/>
  <c r="BG42" i="2949" s="1"/>
  <c r="BG51" i="2949"/>
  <c r="BD52" i="2949"/>
  <c r="BD54" i="2949" s="1"/>
  <c r="BL54" i="2949"/>
  <c r="BH54" i="2949"/>
  <c r="AH45" i="2949"/>
  <c r="R64" i="1"/>
  <c r="AF49" i="2949"/>
  <c r="AF52" i="2949" s="1"/>
  <c r="AF54" i="2949" s="1"/>
  <c r="AZ54" i="2949"/>
  <c r="BK54" i="2949"/>
  <c r="X68" i="1" l="1"/>
  <c r="BG52" i="2949"/>
  <c r="BG54" i="2949" s="1"/>
  <c r="AH49" i="2949"/>
  <c r="AH52" i="2949" s="1"/>
  <c r="AH54" i="2949" s="1"/>
  <c r="AL45" i="2949"/>
  <c r="AD68" i="1"/>
  <c r="BN51" i="2949"/>
  <c r="BM52" i="2949"/>
  <c r="BM54" i="2949" s="1"/>
  <c r="BO51" i="2949" l="1"/>
  <c r="AE68" i="1"/>
  <c r="BN52" i="2949"/>
  <c r="BN54" i="2949" s="1"/>
  <c r="AL49" i="2949"/>
  <c r="AL52" i="2949" s="1"/>
  <c r="AL54" i="2949" s="1"/>
  <c r="AN45" i="2949"/>
  <c r="AF68" i="1" l="1"/>
  <c r="BP51" i="2949"/>
  <c r="BO52" i="2949"/>
  <c r="BO54" i="2949" s="1"/>
  <c r="AN49" i="2949"/>
  <c r="AN52" i="2949" s="1"/>
  <c r="AN54" i="2949" s="1"/>
  <c r="AR45" i="2949"/>
  <c r="AR49" i="2949" s="1"/>
  <c r="AR52" i="2949" s="1"/>
  <c r="AR54" i="2949" s="1"/>
  <c r="AG68" i="1" l="1"/>
  <c r="BP52" i="2949"/>
  <c r="BP54" i="2949" s="1"/>
  <c r="M73" i="2962" l="1"/>
  <c r="L73" i="2962"/>
  <c r="K73" i="2962"/>
  <c r="J73" i="2962"/>
  <c r="M69" i="2962"/>
  <c r="L69" i="2962"/>
  <c r="K69" i="2962"/>
  <c r="J69" i="2962"/>
  <c r="G56" i="2933" l="1"/>
  <c r="G52" i="2933"/>
  <c r="N79" i="2954"/>
  <c r="B79" i="2954"/>
  <c r="B80" i="2954"/>
  <c r="B69" i="2954"/>
  <c r="X147" i="1"/>
  <c r="Y147" i="1"/>
  <c r="P15" i="2933"/>
  <c r="Q15" i="2933"/>
  <c r="P52" i="2933"/>
  <c r="Q52" i="2933"/>
  <c r="P53" i="2933"/>
  <c r="Q53" i="2933"/>
  <c r="P54" i="2933"/>
  <c r="Q54" i="2933"/>
  <c r="P55" i="2933"/>
  <c r="Q55" i="2933"/>
  <c r="P56" i="2933"/>
  <c r="Q56" i="2933"/>
  <c r="P57" i="2933"/>
  <c r="Q57" i="2933"/>
  <c r="P58" i="2933"/>
  <c r="Q58" i="2933"/>
  <c r="P59" i="2933"/>
  <c r="Q59" i="2933"/>
  <c r="P60" i="2933"/>
  <c r="Q60" i="2933"/>
  <c r="P73" i="2933"/>
  <c r="P75" i="2933" s="1"/>
  <c r="Q73" i="2933"/>
  <c r="Q75" i="2933" s="1"/>
  <c r="AL45" i="2948"/>
  <c r="P61" i="2933" l="1"/>
  <c r="P63" i="2933" s="1"/>
  <c r="Q61" i="2933"/>
  <c r="Q63" i="2933" s="1"/>
  <c r="Q48" i="2933" s="1"/>
  <c r="P48" i="2933"/>
  <c r="Q293" i="1"/>
  <c r="N293" i="1"/>
  <c r="O293" i="1"/>
  <c r="P293" i="1"/>
  <c r="A1" i="2954"/>
  <c r="B1" i="2933"/>
  <c r="A1" i="2962"/>
  <c r="A1" i="2965"/>
  <c r="A1" i="1"/>
  <c r="N17" i="1"/>
  <c r="O17" i="1"/>
  <c r="P17" i="1"/>
  <c r="Q17" i="1"/>
  <c r="R17" i="1"/>
  <c r="N34" i="1"/>
  <c r="N39" i="1" s="1"/>
  <c r="O34" i="1"/>
  <c r="O39" i="1" s="1"/>
  <c r="P34" i="1"/>
  <c r="Q34" i="1"/>
  <c r="R34" i="1"/>
  <c r="N37" i="1"/>
  <c r="O37" i="1"/>
  <c r="P37" i="1"/>
  <c r="Q37" i="1"/>
  <c r="R37" i="1"/>
  <c r="P39" i="1"/>
  <c r="Q39" i="1"/>
  <c r="N42" i="1"/>
  <c r="N43" i="1"/>
  <c r="N44" i="1"/>
  <c r="N45" i="1"/>
  <c r="N48" i="1"/>
  <c r="O48" i="1"/>
  <c r="N58" i="1"/>
  <c r="N60" i="1"/>
  <c r="O60" i="1"/>
  <c r="N90" i="1"/>
  <c r="O90" i="1"/>
  <c r="P90" i="1"/>
  <c r="Q90" i="1"/>
  <c r="R90" i="1"/>
  <c r="N91" i="1"/>
  <c r="O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N94" i="1"/>
  <c r="O94" i="1"/>
  <c r="P94" i="1"/>
  <c r="Q94" i="1"/>
  <c r="R94" i="1"/>
  <c r="P96" i="1"/>
  <c r="Q96" i="1"/>
  <c r="R96" i="1"/>
  <c r="N101" i="1"/>
  <c r="O101" i="1"/>
  <c r="N102" i="1"/>
  <c r="O102" i="1"/>
  <c r="P102" i="1"/>
  <c r="Q102" i="1"/>
  <c r="R102" i="1"/>
  <c r="N106" i="1"/>
  <c r="O106" i="1"/>
  <c r="P106" i="1"/>
  <c r="Q106" i="1"/>
  <c r="R106" i="1"/>
  <c r="N107" i="1"/>
  <c r="O107" i="1"/>
  <c r="P107" i="1"/>
  <c r="Q107" i="1"/>
  <c r="R107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P112" i="1"/>
  <c r="Q112" i="1"/>
  <c r="R112" i="1"/>
  <c r="P116" i="1"/>
  <c r="Q116" i="1"/>
  <c r="N117" i="1"/>
  <c r="O117" i="1"/>
  <c r="N118" i="1"/>
  <c r="N142" i="1"/>
  <c r="N301" i="1" s="1"/>
  <c r="N303" i="1" s="1"/>
  <c r="O142" i="1"/>
  <c r="O301" i="1" s="1"/>
  <c r="P142" i="1"/>
  <c r="Q142" i="1"/>
  <c r="R142" i="1"/>
  <c r="N143" i="1"/>
  <c r="N291" i="1" s="1"/>
  <c r="O143" i="1"/>
  <c r="O291" i="1" s="1"/>
  <c r="P143" i="1"/>
  <c r="Q143" i="1"/>
  <c r="Q291" i="1" s="1"/>
  <c r="R143" i="1"/>
  <c r="R291" i="1" s="1"/>
  <c r="N144" i="1"/>
  <c r="O144" i="1"/>
  <c r="P144" i="1"/>
  <c r="Q144" i="1"/>
  <c r="R144" i="1"/>
  <c r="N146" i="1"/>
  <c r="O146" i="1"/>
  <c r="P146" i="1"/>
  <c r="Q146" i="1"/>
  <c r="R146" i="1"/>
  <c r="N147" i="1"/>
  <c r="O147" i="1"/>
  <c r="P147" i="1"/>
  <c r="Q147" i="1"/>
  <c r="R147" i="1"/>
  <c r="N154" i="1"/>
  <c r="O154" i="1"/>
  <c r="P154" i="1"/>
  <c r="Q154" i="1"/>
  <c r="R154" i="1"/>
  <c r="N164" i="1"/>
  <c r="O164" i="1"/>
  <c r="P164" i="1"/>
  <c r="P295" i="1" s="1"/>
  <c r="Q164" i="1"/>
  <c r="R164" i="1"/>
  <c r="N218" i="1"/>
  <c r="O218" i="1"/>
  <c r="P218" i="1"/>
  <c r="Q218" i="1"/>
  <c r="R218" i="1"/>
  <c r="N219" i="1"/>
  <c r="O219" i="1"/>
  <c r="P219" i="1"/>
  <c r="Q219" i="1"/>
  <c r="R219" i="1"/>
  <c r="N224" i="1"/>
  <c r="O224" i="1"/>
  <c r="P224" i="1"/>
  <c r="Q224" i="1"/>
  <c r="R224" i="1"/>
  <c r="N225" i="1"/>
  <c r="O225" i="1"/>
  <c r="P225" i="1"/>
  <c r="Q225" i="1"/>
  <c r="R225" i="1"/>
  <c r="N226" i="1"/>
  <c r="O226" i="1"/>
  <c r="P226" i="1"/>
  <c r="Q226" i="1"/>
  <c r="R226" i="1"/>
  <c r="N227" i="1"/>
  <c r="O227" i="1"/>
  <c r="P227" i="1"/>
  <c r="Q227" i="1"/>
  <c r="R227" i="1"/>
  <c r="N234" i="1"/>
  <c r="O234" i="1"/>
  <c r="P234" i="1"/>
  <c r="P308" i="1" s="1"/>
  <c r="Q234" i="1"/>
  <c r="Q308" i="1" s="1"/>
  <c r="N243" i="1"/>
  <c r="N245" i="1" s="1"/>
  <c r="O243" i="1"/>
  <c r="O245" i="1" s="1"/>
  <c r="P243" i="1"/>
  <c r="Q243" i="1"/>
  <c r="P245" i="1"/>
  <c r="Q245" i="1"/>
  <c r="R245" i="1"/>
  <c r="N252" i="1"/>
  <c r="O252" i="1"/>
  <c r="P252" i="1"/>
  <c r="Q252" i="1"/>
  <c r="R252" i="1"/>
  <c r="N272" i="1"/>
  <c r="O272" i="1"/>
  <c r="P272" i="1"/>
  <c r="Q272" i="1"/>
  <c r="R272" i="1"/>
  <c r="R309" i="1"/>
  <c r="N281" i="1"/>
  <c r="N282" i="1" s="1"/>
  <c r="O281" i="1"/>
  <c r="P281" i="1"/>
  <c r="N292" i="1"/>
  <c r="O292" i="1"/>
  <c r="P292" i="1"/>
  <c r="Q292" i="1"/>
  <c r="N294" i="1"/>
  <c r="O294" i="1"/>
  <c r="Q301" i="1"/>
  <c r="Q303" i="1" s="1"/>
  <c r="R301" i="1"/>
  <c r="R303" i="1" s="1"/>
  <c r="N302" i="1"/>
  <c r="O302" i="1"/>
  <c r="P302" i="1"/>
  <c r="Q302" i="1"/>
  <c r="R302" i="1"/>
  <c r="N308" i="1"/>
  <c r="O308" i="1"/>
  <c r="O309" i="1" s="1"/>
  <c r="R308" i="1"/>
  <c r="Q309" i="1"/>
  <c r="N317" i="1"/>
  <c r="O317" i="1"/>
  <c r="P317" i="1"/>
  <c r="P320" i="1" s="1"/>
  <c r="Q317" i="1"/>
  <c r="R317" i="1"/>
  <c r="N318" i="1"/>
  <c r="N320" i="1" s="1"/>
  <c r="O318" i="1"/>
  <c r="P318" i="1"/>
  <c r="Q318" i="1"/>
  <c r="R318" i="1"/>
  <c r="N319" i="1"/>
  <c r="O319" i="1"/>
  <c r="P319" i="1"/>
  <c r="Q319" i="1"/>
  <c r="R319" i="1"/>
  <c r="N120" i="1" l="1"/>
  <c r="N119" i="1" s="1"/>
  <c r="O120" i="1"/>
  <c r="O119" i="1" s="1"/>
  <c r="P40" i="2933"/>
  <c r="P37" i="2933"/>
  <c r="P41" i="2933"/>
  <c r="P43" i="2933"/>
  <c r="P44" i="2933"/>
  <c r="P35" i="2933"/>
  <c r="P42" i="2933"/>
  <c r="P38" i="2933"/>
  <c r="P39" i="2933"/>
  <c r="P45" i="2933"/>
  <c r="P33" i="2933"/>
  <c r="Q37" i="2933"/>
  <c r="Q40" i="2933"/>
  <c r="Q41" i="2933"/>
  <c r="Q43" i="2933"/>
  <c r="Q35" i="2933"/>
  <c r="Q42" i="2933"/>
  <c r="Q38" i="2933"/>
  <c r="Q44" i="2933"/>
  <c r="Q39" i="2933"/>
  <c r="Q45" i="2933"/>
  <c r="Q33" i="2933"/>
  <c r="N69" i="1"/>
  <c r="N73" i="1" s="1"/>
  <c r="N46" i="1"/>
  <c r="N59" i="1"/>
  <c r="N104" i="1"/>
  <c r="P309" i="1"/>
  <c r="Q281" i="1"/>
  <c r="Q282" i="1" s="1"/>
  <c r="O104" i="1"/>
  <c r="Q320" i="1"/>
  <c r="O320" i="1"/>
  <c r="P148" i="1"/>
  <c r="P155" i="1" s="1"/>
  <c r="P166" i="1" s="1"/>
  <c r="P167" i="1" s="1"/>
  <c r="O303" i="1"/>
  <c r="R294" i="1"/>
  <c r="R320" i="1"/>
  <c r="Q294" i="1"/>
  <c r="R295" i="1"/>
  <c r="O295" i="1"/>
  <c r="N295" i="1"/>
  <c r="P301" i="1"/>
  <c r="P303" i="1" s="1"/>
  <c r="N309" i="1"/>
  <c r="P294" i="1"/>
  <c r="P291" i="1"/>
  <c r="Q295" i="1"/>
  <c r="N148" i="1"/>
  <c r="N155" i="1" s="1"/>
  <c r="N166" i="1" s="1"/>
  <c r="O282" i="1"/>
  <c r="R148" i="1"/>
  <c r="R155" i="1" s="1"/>
  <c r="R166" i="1" s="1"/>
  <c r="Q117" i="1"/>
  <c r="Q120" i="1" s="1"/>
  <c r="R39" i="1"/>
  <c r="O148" i="1"/>
  <c r="O155" i="1" s="1"/>
  <c r="O166" i="1" s="1"/>
  <c r="P282" i="1"/>
  <c r="R292" i="1"/>
  <c r="Q148" i="1"/>
  <c r="Q155" i="1" s="1"/>
  <c r="Q166" i="1" s="1"/>
  <c r="P117" i="1"/>
  <c r="P120" i="1" s="1"/>
  <c r="P26" i="2933" l="1"/>
  <c r="P30" i="2933"/>
  <c r="P29" i="2933"/>
  <c r="P20" i="2933"/>
  <c r="P27" i="2933"/>
  <c r="P22" i="2933"/>
  <c r="P28" i="2933"/>
  <c r="P23" i="2933"/>
  <c r="P24" i="2933"/>
  <c r="P25" i="2933"/>
  <c r="P64" i="2933"/>
  <c r="Q46" i="2933"/>
  <c r="Q47" i="2933" s="1"/>
  <c r="P46" i="2933"/>
  <c r="P47" i="2933" s="1"/>
  <c r="Q26" i="2933"/>
  <c r="Q20" i="2933"/>
  <c r="Q27" i="2933"/>
  <c r="Q22" i="2933"/>
  <c r="Q28" i="2933"/>
  <c r="Q24" i="2933"/>
  <c r="Q30" i="2933"/>
  <c r="Q25" i="2933"/>
  <c r="Q29" i="2933"/>
  <c r="Q23" i="2933"/>
  <c r="Q64" i="2933"/>
  <c r="N61" i="1"/>
  <c r="N75" i="1" s="1"/>
  <c r="O167" i="1"/>
  <c r="Q167" i="1"/>
  <c r="N167" i="1"/>
  <c r="R167" i="1"/>
  <c r="P31" i="2933" l="1"/>
  <c r="P32" i="2933" s="1"/>
  <c r="Q31" i="2933"/>
  <c r="Q32" i="2933" s="1"/>
  <c r="T272" i="1" l="1"/>
  <c r="U79" i="1" l="1"/>
  <c r="V79" i="1"/>
  <c r="W79" i="1"/>
  <c r="T79" i="1"/>
  <c r="W78" i="1"/>
  <c r="X79" i="1" l="1"/>
  <c r="Y79" i="1" s="1"/>
  <c r="Z79" i="1" s="1"/>
  <c r="H14" i="2964"/>
  <c r="AA79" i="1" l="1"/>
  <c r="AB79" i="1" s="1"/>
  <c r="I25" i="2964"/>
  <c r="AC79" i="1" l="1"/>
  <c r="AD79" i="1" s="1"/>
  <c r="BE43" i="2948"/>
  <c r="BE41" i="2948"/>
  <c r="BE40" i="2948"/>
  <c r="BC38" i="2948"/>
  <c r="BD38" i="2948"/>
  <c r="BE38" i="2948"/>
  <c r="BB38" i="2948"/>
  <c r="BE34" i="2948"/>
  <c r="BD34" i="2948"/>
  <c r="BC34" i="2948"/>
  <c r="BB34" i="2948"/>
  <c r="AO38" i="2948"/>
  <c r="AM38" i="2948"/>
  <c r="AN38" i="2948"/>
  <c r="AL38" i="2948"/>
  <c r="AO34" i="2948"/>
  <c r="AN34" i="2948"/>
  <c r="AM34" i="2948"/>
  <c r="AL34" i="2948"/>
  <c r="AP34" i="2948" l="1"/>
  <c r="AE79" i="1"/>
  <c r="AL54" i="2948"/>
  <c r="J32" i="2941"/>
  <c r="I30" i="2941"/>
  <c r="I31" i="2941"/>
  <c r="I33" i="2941"/>
  <c r="I36" i="2941"/>
  <c r="I37" i="2941"/>
  <c r="AF79" i="1" l="1"/>
  <c r="AG79" i="1" s="1"/>
  <c r="D17" i="2950"/>
  <c r="E17" i="2950"/>
  <c r="F17" i="2950"/>
  <c r="G17" i="2950"/>
  <c r="H17" i="2950"/>
  <c r="I17" i="2950"/>
  <c r="J17" i="2950"/>
  <c r="K17" i="2950"/>
  <c r="L17" i="2950"/>
  <c r="M17" i="2950"/>
  <c r="N17" i="2950"/>
  <c r="O17" i="2950"/>
  <c r="P17" i="2950"/>
  <c r="Q17" i="2950"/>
  <c r="R17" i="2950"/>
  <c r="S17" i="2950"/>
  <c r="T17" i="2950"/>
  <c r="U17" i="2950"/>
  <c r="V17" i="2950"/>
  <c r="W17" i="2950"/>
  <c r="X17" i="2950"/>
  <c r="Y17" i="2950"/>
  <c r="Z17" i="2950"/>
  <c r="AA17" i="2950"/>
  <c r="AB17" i="2950"/>
  <c r="AC17" i="2950"/>
  <c r="AD17" i="2950"/>
  <c r="AE17" i="2950"/>
  <c r="AF17" i="2950"/>
  <c r="G32" i="2964" l="1"/>
  <c r="G25" i="2964"/>
  <c r="J68" i="2941" l="1"/>
  <c r="J51" i="2941"/>
  <c r="J23" i="2941"/>
  <c r="I68" i="2941"/>
  <c r="I67" i="2941"/>
  <c r="I51" i="2941"/>
  <c r="I50" i="2941"/>
  <c r="X126" i="1" l="1"/>
  <c r="W17" i="1"/>
  <c r="W18" i="1"/>
  <c r="W19" i="1"/>
  <c r="W20" i="1"/>
  <c r="W21" i="1"/>
  <c r="W22" i="1"/>
  <c r="W23" i="1"/>
  <c r="W24" i="1"/>
  <c r="W42" i="1" l="1"/>
  <c r="W43" i="1"/>
  <c r="W44" i="1"/>
  <c r="W45" i="1"/>
  <c r="BA27" i="2949"/>
  <c r="BA30" i="2949" s="1"/>
  <c r="BC27" i="2949"/>
  <c r="BC30" i="2949" s="1"/>
  <c r="BB27" i="2949"/>
  <c r="BB30" i="2949" s="1"/>
  <c r="BC19" i="2949"/>
  <c r="BC21" i="2949" s="1"/>
  <c r="BB19" i="2949"/>
  <c r="BB21" i="2949" s="1"/>
  <c r="BA19" i="2949"/>
  <c r="BA21" i="2949" s="1"/>
  <c r="W46" i="1" l="1"/>
  <c r="BC32" i="2949"/>
  <c r="BA32" i="2949"/>
  <c r="BB32" i="2949"/>
  <c r="X11" i="1"/>
  <c r="X142" i="1" l="1"/>
  <c r="M34" i="2962"/>
  <c r="M37" i="2962"/>
  <c r="F5" i="2965" l="1"/>
  <c r="M39" i="2962"/>
  <c r="M61" i="2962" l="1"/>
  <c r="AH171" i="1" l="1"/>
  <c r="AB147" i="1" l="1"/>
  <c r="AC147" i="1"/>
  <c r="AD147" i="1"/>
  <c r="AE147" i="1"/>
  <c r="AF147" i="1"/>
  <c r="AG147" i="1"/>
  <c r="AA147" i="1"/>
  <c r="Z147" i="1"/>
  <c r="W232" i="1" l="1"/>
  <c r="X232" i="1"/>
  <c r="Y232" i="1"/>
  <c r="X225" i="1"/>
  <c r="Y225" i="1"/>
  <c r="Y226" i="1"/>
  <c r="X226" i="1"/>
  <c r="X227" i="1"/>
  <c r="Y227" i="1" s="1"/>
  <c r="W218" i="1"/>
  <c r="Y218" i="1" s="1"/>
  <c r="W143" i="1"/>
  <c r="X143" i="1"/>
  <c r="Y143" i="1"/>
  <c r="W144" i="1"/>
  <c r="X144" i="1"/>
  <c r="Y142" i="1"/>
  <c r="W142" i="1"/>
  <c r="Z226" i="1" l="1"/>
  <c r="E5" i="2965"/>
  <c r="G5" i="2965"/>
  <c r="Y144" i="1"/>
  <c r="U131" i="1"/>
  <c r="V131" i="1"/>
  <c r="T131" i="1"/>
  <c r="U113" i="1"/>
  <c r="V113" i="1"/>
  <c r="T113" i="1"/>
  <c r="BC40" i="2948"/>
  <c r="BD40" i="2948"/>
  <c r="BC41" i="2948"/>
  <c r="BD41" i="2948"/>
  <c r="BF41" i="2948" s="1"/>
  <c r="BB41" i="2948"/>
  <c r="BB40" i="2948"/>
  <c r="Z144" i="1" l="1"/>
  <c r="BF40" i="2948"/>
  <c r="W113" i="1"/>
  <c r="T123" i="1"/>
  <c r="U123" i="1"/>
  <c r="V123" i="1"/>
  <c r="T124" i="1"/>
  <c r="U124" i="1"/>
  <c r="V124" i="1"/>
  <c r="W124" i="1" s="1"/>
  <c r="X124" i="1" s="1"/>
  <c r="Y124" i="1" s="1"/>
  <c r="Z124" i="1" s="1"/>
  <c r="AA124" i="1" s="1"/>
  <c r="AB124" i="1" s="1"/>
  <c r="AC124" i="1" s="1"/>
  <c r="AD124" i="1" s="1"/>
  <c r="AE124" i="1" s="1"/>
  <c r="AF124" i="1" s="1"/>
  <c r="AG124" i="1" s="1"/>
  <c r="BG40" i="2948" l="1"/>
  <c r="BH40" i="2948" s="1"/>
  <c r="W123" i="1"/>
  <c r="X123" i="1" s="1"/>
  <c r="BG41" i="2948"/>
  <c r="Y113" i="1" s="1"/>
  <c r="X113" i="1"/>
  <c r="BI40" i="2948" l="1"/>
  <c r="BJ40" i="2948" s="1"/>
  <c r="Y123" i="1"/>
  <c r="BH41" i="2948"/>
  <c r="Z113" i="1" s="1"/>
  <c r="BK40" i="2948" l="1"/>
  <c r="BL40" i="2948" s="1"/>
  <c r="BI41" i="2948"/>
  <c r="AA113" i="1" s="1"/>
  <c r="Z123" i="1"/>
  <c r="BM40" i="2948" l="1"/>
  <c r="BN40" i="2948" s="1"/>
  <c r="BO40" i="2948" s="1"/>
  <c r="BJ41" i="2948"/>
  <c r="AB113" i="1" s="1"/>
  <c r="AA123" i="1"/>
  <c r="AB123" i="1" s="1"/>
  <c r="BK41" i="2948" l="1"/>
  <c r="AC113" i="1" s="1"/>
  <c r="AC123" i="1"/>
  <c r="BL41" i="2948" l="1"/>
  <c r="AD113" i="1" s="1"/>
  <c r="AD123" i="1"/>
  <c r="AF91" i="1"/>
  <c r="AG91" i="1"/>
  <c r="AF92" i="1"/>
  <c r="AG92" i="1"/>
  <c r="AF93" i="1"/>
  <c r="AG93" i="1"/>
  <c r="AF94" i="1"/>
  <c r="AG94" i="1"/>
  <c r="AF96" i="1"/>
  <c r="AG96" i="1"/>
  <c r="BM41" i="2948" l="1"/>
  <c r="AE113" i="1" s="1"/>
  <c r="AE123" i="1"/>
  <c r="AF123" i="1" s="1"/>
  <c r="AG123" i="1" s="1"/>
  <c r="BN41" i="2948" l="1"/>
  <c r="AF113" i="1" s="1"/>
  <c r="BO41" i="2948" l="1"/>
  <c r="AG113" i="1" s="1"/>
  <c r="T20" i="2930" l="1"/>
  <c r="T21" i="2930"/>
  <c r="T8" i="2930"/>
  <c r="AN43" i="2948"/>
  <c r="AO43" i="2948"/>
  <c r="AP43" i="2948"/>
  <c r="AQ43" i="2948"/>
  <c r="AR43" i="2948"/>
  <c r="AS43" i="2948"/>
  <c r="AT43" i="2948"/>
  <c r="AU43" i="2948"/>
  <c r="AV43" i="2948"/>
  <c r="AW43" i="2948"/>
  <c r="AX43" i="2948"/>
  <c r="AL43" i="2948"/>
  <c r="AX55" i="2948"/>
  <c r="AY55" i="2948"/>
  <c r="AX56" i="2948"/>
  <c r="AY56" i="2948"/>
  <c r="AX57" i="2948"/>
  <c r="AY57" i="2948"/>
  <c r="AX58" i="2948"/>
  <c r="AY58" i="2948"/>
  <c r="AX60" i="2948"/>
  <c r="AY60" i="2948"/>
  <c r="AE58" i="2954"/>
  <c r="AF58" i="2954"/>
  <c r="AE59" i="2954"/>
  <c r="AF59" i="2954"/>
  <c r="AE60" i="2954"/>
  <c r="AF60" i="2954"/>
  <c r="AE64" i="2954"/>
  <c r="AF64" i="2954"/>
  <c r="AE65" i="2954"/>
  <c r="AF65" i="2954"/>
  <c r="AE66" i="2954"/>
  <c r="AF66" i="2954"/>
  <c r="AE67" i="2954"/>
  <c r="AF67" i="2954"/>
  <c r="AE68" i="2954"/>
  <c r="AF68" i="2954"/>
  <c r="AE69" i="2954"/>
  <c r="AF69" i="2954"/>
  <c r="AE70" i="2954"/>
  <c r="AF70" i="2954"/>
  <c r="AE75" i="2954"/>
  <c r="AF75" i="2954"/>
  <c r="AE76" i="2954"/>
  <c r="AF76" i="2954"/>
  <c r="AE77" i="2954"/>
  <c r="AF77" i="2954"/>
  <c r="AE78" i="2954"/>
  <c r="AF78" i="2954"/>
  <c r="AE79" i="2954"/>
  <c r="AF79" i="2954"/>
  <c r="AE80" i="2954"/>
  <c r="AF80" i="2954"/>
  <c r="AE85" i="2954"/>
  <c r="AF85" i="2954"/>
  <c r="AE86" i="2954"/>
  <c r="AF86" i="2954"/>
  <c r="AE87" i="2954"/>
  <c r="AF87" i="2954"/>
  <c r="AE92" i="2954"/>
  <c r="AF92" i="2954"/>
  <c r="AE12" i="2954"/>
  <c r="AF12" i="2954"/>
  <c r="AE13" i="2954"/>
  <c r="AF13" i="2954"/>
  <c r="AE14" i="2954"/>
  <c r="AF14" i="2954"/>
  <c r="AE15" i="2954"/>
  <c r="AF15" i="2954"/>
  <c r="AE16" i="2954"/>
  <c r="AF16" i="2954"/>
  <c r="AE21" i="2954"/>
  <c r="AF21" i="2954"/>
  <c r="AE22" i="2954"/>
  <c r="AF22" i="2954"/>
  <c r="AE23" i="2954"/>
  <c r="AF23" i="2954"/>
  <c r="AE24" i="2954"/>
  <c r="AF24" i="2954"/>
  <c r="AE25" i="2954"/>
  <c r="AF25" i="2954"/>
  <c r="AE26" i="2954"/>
  <c r="AF26" i="2954"/>
  <c r="AE27" i="2954"/>
  <c r="AF27" i="2954"/>
  <c r="AE31" i="2954"/>
  <c r="AF31" i="2954"/>
  <c r="AE35" i="2954"/>
  <c r="AF35" i="2954"/>
  <c r="AE36" i="2954"/>
  <c r="AF36" i="2954"/>
  <c r="AE37" i="2954"/>
  <c r="AF37" i="2954"/>
  <c r="AE42" i="2954"/>
  <c r="AF42" i="2954"/>
  <c r="AE43" i="2954"/>
  <c r="AF43" i="2954"/>
  <c r="AE47" i="2954"/>
  <c r="AF47" i="2954"/>
  <c r="AE48" i="2954"/>
  <c r="AF48" i="2954"/>
  <c r="AE49" i="2954"/>
  <c r="AF49" i="2954"/>
  <c r="X15" i="2933"/>
  <c r="Y15" i="2933"/>
  <c r="X52" i="2933"/>
  <c r="Y52" i="2933"/>
  <c r="X53" i="2933"/>
  <c r="Y53" i="2933"/>
  <c r="X54" i="2933"/>
  <c r="Y54" i="2933"/>
  <c r="X55" i="2933"/>
  <c r="Y55" i="2933"/>
  <c r="X56" i="2933"/>
  <c r="Y56" i="2933"/>
  <c r="X57" i="2933"/>
  <c r="Y57" i="2933"/>
  <c r="X58" i="2933"/>
  <c r="Y58" i="2933"/>
  <c r="X59" i="2933"/>
  <c r="Y59" i="2933"/>
  <c r="X60" i="2933"/>
  <c r="Y60" i="2933"/>
  <c r="X73" i="2933"/>
  <c r="Y73" i="2933"/>
  <c r="V14" i="2962"/>
  <c r="W14" i="2962"/>
  <c r="V34" i="2962"/>
  <c r="W34" i="2962"/>
  <c r="V37" i="2962"/>
  <c r="W37" i="2962"/>
  <c r="V46" i="2962"/>
  <c r="W46" i="2962"/>
  <c r="V61" i="2962"/>
  <c r="W61" i="2962"/>
  <c r="V104" i="2962"/>
  <c r="AE38" i="2954" s="1"/>
  <c r="W104" i="2962"/>
  <c r="AF38" i="2954" s="1"/>
  <c r="V120" i="2962"/>
  <c r="AE39" i="2954" s="1"/>
  <c r="W120" i="2962"/>
  <c r="AF39" i="2954" s="1"/>
  <c r="V132" i="2962"/>
  <c r="W132" i="2962"/>
  <c r="AF11" i="1"/>
  <c r="AG11" i="1"/>
  <c r="AF12" i="1"/>
  <c r="AG12" i="1"/>
  <c r="AF13" i="1"/>
  <c r="AG13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5" i="1"/>
  <c r="AG35" i="1"/>
  <c r="AF36" i="1"/>
  <c r="AG36" i="1"/>
  <c r="AF107" i="1"/>
  <c r="AG107" i="1"/>
  <c r="AF108" i="1"/>
  <c r="AG108" i="1"/>
  <c r="AF109" i="1"/>
  <c r="AG109" i="1"/>
  <c r="AF110" i="1"/>
  <c r="AG110" i="1"/>
  <c r="AF112" i="1"/>
  <c r="AF116" i="1"/>
  <c r="AG116" i="1"/>
  <c r="AF126" i="1"/>
  <c r="AG126" i="1"/>
  <c r="AF134" i="1"/>
  <c r="AG134" i="1"/>
  <c r="AF143" i="1"/>
  <c r="AG143" i="1"/>
  <c r="AF146" i="1"/>
  <c r="AG146" i="1"/>
  <c r="AF154" i="1"/>
  <c r="AG154" i="1"/>
  <c r="AF164" i="1"/>
  <c r="AG164" i="1"/>
  <c r="AF216" i="1"/>
  <c r="AG216" i="1"/>
  <c r="AF232" i="1"/>
  <c r="AG232" i="1"/>
  <c r="AF245" i="1"/>
  <c r="AG245" i="1"/>
  <c r="AF252" i="1"/>
  <c r="AG252" i="1"/>
  <c r="AF272" i="1"/>
  <c r="AG272" i="1"/>
  <c r="AF302" i="1"/>
  <c r="AG302" i="1"/>
  <c r="AG291" i="1" l="1"/>
  <c r="AF291" i="1"/>
  <c r="X61" i="2933"/>
  <c r="X63" i="2933" s="1"/>
  <c r="X48" i="2933" s="1"/>
  <c r="X75" i="2933"/>
  <c r="AG233" i="1"/>
  <c r="AG234" i="1" s="1"/>
  <c r="AG308" i="1" s="1"/>
  <c r="AF233" i="1"/>
  <c r="AF234" i="1" s="1"/>
  <c r="AF308" i="1" s="1"/>
  <c r="AF294" i="1"/>
  <c r="AG294" i="1"/>
  <c r="Y75" i="2933"/>
  <c r="AF37" i="1"/>
  <c r="V75" i="2962"/>
  <c r="AG112" i="1"/>
  <c r="AG37" i="1"/>
  <c r="W121" i="2962"/>
  <c r="W125" i="2962" s="1"/>
  <c r="W133" i="2962" s="1"/>
  <c r="W39" i="2962"/>
  <c r="AF28" i="2954" s="1"/>
  <c r="V121" i="2962"/>
  <c r="V125" i="2962" s="1"/>
  <c r="V133" i="2962" s="1"/>
  <c r="V39" i="2962"/>
  <c r="AE28" i="2954" s="1"/>
  <c r="Y61" i="2933"/>
  <c r="Y63" i="2933" s="1"/>
  <c r="Y48" i="2933" s="1"/>
  <c r="AG295" i="1"/>
  <c r="AE81" i="2954"/>
  <c r="AE71" i="2954"/>
  <c r="AF61" i="2954"/>
  <c r="AX63" i="2948"/>
  <c r="AE61" i="2954"/>
  <c r="AY63" i="2948"/>
  <c r="W75" i="2962"/>
  <c r="AF81" i="2954"/>
  <c r="AF71" i="2954"/>
  <c r="AF281" i="1"/>
  <c r="AF101" i="1"/>
  <c r="AF50" i="2954"/>
  <c r="AF18" i="2954"/>
  <c r="AE50" i="2954"/>
  <c r="AE18" i="2954"/>
  <c r="AF40" i="2954"/>
  <c r="AE40" i="2954"/>
  <c r="AF293" i="1"/>
  <c r="AF295" i="1"/>
  <c r="AG101" i="1"/>
  <c r="AG34" i="1"/>
  <c r="AF34" i="1"/>
  <c r="BF34" i="2948"/>
  <c r="AQ34" i="2948"/>
  <c r="X33" i="2933" l="1"/>
  <c r="X38" i="2933"/>
  <c r="X44" i="2933"/>
  <c r="X40" i="2933"/>
  <c r="X41" i="2933"/>
  <c r="X35" i="2933"/>
  <c r="X37" i="2933"/>
  <c r="X39" i="2933"/>
  <c r="X45" i="2933"/>
  <c r="X42" i="2933"/>
  <c r="X43" i="2933"/>
  <c r="Y37" i="2933"/>
  <c r="Y43" i="2933"/>
  <c r="Y38" i="2933"/>
  <c r="Y44" i="2933"/>
  <c r="Y40" i="2933"/>
  <c r="Y35" i="2933"/>
  <c r="Y42" i="2933"/>
  <c r="Y39" i="2933"/>
  <c r="Y45" i="2933"/>
  <c r="Y41" i="2933"/>
  <c r="AE44" i="2954"/>
  <c r="AE51" i="2954" s="1"/>
  <c r="AF44" i="2954"/>
  <c r="AF282" i="1"/>
  <c r="AE72" i="2954"/>
  <c r="AE82" i="2954" s="1"/>
  <c r="AE88" i="2954" s="1"/>
  <c r="AE93" i="2954" s="1"/>
  <c r="AE94" i="2954" s="1"/>
  <c r="V77" i="2962"/>
  <c r="AE29" i="2954"/>
  <c r="AE30" i="2954" s="1"/>
  <c r="AE32" i="2954" s="1"/>
  <c r="Y33" i="2933"/>
  <c r="AF72" i="2954"/>
  <c r="AF82" i="2954" s="1"/>
  <c r="AF88" i="2954" s="1"/>
  <c r="AF93" i="2954" s="1"/>
  <c r="AF94" i="2954" s="1"/>
  <c r="AF51" i="2954"/>
  <c r="W77" i="2962"/>
  <c r="AF29" i="2954"/>
  <c r="AF30" i="2954" s="1"/>
  <c r="AF32" i="2954" s="1"/>
  <c r="X64" i="2933"/>
  <c r="BG34" i="2948"/>
  <c r="BH34" i="2948" s="1"/>
  <c r="AR34" i="2948"/>
  <c r="AS34" i="2948" s="1"/>
  <c r="AT34" i="2948" s="1"/>
  <c r="T42" i="1"/>
  <c r="U42" i="1"/>
  <c r="V42" i="1"/>
  <c r="T43" i="1"/>
  <c r="U43" i="1"/>
  <c r="V43" i="1"/>
  <c r="T44" i="1"/>
  <c r="U44" i="1"/>
  <c r="V44" i="1"/>
  <c r="T45" i="1"/>
  <c r="U45" i="1"/>
  <c r="V45" i="1"/>
  <c r="T58" i="1"/>
  <c r="U58" i="1"/>
  <c r="V58" i="1"/>
  <c r="Y46" i="2933" l="1"/>
  <c r="Y47" i="2933" s="1"/>
  <c r="X46" i="2933"/>
  <c r="X47" i="2933" s="1"/>
  <c r="Y26" i="2933"/>
  <c r="Y25" i="2933"/>
  <c r="Y23" i="2933"/>
  <c r="Y20" i="2933"/>
  <c r="Y27" i="2933"/>
  <c r="Y24" i="2933"/>
  <c r="Y29" i="2933"/>
  <c r="Y30" i="2933"/>
  <c r="Y22" i="2933"/>
  <c r="Y28" i="2933"/>
  <c r="X29" i="2933"/>
  <c r="X20" i="2933"/>
  <c r="X27" i="2933"/>
  <c r="X23" i="2933"/>
  <c r="X30" i="2933"/>
  <c r="X22" i="2933"/>
  <c r="X28" i="2933"/>
  <c r="X26" i="2933"/>
  <c r="X24" i="2933"/>
  <c r="X25" i="2933"/>
  <c r="W80" i="2962"/>
  <c r="W136" i="2962" s="1"/>
  <c r="V80" i="2962"/>
  <c r="V136" i="2962" s="1"/>
  <c r="Y64" i="2933"/>
  <c r="AE52" i="2954"/>
  <c r="AF52" i="2954"/>
  <c r="BI34" i="2948"/>
  <c r="BJ34" i="2948" s="1"/>
  <c r="AU34" i="2948"/>
  <c r="Y31" i="2933" l="1"/>
  <c r="Y32" i="2933" s="1"/>
  <c r="X31" i="2933"/>
  <c r="X32" i="2933" s="1"/>
  <c r="BK34" i="2948"/>
  <c r="AV34" i="2948"/>
  <c r="AW34" i="2948" s="1"/>
  <c r="BL34" i="2948" l="1"/>
  <c r="BM34" i="2948" s="1"/>
  <c r="BN34" i="2948" s="1"/>
  <c r="AX34" i="2948"/>
  <c r="AW27" i="2949"/>
  <c r="AW30" i="2949" s="1"/>
  <c r="AV27" i="2949"/>
  <c r="AV30" i="2949" s="1"/>
  <c r="AU27" i="2949"/>
  <c r="AU30" i="2949" s="1"/>
  <c r="AW19" i="2949"/>
  <c r="AW21" i="2949" s="1"/>
  <c r="AV19" i="2949"/>
  <c r="AV21" i="2949" s="1"/>
  <c r="AU19" i="2949"/>
  <c r="AU21" i="2949" s="1"/>
  <c r="AQ27" i="2949"/>
  <c r="AQ30" i="2949" s="1"/>
  <c r="AP27" i="2949"/>
  <c r="AP30" i="2949" s="1"/>
  <c r="AO27" i="2949"/>
  <c r="AO30" i="2949" s="1"/>
  <c r="AQ19" i="2949"/>
  <c r="AQ21" i="2949" s="1"/>
  <c r="AP19" i="2949"/>
  <c r="AP21" i="2949" s="1"/>
  <c r="AO19" i="2949"/>
  <c r="AO21" i="2949" s="1"/>
  <c r="AK27" i="2949"/>
  <c r="AK30" i="2949" s="1"/>
  <c r="AJ27" i="2949"/>
  <c r="AJ30" i="2949" s="1"/>
  <c r="AI27" i="2949"/>
  <c r="AI30" i="2949" s="1"/>
  <c r="AK19" i="2949"/>
  <c r="AK21" i="2949" s="1"/>
  <c r="AJ19" i="2949"/>
  <c r="AJ21" i="2949" s="1"/>
  <c r="AI19" i="2949"/>
  <c r="AI21" i="2949" s="1"/>
  <c r="BO34" i="2948" l="1"/>
  <c r="AG106" i="1" s="1"/>
  <c r="AF106" i="1"/>
  <c r="AY34" i="2948"/>
  <c r="AF90" i="1"/>
  <c r="AX54" i="2948"/>
  <c r="AU32" i="2949"/>
  <c r="AW32" i="2949"/>
  <c r="AV32" i="2949"/>
  <c r="AI32" i="2949"/>
  <c r="AP32" i="2949"/>
  <c r="AO32" i="2949"/>
  <c r="AQ32" i="2949"/>
  <c r="AJ32" i="2949"/>
  <c r="AK32" i="2949"/>
  <c r="AG90" i="1" l="1"/>
  <c r="AY54" i="2948"/>
  <c r="V227" i="1" l="1"/>
  <c r="U227" i="1"/>
  <c r="T227" i="1" l="1"/>
  <c r="V218" i="1" l="1"/>
  <c r="U218" i="1"/>
  <c r="T218" i="1"/>
  <c r="Z227" i="1" l="1"/>
  <c r="V18" i="1"/>
  <c r="V19" i="1"/>
  <c r="V20" i="1"/>
  <c r="V21" i="1"/>
  <c r="V22" i="1"/>
  <c r="V23" i="1"/>
  <c r="V24" i="1"/>
  <c r="V17" i="1"/>
  <c r="U18" i="1"/>
  <c r="U19" i="1"/>
  <c r="U20" i="1"/>
  <c r="X20" i="1" s="1"/>
  <c r="U21" i="1"/>
  <c r="U22" i="1"/>
  <c r="U23" i="1"/>
  <c r="U24" i="1"/>
  <c r="U17" i="1"/>
  <c r="T17" i="1"/>
  <c r="V76" i="1"/>
  <c r="U76" i="1"/>
  <c r="T76" i="1"/>
  <c r="V85" i="1"/>
  <c r="V86" i="1"/>
  <c r="V84" i="1"/>
  <c r="U85" i="1"/>
  <c r="U86" i="1"/>
  <c r="U84" i="1"/>
  <c r="T84" i="1"/>
  <c r="V144" i="1"/>
  <c r="U144" i="1"/>
  <c r="T144" i="1"/>
  <c r="T219" i="1"/>
  <c r="V319" i="1"/>
  <c r="V318" i="1"/>
  <c r="U319" i="1"/>
  <c r="U318" i="1"/>
  <c r="T319" i="1"/>
  <c r="T318" i="1"/>
  <c r="V225" i="1"/>
  <c r="U225" i="1"/>
  <c r="U224" i="1"/>
  <c r="T226" i="1"/>
  <c r="T225" i="1"/>
  <c r="T224" i="1"/>
  <c r="S250" i="1"/>
  <c r="T317" i="1"/>
  <c r="U317" i="1"/>
  <c r="V317" i="1"/>
  <c r="T142" i="1"/>
  <c r="V142" i="1"/>
  <c r="H37" i="2941"/>
  <c r="H31" i="2941"/>
  <c r="H33" i="2941"/>
  <c r="H35" i="2941"/>
  <c r="H36" i="2941"/>
  <c r="G31" i="2941"/>
  <c r="G33" i="2941"/>
  <c r="G34" i="2941"/>
  <c r="G35" i="2941"/>
  <c r="G36" i="2941"/>
  <c r="G37" i="2941"/>
  <c r="F31" i="2941"/>
  <c r="H30" i="2941"/>
  <c r="G30" i="2941"/>
  <c r="C30" i="2941"/>
  <c r="D30" i="2941"/>
  <c r="E30" i="2941"/>
  <c r="F30" i="2941"/>
  <c r="C31" i="2941"/>
  <c r="D31" i="2941"/>
  <c r="E31" i="2941"/>
  <c r="C33" i="2941"/>
  <c r="D33" i="2941"/>
  <c r="E33" i="2941"/>
  <c r="F33" i="2941"/>
  <c r="C34" i="2941"/>
  <c r="D34" i="2941"/>
  <c r="E34" i="2941"/>
  <c r="F34" i="2941"/>
  <c r="C35" i="2941"/>
  <c r="D35" i="2941"/>
  <c r="E35" i="2941"/>
  <c r="F35" i="2941"/>
  <c r="C36" i="2941"/>
  <c r="D36" i="2941"/>
  <c r="E36" i="2941"/>
  <c r="F36" i="2941"/>
  <c r="C37" i="2941"/>
  <c r="D37" i="2941"/>
  <c r="E37" i="2941"/>
  <c r="F37" i="2941"/>
  <c r="H67" i="2941"/>
  <c r="H50" i="2941"/>
  <c r="B5" i="2965" l="1"/>
  <c r="D5" i="2965"/>
  <c r="W317" i="1"/>
  <c r="X19" i="1"/>
  <c r="Y19" i="1" s="1"/>
  <c r="Z19" i="1" s="1"/>
  <c r="X18" i="1"/>
  <c r="Y18" i="1" s="1"/>
  <c r="J30" i="2941"/>
  <c r="J37" i="2941"/>
  <c r="J36" i="2941"/>
  <c r="J33" i="2941"/>
  <c r="J31" i="2941"/>
  <c r="Y20" i="1"/>
  <c r="Z20" i="1" s="1"/>
  <c r="AA20" i="1" s="1"/>
  <c r="X17" i="1"/>
  <c r="X24" i="1"/>
  <c r="X23" i="1"/>
  <c r="X22" i="1"/>
  <c r="X21" i="1"/>
  <c r="AA227" i="1"/>
  <c r="W84" i="1"/>
  <c r="W76" i="1"/>
  <c r="W318" i="1"/>
  <c r="W319" i="1"/>
  <c r="X317" i="1" l="1"/>
  <c r="X84" i="1"/>
  <c r="X319" i="1"/>
  <c r="X318" i="1"/>
  <c r="AA19" i="1"/>
  <c r="AB19" i="1" s="1"/>
  <c r="AC19" i="1" s="1"/>
  <c r="Y17" i="1"/>
  <c r="Y22" i="1"/>
  <c r="Z22" i="1" s="1"/>
  <c r="Y23" i="1"/>
  <c r="Z23" i="1" s="1"/>
  <c r="Y24" i="1"/>
  <c r="Y21" i="1"/>
  <c r="Z21" i="1" s="1"/>
  <c r="Z18" i="1"/>
  <c r="AB20" i="1"/>
  <c r="AB227" i="1"/>
  <c r="X76" i="1"/>
  <c r="Y76" i="1" s="1"/>
  <c r="G14" i="2964"/>
  <c r="H25" i="2964"/>
  <c r="Z17" i="1" l="1"/>
  <c r="AA17" i="1" s="1"/>
  <c r="Y84" i="1"/>
  <c r="Z24" i="1"/>
  <c r="AA24" i="1" s="1"/>
  <c r="Y317" i="1"/>
  <c r="Y318" i="1"/>
  <c r="Z318" i="1" s="1"/>
  <c r="Y319" i="1"/>
  <c r="AA22" i="1"/>
  <c r="AB22" i="1" s="1"/>
  <c r="AC22" i="1" s="1"/>
  <c r="AD22" i="1" s="1"/>
  <c r="AA23" i="1"/>
  <c r="Z76" i="1"/>
  <c r="AC20" i="1"/>
  <c r="AD20" i="1" s="1"/>
  <c r="AD19" i="1"/>
  <c r="AE19" i="1" s="1"/>
  <c r="AA18" i="1"/>
  <c r="AB18" i="1" s="1"/>
  <c r="AA21" i="1"/>
  <c r="AB21" i="1" s="1"/>
  <c r="AC21" i="1" s="1"/>
  <c r="AD21" i="1" s="1"/>
  <c r="AC227" i="1"/>
  <c r="Z225" i="1"/>
  <c r="Z218" i="1"/>
  <c r="M93" i="2954"/>
  <c r="Z84" i="1" l="1"/>
  <c r="Z317" i="1"/>
  <c r="AB17" i="1"/>
  <c r="AC17" i="1" s="1"/>
  <c r="Z319" i="1"/>
  <c r="AA319" i="1" s="1"/>
  <c r="AA318" i="1"/>
  <c r="AB318" i="1" s="1"/>
  <c r="AC18" i="1"/>
  <c r="AD18" i="1" s="1"/>
  <c r="AE22" i="1"/>
  <c r="AF22" i="1" s="1"/>
  <c r="AG22" i="1" s="1"/>
  <c r="AE20" i="1"/>
  <c r="AF20" i="1" s="1"/>
  <c r="AF19" i="1"/>
  <c r="AG19" i="1" s="1"/>
  <c r="AB24" i="1"/>
  <c r="AB23" i="1"/>
  <c r="AE21" i="1"/>
  <c r="AF21" i="1" s="1"/>
  <c r="AA225" i="1"/>
  <c r="AB225" i="1" s="1"/>
  <c r="AA144" i="1"/>
  <c r="AA224" i="1"/>
  <c r="AD227" i="1"/>
  <c r="AA218" i="1"/>
  <c r="AA76" i="1"/>
  <c r="V92" i="2954"/>
  <c r="W92" i="2954"/>
  <c r="X92" i="2954"/>
  <c r="Y92" i="2954"/>
  <c r="Z92" i="2954"/>
  <c r="AA92" i="2954"/>
  <c r="AB92" i="2954"/>
  <c r="AC92" i="2954"/>
  <c r="AD92" i="2954"/>
  <c r="S92" i="2954"/>
  <c r="T92" i="2954"/>
  <c r="U92" i="2954"/>
  <c r="T43" i="2954"/>
  <c r="U43" i="2954"/>
  <c r="V43" i="2954"/>
  <c r="W43" i="2954"/>
  <c r="X43" i="2954"/>
  <c r="Y43" i="2954"/>
  <c r="Z43" i="2954"/>
  <c r="AA43" i="2954"/>
  <c r="AB43" i="2954"/>
  <c r="AC43" i="2954"/>
  <c r="AD43" i="2954"/>
  <c r="S43" i="2954"/>
  <c r="B43" i="2954"/>
  <c r="T143" i="2954"/>
  <c r="V49" i="2954"/>
  <c r="W49" i="2954"/>
  <c r="X49" i="2954"/>
  <c r="Y49" i="2954"/>
  <c r="Z49" i="2954"/>
  <c r="AA49" i="2954"/>
  <c r="AB49" i="2954"/>
  <c r="AC49" i="2954"/>
  <c r="AD49" i="2954"/>
  <c r="V48" i="2954"/>
  <c r="W48" i="2954"/>
  <c r="X48" i="2954"/>
  <c r="Y48" i="2954"/>
  <c r="Z48" i="2954"/>
  <c r="AA48" i="2954"/>
  <c r="AB48" i="2954"/>
  <c r="AC48" i="2954"/>
  <c r="AD48" i="2954"/>
  <c r="V47" i="2954"/>
  <c r="W47" i="2954"/>
  <c r="X47" i="2954"/>
  <c r="Y47" i="2954"/>
  <c r="Z47" i="2954"/>
  <c r="AA47" i="2954"/>
  <c r="AB47" i="2954"/>
  <c r="AC47" i="2954"/>
  <c r="AD47" i="2954"/>
  <c r="V42" i="2954"/>
  <c r="W42" i="2954"/>
  <c r="X42" i="2954"/>
  <c r="Y42" i="2954"/>
  <c r="Z42" i="2954"/>
  <c r="AA42" i="2954"/>
  <c r="AB42" i="2954"/>
  <c r="AC42" i="2954"/>
  <c r="AD42" i="2954"/>
  <c r="V37" i="2954"/>
  <c r="W37" i="2954"/>
  <c r="X37" i="2954"/>
  <c r="Y37" i="2954"/>
  <c r="Z37" i="2954"/>
  <c r="AA37" i="2954"/>
  <c r="AB37" i="2954"/>
  <c r="AC37" i="2954"/>
  <c r="AD37" i="2954"/>
  <c r="V35" i="2954"/>
  <c r="W35" i="2954"/>
  <c r="X35" i="2954"/>
  <c r="Y35" i="2954"/>
  <c r="Z35" i="2954"/>
  <c r="AA35" i="2954"/>
  <c r="AB35" i="2954"/>
  <c r="AC35" i="2954"/>
  <c r="AD35" i="2954"/>
  <c r="V36" i="2954"/>
  <c r="W36" i="2954"/>
  <c r="X36" i="2954"/>
  <c r="Y36" i="2954"/>
  <c r="Z36" i="2954"/>
  <c r="AA36" i="2954"/>
  <c r="AB36" i="2954"/>
  <c r="AC36" i="2954"/>
  <c r="AD36" i="2954"/>
  <c r="V31" i="2954"/>
  <c r="W31" i="2954"/>
  <c r="X31" i="2954"/>
  <c r="Y31" i="2954"/>
  <c r="Z31" i="2954"/>
  <c r="AA31" i="2954"/>
  <c r="AB31" i="2954"/>
  <c r="AC31" i="2954"/>
  <c r="AD31" i="2954"/>
  <c r="V27" i="2954"/>
  <c r="W27" i="2954"/>
  <c r="X27" i="2954"/>
  <c r="Y27" i="2954"/>
  <c r="Z27" i="2954"/>
  <c r="AA27" i="2954"/>
  <c r="AB27" i="2954"/>
  <c r="AC27" i="2954"/>
  <c r="AD27" i="2954"/>
  <c r="V25" i="2954"/>
  <c r="W25" i="2954"/>
  <c r="X25" i="2954"/>
  <c r="Y25" i="2954"/>
  <c r="Z25" i="2954"/>
  <c r="AA25" i="2954"/>
  <c r="AB25" i="2954"/>
  <c r="AC25" i="2954"/>
  <c r="AD25" i="2954"/>
  <c r="V26" i="2954"/>
  <c r="W26" i="2954"/>
  <c r="X26" i="2954"/>
  <c r="Y26" i="2954"/>
  <c r="Z26" i="2954"/>
  <c r="AA26" i="2954"/>
  <c r="AB26" i="2954"/>
  <c r="AC26" i="2954"/>
  <c r="AD26" i="2954"/>
  <c r="V24" i="2954"/>
  <c r="W24" i="2954"/>
  <c r="X24" i="2954"/>
  <c r="Y24" i="2954"/>
  <c r="Z24" i="2954"/>
  <c r="AA24" i="2954"/>
  <c r="AB24" i="2954"/>
  <c r="AC24" i="2954"/>
  <c r="AD24" i="2954"/>
  <c r="AC58" i="2954"/>
  <c r="AD58" i="2954"/>
  <c r="AC59" i="2954"/>
  <c r="AD59" i="2954"/>
  <c r="AC60" i="2954"/>
  <c r="AD60" i="2954"/>
  <c r="AC64" i="2954"/>
  <c r="AD64" i="2954"/>
  <c r="AC65" i="2954"/>
  <c r="AD65" i="2954"/>
  <c r="AC66" i="2954"/>
  <c r="AD66" i="2954"/>
  <c r="AC67" i="2954"/>
  <c r="AD67" i="2954"/>
  <c r="AC68" i="2954"/>
  <c r="AD68" i="2954"/>
  <c r="AC69" i="2954"/>
  <c r="AD69" i="2954"/>
  <c r="AC70" i="2954"/>
  <c r="AD70" i="2954"/>
  <c r="AC75" i="2954"/>
  <c r="AD75" i="2954"/>
  <c r="AC76" i="2954"/>
  <c r="AD76" i="2954"/>
  <c r="AC77" i="2954"/>
  <c r="AD77" i="2954"/>
  <c r="AC78" i="2954"/>
  <c r="AD78" i="2954"/>
  <c r="AC79" i="2954"/>
  <c r="AD79" i="2954"/>
  <c r="AC80" i="2954"/>
  <c r="AD80" i="2954"/>
  <c r="AC85" i="2954"/>
  <c r="AD85" i="2954"/>
  <c r="AC86" i="2954"/>
  <c r="AD86" i="2954"/>
  <c r="AC87" i="2954"/>
  <c r="AD87" i="2954"/>
  <c r="AC12" i="2954"/>
  <c r="AD12" i="2954"/>
  <c r="AC13" i="2954"/>
  <c r="AD13" i="2954"/>
  <c r="AC14" i="2954"/>
  <c r="AD14" i="2954"/>
  <c r="AC15" i="2954"/>
  <c r="AD15" i="2954"/>
  <c r="AC16" i="2954"/>
  <c r="AD16" i="2954"/>
  <c r="AC21" i="2954"/>
  <c r="AD21" i="2954"/>
  <c r="AC22" i="2954"/>
  <c r="AD22" i="2954"/>
  <c r="AC23" i="2954"/>
  <c r="AD23" i="2954"/>
  <c r="AA58" i="2954"/>
  <c r="AB58" i="2954"/>
  <c r="AA59" i="2954"/>
  <c r="AB59" i="2954"/>
  <c r="AA60" i="2954"/>
  <c r="AB60" i="2954"/>
  <c r="AA64" i="2954"/>
  <c r="AB64" i="2954"/>
  <c r="AA65" i="2954"/>
  <c r="AB65" i="2954"/>
  <c r="AA66" i="2954"/>
  <c r="AB66" i="2954"/>
  <c r="AA67" i="2954"/>
  <c r="AB67" i="2954"/>
  <c r="AA68" i="2954"/>
  <c r="AB68" i="2954"/>
  <c r="AA69" i="2954"/>
  <c r="AB69" i="2954"/>
  <c r="AA70" i="2954"/>
  <c r="AB70" i="2954"/>
  <c r="AA75" i="2954"/>
  <c r="AB75" i="2954"/>
  <c r="AA76" i="2954"/>
  <c r="AB76" i="2954"/>
  <c r="AA77" i="2954"/>
  <c r="AB77" i="2954"/>
  <c r="AA78" i="2954"/>
  <c r="AB78" i="2954"/>
  <c r="AA79" i="2954"/>
  <c r="AB79" i="2954"/>
  <c r="AA80" i="2954"/>
  <c r="AB80" i="2954"/>
  <c r="AA85" i="2954"/>
  <c r="AB85" i="2954"/>
  <c r="AA86" i="2954"/>
  <c r="AB86" i="2954"/>
  <c r="AA87" i="2954"/>
  <c r="AB87" i="2954"/>
  <c r="AA12" i="2954"/>
  <c r="AB12" i="2954"/>
  <c r="AA13" i="2954"/>
  <c r="AB13" i="2954"/>
  <c r="AA14" i="2954"/>
  <c r="AB14" i="2954"/>
  <c r="AA15" i="2954"/>
  <c r="AB15" i="2954"/>
  <c r="AA16" i="2954"/>
  <c r="AB16" i="2954"/>
  <c r="AA21" i="2954"/>
  <c r="AB21" i="2954"/>
  <c r="AA22" i="2954"/>
  <c r="AB22" i="2954"/>
  <c r="AA23" i="2954"/>
  <c r="AB23" i="2954"/>
  <c r="V58" i="2954"/>
  <c r="W58" i="2954"/>
  <c r="X58" i="2954"/>
  <c r="Y58" i="2954"/>
  <c r="Z58" i="2954"/>
  <c r="V59" i="2954"/>
  <c r="W59" i="2954"/>
  <c r="X59" i="2954"/>
  <c r="Y59" i="2954"/>
  <c r="Z59" i="2954"/>
  <c r="V60" i="2954"/>
  <c r="W60" i="2954"/>
  <c r="X60" i="2954"/>
  <c r="Y60" i="2954"/>
  <c r="Z60" i="2954"/>
  <c r="V64" i="2954"/>
  <c r="W64" i="2954"/>
  <c r="X64" i="2954"/>
  <c r="Y64" i="2954"/>
  <c r="Z64" i="2954"/>
  <c r="V65" i="2954"/>
  <c r="W65" i="2954"/>
  <c r="X65" i="2954"/>
  <c r="Y65" i="2954"/>
  <c r="Z65" i="2954"/>
  <c r="V66" i="2954"/>
  <c r="W66" i="2954"/>
  <c r="X66" i="2954"/>
  <c r="Y66" i="2954"/>
  <c r="Z66" i="2954"/>
  <c r="V67" i="2954"/>
  <c r="W67" i="2954"/>
  <c r="X67" i="2954"/>
  <c r="Y67" i="2954"/>
  <c r="Z67" i="2954"/>
  <c r="V68" i="2954"/>
  <c r="W68" i="2954"/>
  <c r="X68" i="2954"/>
  <c r="Y68" i="2954"/>
  <c r="Z68" i="2954"/>
  <c r="V69" i="2954"/>
  <c r="W69" i="2954"/>
  <c r="X69" i="2954"/>
  <c r="Y69" i="2954"/>
  <c r="Z69" i="2954"/>
  <c r="V70" i="2954"/>
  <c r="W70" i="2954"/>
  <c r="X70" i="2954"/>
  <c r="Y70" i="2954"/>
  <c r="Z70" i="2954"/>
  <c r="V75" i="2954"/>
  <c r="W75" i="2954"/>
  <c r="X75" i="2954"/>
  <c r="Y75" i="2954"/>
  <c r="Z75" i="2954"/>
  <c r="V76" i="2954"/>
  <c r="W76" i="2954"/>
  <c r="X76" i="2954"/>
  <c r="Y76" i="2954"/>
  <c r="Z76" i="2954"/>
  <c r="V77" i="2954"/>
  <c r="W77" i="2954"/>
  <c r="X77" i="2954"/>
  <c r="Y77" i="2954"/>
  <c r="Z77" i="2954"/>
  <c r="V78" i="2954"/>
  <c r="W78" i="2954"/>
  <c r="X78" i="2954"/>
  <c r="Y78" i="2954"/>
  <c r="Z78" i="2954"/>
  <c r="V79" i="2954"/>
  <c r="W79" i="2954"/>
  <c r="X79" i="2954"/>
  <c r="Y79" i="2954"/>
  <c r="Z79" i="2954"/>
  <c r="V80" i="2954"/>
  <c r="W80" i="2954"/>
  <c r="X80" i="2954"/>
  <c r="Y80" i="2954"/>
  <c r="Z80" i="2954"/>
  <c r="V85" i="2954"/>
  <c r="W85" i="2954"/>
  <c r="X85" i="2954"/>
  <c r="Y85" i="2954"/>
  <c r="Z85" i="2954"/>
  <c r="V86" i="2954"/>
  <c r="W86" i="2954"/>
  <c r="X86" i="2954"/>
  <c r="Y86" i="2954"/>
  <c r="Z86" i="2954"/>
  <c r="V87" i="2954"/>
  <c r="W87" i="2954"/>
  <c r="X87" i="2954"/>
  <c r="Y87" i="2954"/>
  <c r="Z87" i="2954"/>
  <c r="V12" i="2954"/>
  <c r="W12" i="2954"/>
  <c r="X12" i="2954"/>
  <c r="Y12" i="2954"/>
  <c r="Z12" i="2954"/>
  <c r="V13" i="2954"/>
  <c r="W13" i="2954"/>
  <c r="X13" i="2954"/>
  <c r="Y13" i="2954"/>
  <c r="Z13" i="2954"/>
  <c r="V14" i="2954"/>
  <c r="W14" i="2954"/>
  <c r="X14" i="2954"/>
  <c r="Y14" i="2954"/>
  <c r="Z14" i="2954"/>
  <c r="V15" i="2954"/>
  <c r="W15" i="2954"/>
  <c r="X15" i="2954"/>
  <c r="Y15" i="2954"/>
  <c r="Z15" i="2954"/>
  <c r="V16" i="2954"/>
  <c r="W16" i="2954"/>
  <c r="X16" i="2954"/>
  <c r="Y16" i="2954"/>
  <c r="Z16" i="2954"/>
  <c r="V21" i="2954"/>
  <c r="W21" i="2954"/>
  <c r="X21" i="2954"/>
  <c r="Y21" i="2954"/>
  <c r="Z21" i="2954"/>
  <c r="V22" i="2954"/>
  <c r="W22" i="2954"/>
  <c r="X22" i="2954"/>
  <c r="Y22" i="2954"/>
  <c r="Z22" i="2954"/>
  <c r="V23" i="2954"/>
  <c r="W23" i="2954"/>
  <c r="X23" i="2954"/>
  <c r="Y23" i="2954"/>
  <c r="Z23" i="2954"/>
  <c r="L34" i="2962"/>
  <c r="K34" i="2962"/>
  <c r="J34" i="2962"/>
  <c r="AD17" i="1" l="1"/>
  <c r="AE17" i="1" s="1"/>
  <c r="AC24" i="1"/>
  <c r="AD24" i="1" s="1"/>
  <c r="AA84" i="1"/>
  <c r="AC318" i="1"/>
  <c r="AB319" i="1"/>
  <c r="AC319" i="1" s="1"/>
  <c r="AG20" i="1"/>
  <c r="AC23" i="1"/>
  <c r="AD23" i="1" s="1"/>
  <c r="AE18" i="1"/>
  <c r="AF18" i="1" s="1"/>
  <c r="AG18" i="1" s="1"/>
  <c r="AG21" i="1"/>
  <c r="AB218" i="1"/>
  <c r="AE227" i="1"/>
  <c r="AC225" i="1"/>
  <c r="AD225" i="1" s="1"/>
  <c r="AA226" i="1"/>
  <c r="AB224" i="1"/>
  <c r="AC224" i="1" s="1"/>
  <c r="AB144" i="1"/>
  <c r="AB76" i="1"/>
  <c r="Z61" i="2954"/>
  <c r="W61" i="2954"/>
  <c r="X61" i="2954"/>
  <c r="AA71" i="2954"/>
  <c r="AD71" i="2954"/>
  <c r="AC81" i="2954"/>
  <c r="Z81" i="2954"/>
  <c r="V81" i="2954"/>
  <c r="AA81" i="2954"/>
  <c r="AB71" i="2954"/>
  <c r="Z71" i="2954"/>
  <c r="V71" i="2954"/>
  <c r="V61" i="2954"/>
  <c r="AD61" i="2954"/>
  <c r="AB81" i="2954"/>
  <c r="AA61" i="2954"/>
  <c r="AD81" i="2954"/>
  <c r="W81" i="2954"/>
  <c r="W71" i="2954"/>
  <c r="X71" i="2954"/>
  <c r="Y61" i="2954"/>
  <c r="AB61" i="2954"/>
  <c r="AC61" i="2954"/>
  <c r="AC71" i="2954"/>
  <c r="Y81" i="2954"/>
  <c r="X81" i="2954"/>
  <c r="Y71" i="2954"/>
  <c r="AB50" i="2954"/>
  <c r="AC50" i="2954"/>
  <c r="Y50" i="2954"/>
  <c r="AA50" i="2954"/>
  <c r="AD50" i="2954"/>
  <c r="Z50" i="2954"/>
  <c r="V50" i="2954"/>
  <c r="X50" i="2954"/>
  <c r="W50" i="2954"/>
  <c r="AD18" i="2954"/>
  <c r="AC18" i="2954"/>
  <c r="AB18" i="2954"/>
  <c r="AA18" i="2954"/>
  <c r="X18" i="2954"/>
  <c r="W18" i="2954"/>
  <c r="Z18" i="2954"/>
  <c r="V18" i="2954"/>
  <c r="Y18" i="2954"/>
  <c r="T12" i="2954"/>
  <c r="S13" i="2954"/>
  <c r="U13" i="2954"/>
  <c r="S14" i="2954"/>
  <c r="T14" i="2954"/>
  <c r="S15" i="2954"/>
  <c r="U15" i="2954"/>
  <c r="T16" i="2954"/>
  <c r="U16" i="2954"/>
  <c r="S21" i="2954"/>
  <c r="S22" i="2954"/>
  <c r="T22" i="2954"/>
  <c r="T23" i="2954"/>
  <c r="U23" i="2954"/>
  <c r="U24" i="2954"/>
  <c r="S25" i="2954"/>
  <c r="S26" i="2954"/>
  <c r="T26" i="2954"/>
  <c r="T27" i="2954"/>
  <c r="U27" i="2954"/>
  <c r="S31" i="2954"/>
  <c r="T31" i="2954"/>
  <c r="T35" i="2954"/>
  <c r="U35" i="2954"/>
  <c r="U36" i="2954"/>
  <c r="S37" i="2954"/>
  <c r="U42" i="2954"/>
  <c r="S47" i="2954"/>
  <c r="S48" i="2954"/>
  <c r="T48" i="2954"/>
  <c r="T49" i="2954"/>
  <c r="U49" i="2954"/>
  <c r="T58" i="2954"/>
  <c r="S59" i="2954"/>
  <c r="U59" i="2954"/>
  <c r="S60" i="2954"/>
  <c r="T60" i="2954"/>
  <c r="S64" i="2954"/>
  <c r="U64" i="2954"/>
  <c r="T65" i="2954"/>
  <c r="U65" i="2954"/>
  <c r="S66" i="2954"/>
  <c r="U66" i="2954"/>
  <c r="T67" i="2954"/>
  <c r="S68" i="2954"/>
  <c r="T68" i="2954"/>
  <c r="U68" i="2954"/>
  <c r="T69" i="2954"/>
  <c r="S70" i="2954"/>
  <c r="U70" i="2954"/>
  <c r="S75" i="2954"/>
  <c r="T75" i="2954"/>
  <c r="S76" i="2954"/>
  <c r="U76" i="2954"/>
  <c r="T77" i="2954"/>
  <c r="U77" i="2954"/>
  <c r="S78" i="2954"/>
  <c r="U78" i="2954"/>
  <c r="T79" i="2954"/>
  <c r="S80" i="2954"/>
  <c r="T80" i="2954"/>
  <c r="U80" i="2954"/>
  <c r="T85" i="2954"/>
  <c r="S86" i="2954"/>
  <c r="U86" i="2954"/>
  <c r="S87" i="2954"/>
  <c r="T87" i="2954"/>
  <c r="S12" i="2954"/>
  <c r="U12" i="2954"/>
  <c r="T13" i="2954"/>
  <c r="U14" i="2954"/>
  <c r="T15" i="2954"/>
  <c r="S16" i="2954"/>
  <c r="T21" i="2954"/>
  <c r="U21" i="2954"/>
  <c r="U22" i="2954"/>
  <c r="S23" i="2954"/>
  <c r="S24" i="2954"/>
  <c r="T24" i="2954"/>
  <c r="T25" i="2954"/>
  <c r="U25" i="2954"/>
  <c r="U26" i="2954"/>
  <c r="S27" i="2954"/>
  <c r="U31" i="2954"/>
  <c r="S35" i="2954"/>
  <c r="S36" i="2954"/>
  <c r="T36" i="2954"/>
  <c r="T37" i="2954"/>
  <c r="U37" i="2954"/>
  <c r="S42" i="2954"/>
  <c r="T42" i="2954"/>
  <c r="T47" i="2954"/>
  <c r="U47" i="2954"/>
  <c r="U48" i="2954"/>
  <c r="S49" i="2954"/>
  <c r="S58" i="2954"/>
  <c r="U58" i="2954"/>
  <c r="T59" i="2954"/>
  <c r="U60" i="2954"/>
  <c r="T64" i="2954"/>
  <c r="S65" i="2954"/>
  <c r="T66" i="2954"/>
  <c r="S67" i="2954"/>
  <c r="U67" i="2954"/>
  <c r="S69" i="2954"/>
  <c r="U69" i="2954"/>
  <c r="T70" i="2954"/>
  <c r="U75" i="2954"/>
  <c r="T76" i="2954"/>
  <c r="S77" i="2954"/>
  <c r="T78" i="2954"/>
  <c r="S79" i="2954"/>
  <c r="U79" i="2954"/>
  <c r="S85" i="2954"/>
  <c r="U85" i="2954"/>
  <c r="T86" i="2954"/>
  <c r="U87" i="2954"/>
  <c r="AA317" i="1"/>
  <c r="AE252" i="1"/>
  <c r="AB226" i="1" l="1"/>
  <c r="AC144" i="1"/>
  <c r="AD144" i="1" s="1"/>
  <c r="AB317" i="1"/>
  <c r="AE24" i="1"/>
  <c r="AF17" i="1"/>
  <c r="AB84" i="1"/>
  <c r="AD319" i="1"/>
  <c r="AD318" i="1"/>
  <c r="AE318" i="1" s="1"/>
  <c r="AF318" i="1" s="1"/>
  <c r="AG318" i="1" s="1"/>
  <c r="AE23" i="1"/>
  <c r="AF23" i="1" s="1"/>
  <c r="AG23" i="1" s="1"/>
  <c r="AD72" i="2954"/>
  <c r="AD82" i="2954" s="1"/>
  <c r="AD88" i="2954" s="1"/>
  <c r="AA72" i="2954"/>
  <c r="AA82" i="2954" s="1"/>
  <c r="AA88" i="2954" s="1"/>
  <c r="AC218" i="1"/>
  <c r="AE225" i="1"/>
  <c r="AF225" i="1" s="1"/>
  <c r="AC226" i="1"/>
  <c r="AD226" i="1" s="1"/>
  <c r="AF227" i="1"/>
  <c r="AD224" i="1"/>
  <c r="AB219" i="1"/>
  <c r="AC76" i="1"/>
  <c r="AB72" i="2954"/>
  <c r="AB82" i="2954" s="1"/>
  <c r="AB88" i="2954" s="1"/>
  <c r="Z72" i="2954"/>
  <c r="Z82" i="2954" s="1"/>
  <c r="Z88" i="2954" s="1"/>
  <c r="W72" i="2954"/>
  <c r="W82" i="2954" s="1"/>
  <c r="W88" i="2954" s="1"/>
  <c r="V72" i="2954"/>
  <c r="V82" i="2954" s="1"/>
  <c r="V88" i="2954" s="1"/>
  <c r="X72" i="2954"/>
  <c r="X82" i="2954" s="1"/>
  <c r="X88" i="2954" s="1"/>
  <c r="AC72" i="2954"/>
  <c r="AC82" i="2954" s="1"/>
  <c r="AC88" i="2954" s="1"/>
  <c r="Y72" i="2954"/>
  <c r="Y82" i="2954" s="1"/>
  <c r="Y88" i="2954" s="1"/>
  <c r="T81" i="2954"/>
  <c r="T71" i="2954"/>
  <c r="T50" i="2954"/>
  <c r="U18" i="2954"/>
  <c r="T18" i="2954"/>
  <c r="S18" i="2954"/>
  <c r="U71" i="2954"/>
  <c r="S71" i="2954"/>
  <c r="U81" i="2954"/>
  <c r="U61" i="2954"/>
  <c r="T61" i="2954"/>
  <c r="S61" i="2954"/>
  <c r="S50" i="2954"/>
  <c r="U50" i="2954"/>
  <c r="S81" i="2954"/>
  <c r="U320" i="1"/>
  <c r="V320" i="1"/>
  <c r="AD252" i="1"/>
  <c r="AC252" i="1"/>
  <c r="B12" i="2954"/>
  <c r="B13" i="2954"/>
  <c r="B14" i="2954"/>
  <c r="B15" i="2954"/>
  <c r="B16" i="2954"/>
  <c r="B21" i="2954"/>
  <c r="B22" i="2954"/>
  <c r="B23" i="2954"/>
  <c r="B24" i="2954"/>
  <c r="B25" i="2954"/>
  <c r="B26" i="2954"/>
  <c r="B27" i="2954"/>
  <c r="B28" i="2954"/>
  <c r="B29" i="2954"/>
  <c r="B31" i="2954"/>
  <c r="N31" i="2954"/>
  <c r="N78" i="1" s="1"/>
  <c r="O31" i="2954"/>
  <c r="O78" i="1" s="1"/>
  <c r="P31" i="2954"/>
  <c r="P78" i="1" s="1"/>
  <c r="Q31" i="2954"/>
  <c r="Q78" i="1" s="1"/>
  <c r="B35" i="2954"/>
  <c r="B36" i="2954"/>
  <c r="B37" i="2954"/>
  <c r="B38" i="2954"/>
  <c r="B39" i="2954"/>
  <c r="B42" i="2954"/>
  <c r="N42" i="2954"/>
  <c r="N123" i="1" s="1"/>
  <c r="O42" i="2954"/>
  <c r="O123" i="1" s="1"/>
  <c r="P42" i="2954"/>
  <c r="P123" i="1" s="1"/>
  <c r="Q42" i="2954"/>
  <c r="Q123" i="1" s="1"/>
  <c r="B47" i="2954"/>
  <c r="B48" i="2954"/>
  <c r="B49" i="2954"/>
  <c r="B58" i="2954"/>
  <c r="B59" i="2954"/>
  <c r="B60" i="2954"/>
  <c r="B64" i="2954"/>
  <c r="B65" i="2954"/>
  <c r="B66" i="2954"/>
  <c r="B67" i="2954"/>
  <c r="B68" i="2954"/>
  <c r="B70" i="2954"/>
  <c r="B75" i="2954"/>
  <c r="B76" i="2954"/>
  <c r="B77" i="2954"/>
  <c r="B78" i="2954"/>
  <c r="B85" i="2954"/>
  <c r="B86" i="2954"/>
  <c r="N86" i="2954"/>
  <c r="O86" i="2954"/>
  <c r="P86" i="2954"/>
  <c r="B87" i="2954"/>
  <c r="N12" i="2954"/>
  <c r="N11" i="1" s="1"/>
  <c r="Q12" i="2954"/>
  <c r="Q11" i="1" s="1"/>
  <c r="R12" i="2954"/>
  <c r="R11" i="1" s="1"/>
  <c r="N13" i="2954"/>
  <c r="N12" i="1" s="1"/>
  <c r="Q13" i="2954"/>
  <c r="Q12" i="1" s="1"/>
  <c r="R13" i="2954"/>
  <c r="R12" i="1" s="1"/>
  <c r="N14" i="2954"/>
  <c r="N13" i="1" s="1"/>
  <c r="Q14" i="2954"/>
  <c r="Q13" i="1" s="1"/>
  <c r="R14" i="2954"/>
  <c r="R13" i="1" s="1"/>
  <c r="N15" i="2954"/>
  <c r="N24" i="1" s="1"/>
  <c r="Q15" i="2954"/>
  <c r="Q24" i="1" s="1"/>
  <c r="R15" i="2954"/>
  <c r="R24" i="1" s="1"/>
  <c r="N16" i="2954"/>
  <c r="N76" i="1" s="1"/>
  <c r="Q16" i="2954"/>
  <c r="Q76" i="1" s="1"/>
  <c r="R16" i="2954"/>
  <c r="R76" i="1" s="1"/>
  <c r="N21" i="2954"/>
  <c r="Q21" i="2954"/>
  <c r="R21" i="2954"/>
  <c r="N22" i="2954"/>
  <c r="N18" i="1" s="1"/>
  <c r="Q22" i="2954"/>
  <c r="Q18" i="1" s="1"/>
  <c r="R22" i="2954"/>
  <c r="R18" i="1" s="1"/>
  <c r="N23" i="2954"/>
  <c r="N19" i="1" s="1"/>
  <c r="Q23" i="2954"/>
  <c r="Q19" i="1" s="1"/>
  <c r="R23" i="2954"/>
  <c r="R19" i="1" s="1"/>
  <c r="N24" i="2954"/>
  <c r="N20" i="1" s="1"/>
  <c r="Q24" i="2954"/>
  <c r="Q20" i="1" s="1"/>
  <c r="R24" i="2954"/>
  <c r="R20" i="1" s="1"/>
  <c r="N25" i="2954"/>
  <c r="N21" i="1" s="1"/>
  <c r="Q25" i="2954"/>
  <c r="Q21" i="1" s="1"/>
  <c r="R25" i="2954"/>
  <c r="R21" i="1" s="1"/>
  <c r="N26" i="2954"/>
  <c r="N22" i="1" s="1"/>
  <c r="Q26" i="2954"/>
  <c r="Q22" i="1" s="1"/>
  <c r="R26" i="2954"/>
  <c r="R22" i="1" s="1"/>
  <c r="N27" i="2954"/>
  <c r="N23" i="1" s="1"/>
  <c r="Q27" i="2954"/>
  <c r="Q23" i="1" s="1"/>
  <c r="R27" i="2954"/>
  <c r="R23" i="1" s="1"/>
  <c r="N28" i="2954"/>
  <c r="Q28" i="2954"/>
  <c r="R28" i="2954"/>
  <c r="Q29" i="2954"/>
  <c r="R29" i="2954"/>
  <c r="R31" i="2954"/>
  <c r="R78" i="1" s="1"/>
  <c r="N35" i="2954"/>
  <c r="N84" i="1" s="1"/>
  <c r="Q35" i="2954"/>
  <c r="Q84" i="1" s="1"/>
  <c r="R35" i="2954"/>
  <c r="R84" i="1" s="1"/>
  <c r="N36" i="2954"/>
  <c r="N85" i="1" s="1"/>
  <c r="Q36" i="2954"/>
  <c r="Q85" i="1" s="1"/>
  <c r="R36" i="2954"/>
  <c r="R85" i="1" s="1"/>
  <c r="N37" i="2954"/>
  <c r="N86" i="1" s="1"/>
  <c r="Q37" i="2954"/>
  <c r="Q86" i="1" s="1"/>
  <c r="R37" i="2954"/>
  <c r="R86" i="1" s="1"/>
  <c r="N38" i="2954"/>
  <c r="N103" i="1" s="1"/>
  <c r="Q38" i="2954"/>
  <c r="R38" i="2954"/>
  <c r="N39" i="2954"/>
  <c r="Q39" i="2954"/>
  <c r="Q119" i="1" s="1"/>
  <c r="R39" i="2954"/>
  <c r="R42" i="2954"/>
  <c r="R123" i="1" s="1"/>
  <c r="N47" i="2954"/>
  <c r="N129" i="1" s="1"/>
  <c r="Q47" i="2954"/>
  <c r="Q129" i="1" s="1"/>
  <c r="Q132" i="1" s="1"/>
  <c r="R47" i="2954"/>
  <c r="R129" i="1" s="1"/>
  <c r="N48" i="2954"/>
  <c r="N130" i="1" s="1"/>
  <c r="Q48" i="2954"/>
  <c r="Q130" i="1" s="1"/>
  <c r="R48" i="2954"/>
  <c r="R130" i="1" s="1"/>
  <c r="N49" i="2954"/>
  <c r="N131" i="1" s="1"/>
  <c r="Q49" i="2954"/>
  <c r="Q131" i="1" s="1"/>
  <c r="R49" i="2954"/>
  <c r="R131" i="1" s="1"/>
  <c r="N58" i="2954"/>
  <c r="Q58" i="2954"/>
  <c r="N59" i="2954"/>
  <c r="Q59" i="2954"/>
  <c r="N60" i="2954"/>
  <c r="Q60" i="2954"/>
  <c r="R60" i="2954"/>
  <c r="N64" i="2954"/>
  <c r="Q64" i="2954"/>
  <c r="R64" i="2954"/>
  <c r="N65" i="2954"/>
  <c r="Q65" i="2954"/>
  <c r="R65" i="2954"/>
  <c r="N66" i="2954"/>
  <c r="Q66" i="2954"/>
  <c r="R66" i="2954"/>
  <c r="N67" i="2954"/>
  <c r="Q67" i="2954"/>
  <c r="R67" i="2954"/>
  <c r="N68" i="2954"/>
  <c r="Q68" i="2954"/>
  <c r="R68" i="2954"/>
  <c r="N69" i="2954"/>
  <c r="Q69" i="2954"/>
  <c r="R69" i="2954"/>
  <c r="N70" i="2954"/>
  <c r="Q70" i="2954"/>
  <c r="R70" i="2954"/>
  <c r="N75" i="2954"/>
  <c r="Q75" i="2954"/>
  <c r="R75" i="2954"/>
  <c r="N76" i="2954"/>
  <c r="Q76" i="2954"/>
  <c r="R76" i="2954"/>
  <c r="N77" i="2954"/>
  <c r="Q77" i="2954"/>
  <c r="R77" i="2954"/>
  <c r="N78" i="2954"/>
  <c r="Q78" i="2954"/>
  <c r="R78" i="2954"/>
  <c r="Q79" i="2954"/>
  <c r="R79" i="2954"/>
  <c r="N80" i="2954"/>
  <c r="Q80" i="2954"/>
  <c r="R80" i="2954"/>
  <c r="N85" i="2954"/>
  <c r="Q85" i="2954"/>
  <c r="R85" i="2954"/>
  <c r="Q86" i="2954"/>
  <c r="R86" i="2954"/>
  <c r="N87" i="2954"/>
  <c r="Q87" i="2954"/>
  <c r="R87" i="2954"/>
  <c r="Q14" i="1" l="1"/>
  <c r="R132" i="1"/>
  <c r="N77" i="1"/>
  <c r="N132" i="1"/>
  <c r="N121" i="1"/>
  <c r="N125" i="1" s="1"/>
  <c r="N14" i="1"/>
  <c r="R14" i="1"/>
  <c r="AG17" i="1"/>
  <c r="AC317" i="1"/>
  <c r="AC84" i="1"/>
  <c r="AF24" i="1"/>
  <c r="AE319" i="1"/>
  <c r="AF319" i="1" s="1"/>
  <c r="AE226" i="1"/>
  <c r="AE144" i="1"/>
  <c r="AD218" i="1"/>
  <c r="AC219" i="1"/>
  <c r="AD219" i="1" s="1"/>
  <c r="AG225" i="1"/>
  <c r="AE224" i="1"/>
  <c r="AF224" i="1" s="1"/>
  <c r="AG227" i="1"/>
  <c r="AD76" i="1"/>
  <c r="T72" i="2954"/>
  <c r="T82" i="2954" s="1"/>
  <c r="T88" i="2954" s="1"/>
  <c r="U72" i="2954"/>
  <c r="U82" i="2954" s="1"/>
  <c r="U88" i="2954" s="1"/>
  <c r="S72" i="2954"/>
  <c r="S82" i="2954" s="1"/>
  <c r="S88" i="2954" s="1"/>
  <c r="Q50" i="2954"/>
  <c r="T320" i="1"/>
  <c r="AB252" i="1"/>
  <c r="Q71" i="2954"/>
  <c r="R81" i="2954"/>
  <c r="N81" i="2954"/>
  <c r="R50" i="2954"/>
  <c r="Q81" i="2954"/>
  <c r="N61" i="2954"/>
  <c r="R18" i="2954"/>
  <c r="N18" i="2954"/>
  <c r="Q40" i="2954"/>
  <c r="N50" i="2954"/>
  <c r="R71" i="2954"/>
  <c r="N71" i="2954"/>
  <c r="Q61" i="2954"/>
  <c r="R40" i="2954"/>
  <c r="N40" i="2954"/>
  <c r="Q18" i="2954"/>
  <c r="V11" i="1"/>
  <c r="V12" i="1"/>
  <c r="Z216" i="1"/>
  <c r="AA216" i="1"/>
  <c r="AB216" i="1"/>
  <c r="AC216" i="1"/>
  <c r="AD216" i="1"/>
  <c r="AE216" i="1"/>
  <c r="T143" i="1"/>
  <c r="T146" i="1"/>
  <c r="T147" i="1"/>
  <c r="R52" i="2933"/>
  <c r="S52" i="2933"/>
  <c r="T52" i="2933"/>
  <c r="U52" i="2933"/>
  <c r="V52" i="2933"/>
  <c r="W52" i="2933"/>
  <c r="R53" i="2933"/>
  <c r="S53" i="2933"/>
  <c r="T53" i="2933"/>
  <c r="U53" i="2933"/>
  <c r="V53" i="2933"/>
  <c r="W53" i="2933"/>
  <c r="R54" i="2933"/>
  <c r="S54" i="2933"/>
  <c r="T54" i="2933"/>
  <c r="U54" i="2933"/>
  <c r="V54" i="2933"/>
  <c r="W54" i="2933"/>
  <c r="R55" i="2933"/>
  <c r="S55" i="2933"/>
  <c r="T55" i="2933"/>
  <c r="U55" i="2933"/>
  <c r="V55" i="2933"/>
  <c r="W55" i="2933"/>
  <c r="R56" i="2933"/>
  <c r="S56" i="2933"/>
  <c r="T56" i="2933"/>
  <c r="U56" i="2933"/>
  <c r="V56" i="2933"/>
  <c r="W56" i="2933"/>
  <c r="R57" i="2933"/>
  <c r="S57" i="2933"/>
  <c r="T57" i="2933"/>
  <c r="U57" i="2933"/>
  <c r="V57" i="2933"/>
  <c r="W57" i="2933"/>
  <c r="R58" i="2933"/>
  <c r="S58" i="2933"/>
  <c r="T58" i="2933"/>
  <c r="U58" i="2933"/>
  <c r="V58" i="2933"/>
  <c r="W58" i="2933"/>
  <c r="R59" i="2933"/>
  <c r="S59" i="2933"/>
  <c r="T59" i="2933"/>
  <c r="U59" i="2933"/>
  <c r="V59" i="2933"/>
  <c r="W59" i="2933"/>
  <c r="R60" i="2933"/>
  <c r="S60" i="2933"/>
  <c r="T60" i="2933"/>
  <c r="U60" i="2933"/>
  <c r="V60" i="2933"/>
  <c r="W60" i="2933"/>
  <c r="R15" i="2933"/>
  <c r="S15" i="2933"/>
  <c r="T15" i="2933"/>
  <c r="U15" i="2933"/>
  <c r="V15" i="2933"/>
  <c r="W15" i="2933"/>
  <c r="R73" i="2933"/>
  <c r="S73" i="2933"/>
  <c r="T73" i="2933"/>
  <c r="U73" i="2933"/>
  <c r="V73" i="2933"/>
  <c r="W73" i="2933"/>
  <c r="U78" i="1"/>
  <c r="V78" i="1"/>
  <c r="T78" i="1"/>
  <c r="U102" i="1"/>
  <c r="V102" i="1"/>
  <c r="T102" i="1"/>
  <c r="T129" i="1"/>
  <c r="U129" i="1"/>
  <c r="V129" i="1"/>
  <c r="T130" i="1"/>
  <c r="U130" i="1"/>
  <c r="V130" i="1"/>
  <c r="X108" i="1"/>
  <c r="Y108" i="1"/>
  <c r="Z108" i="1"/>
  <c r="AA108" i="1"/>
  <c r="AB108" i="1"/>
  <c r="AC108" i="1"/>
  <c r="AD108" i="1"/>
  <c r="AE108" i="1"/>
  <c r="X109" i="1"/>
  <c r="Y109" i="1"/>
  <c r="Z109" i="1"/>
  <c r="AA109" i="1"/>
  <c r="AB109" i="1"/>
  <c r="AC109" i="1"/>
  <c r="AD109" i="1"/>
  <c r="AE109" i="1"/>
  <c r="X110" i="1"/>
  <c r="Y110" i="1"/>
  <c r="Z110" i="1"/>
  <c r="AA110" i="1"/>
  <c r="AB110" i="1"/>
  <c r="AC110" i="1"/>
  <c r="AD110" i="1"/>
  <c r="AE110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2" i="1"/>
  <c r="U112" i="1"/>
  <c r="V112" i="1"/>
  <c r="AE96" i="1"/>
  <c r="AD96" i="1"/>
  <c r="AC96" i="1"/>
  <c r="AB96" i="1"/>
  <c r="AA96" i="1"/>
  <c r="Z96" i="1"/>
  <c r="Y96" i="1"/>
  <c r="X96" i="1"/>
  <c r="AE94" i="1"/>
  <c r="AD94" i="1"/>
  <c r="AC94" i="1"/>
  <c r="AB94" i="1"/>
  <c r="AA94" i="1"/>
  <c r="Z94" i="1"/>
  <c r="Y94" i="1"/>
  <c r="X94" i="1"/>
  <c r="AE93" i="1"/>
  <c r="AD93" i="1"/>
  <c r="AC93" i="1"/>
  <c r="AB93" i="1"/>
  <c r="AA93" i="1"/>
  <c r="Z93" i="1"/>
  <c r="Y93" i="1"/>
  <c r="X93" i="1"/>
  <c r="AE92" i="1"/>
  <c r="AD92" i="1"/>
  <c r="AC92" i="1"/>
  <c r="AB92" i="1"/>
  <c r="AA92" i="1"/>
  <c r="Z92" i="1"/>
  <c r="Y92" i="1"/>
  <c r="X92" i="1"/>
  <c r="AE91" i="1"/>
  <c r="AD91" i="1"/>
  <c r="AC91" i="1"/>
  <c r="AB91" i="1"/>
  <c r="AA91" i="1"/>
  <c r="Z91" i="1"/>
  <c r="Y91" i="1"/>
  <c r="X91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6" i="1"/>
  <c r="U96" i="1"/>
  <c r="V96" i="1"/>
  <c r="W96" i="1"/>
  <c r="T90" i="1"/>
  <c r="U90" i="1"/>
  <c r="V90" i="1"/>
  <c r="T85" i="1"/>
  <c r="T86" i="1"/>
  <c r="W86" i="1" s="1"/>
  <c r="T60" i="1"/>
  <c r="U60" i="1"/>
  <c r="V60" i="1"/>
  <c r="T48" i="1"/>
  <c r="U48" i="1"/>
  <c r="V48" i="1"/>
  <c r="W26" i="1"/>
  <c r="W27" i="1"/>
  <c r="W28" i="1"/>
  <c r="W29" i="1"/>
  <c r="W30" i="1"/>
  <c r="W31" i="1"/>
  <c r="W32" i="1"/>
  <c r="W33" i="1"/>
  <c r="X26" i="1"/>
  <c r="Y26" i="1"/>
  <c r="Z26" i="1"/>
  <c r="AA26" i="1"/>
  <c r="AB26" i="1"/>
  <c r="AC26" i="1"/>
  <c r="AD26" i="1"/>
  <c r="AE26" i="1"/>
  <c r="X27" i="1"/>
  <c r="Y27" i="1"/>
  <c r="Z27" i="1"/>
  <c r="AA27" i="1"/>
  <c r="AB27" i="1"/>
  <c r="AC27" i="1"/>
  <c r="AD27" i="1"/>
  <c r="AE27" i="1"/>
  <c r="X28" i="1"/>
  <c r="Y28" i="1"/>
  <c r="Z28" i="1"/>
  <c r="AA28" i="1"/>
  <c r="AB28" i="1"/>
  <c r="AC28" i="1"/>
  <c r="AD28" i="1"/>
  <c r="AE28" i="1"/>
  <c r="X29" i="1"/>
  <c r="Y29" i="1"/>
  <c r="Z29" i="1"/>
  <c r="AA29" i="1"/>
  <c r="AB29" i="1"/>
  <c r="AC29" i="1"/>
  <c r="AD29" i="1"/>
  <c r="AE29" i="1"/>
  <c r="X30" i="1"/>
  <c r="Y30" i="1"/>
  <c r="Z30" i="1"/>
  <c r="AA30" i="1"/>
  <c r="AB30" i="1"/>
  <c r="AC30" i="1"/>
  <c r="AD30" i="1"/>
  <c r="AE30" i="1"/>
  <c r="X31" i="1"/>
  <c r="Y31" i="1"/>
  <c r="Z31" i="1"/>
  <c r="AA31" i="1"/>
  <c r="AB31" i="1"/>
  <c r="AC31" i="1"/>
  <c r="AD31" i="1"/>
  <c r="AE31" i="1"/>
  <c r="X32" i="1"/>
  <c r="Y32" i="1"/>
  <c r="Z32" i="1"/>
  <c r="AA32" i="1"/>
  <c r="AB32" i="1"/>
  <c r="AC32" i="1"/>
  <c r="AD32" i="1"/>
  <c r="AE32" i="1"/>
  <c r="X33" i="1"/>
  <c r="Y33" i="1"/>
  <c r="Z33" i="1"/>
  <c r="AA33" i="1"/>
  <c r="AB33" i="1"/>
  <c r="AC33" i="1"/>
  <c r="AD33" i="1"/>
  <c r="AE33" i="1"/>
  <c r="T18" i="1"/>
  <c r="T19" i="1"/>
  <c r="T20" i="1"/>
  <c r="T21" i="1"/>
  <c r="T22" i="1"/>
  <c r="T23" i="1"/>
  <c r="T24" i="1"/>
  <c r="AF226" i="1" l="1"/>
  <c r="AG226" i="1" s="1"/>
  <c r="N133" i="1"/>
  <c r="N126" i="1"/>
  <c r="N80" i="1"/>
  <c r="AF144" i="1"/>
  <c r="AG144" i="1" s="1"/>
  <c r="Q44" i="2954"/>
  <c r="Q51" i="2954" s="1"/>
  <c r="AG24" i="1"/>
  <c r="R30" i="2954"/>
  <c r="AD84" i="1"/>
  <c r="AE84" i="1" s="1"/>
  <c r="AD317" i="1"/>
  <c r="Q30" i="2954"/>
  <c r="N44" i="2954"/>
  <c r="R44" i="2954"/>
  <c r="R51" i="2954" s="1"/>
  <c r="X78" i="1"/>
  <c r="AG319" i="1"/>
  <c r="W34" i="1"/>
  <c r="W130" i="1"/>
  <c r="AE219" i="1"/>
  <c r="AF219" i="1" s="1"/>
  <c r="AE218" i="1"/>
  <c r="W85" i="1"/>
  <c r="AG224" i="1"/>
  <c r="AE76" i="1"/>
  <c r="X86" i="1"/>
  <c r="V61" i="2933"/>
  <c r="V63" i="2933" s="1"/>
  <c r="V48" i="2933" s="1"/>
  <c r="U61" i="2933"/>
  <c r="U63" i="2933" s="1"/>
  <c r="U48" i="2933" s="1"/>
  <c r="Q72" i="2954"/>
  <c r="Q82" i="2954" s="1"/>
  <c r="Q88" i="2954" s="1"/>
  <c r="V59" i="1"/>
  <c r="AA252" i="1"/>
  <c r="T59" i="1"/>
  <c r="U59" i="1"/>
  <c r="V75" i="2933"/>
  <c r="R75" i="2933"/>
  <c r="R61" i="2933"/>
  <c r="R63" i="2933" s="1"/>
  <c r="R48" i="2933" s="1"/>
  <c r="U75" i="2933"/>
  <c r="T75" i="2933"/>
  <c r="W75" i="2933"/>
  <c r="S75" i="2933"/>
  <c r="N72" i="2954"/>
  <c r="N82" i="2954" s="1"/>
  <c r="N88" i="2954" s="1"/>
  <c r="T61" i="2933"/>
  <c r="T63" i="2933" s="1"/>
  <c r="W61" i="2933"/>
  <c r="W63" i="2933" s="1"/>
  <c r="W48" i="2933" s="1"/>
  <c r="S61" i="2933"/>
  <c r="S63" i="2933" s="1"/>
  <c r="Z134" i="1"/>
  <c r="AA134" i="1"/>
  <c r="AB134" i="1"/>
  <c r="AC134" i="1"/>
  <c r="AD134" i="1"/>
  <c r="AE134" i="1"/>
  <c r="Z126" i="1"/>
  <c r="AA126" i="1"/>
  <c r="AB126" i="1"/>
  <c r="AC126" i="1"/>
  <c r="AD126" i="1"/>
  <c r="AE126" i="1"/>
  <c r="L120" i="2962"/>
  <c r="U39" i="2954" s="1"/>
  <c r="U142" i="1"/>
  <c r="J120" i="2962"/>
  <c r="S39" i="2954" s="1"/>
  <c r="J104" i="2962"/>
  <c r="S38" i="2954" s="1"/>
  <c r="L104" i="2962"/>
  <c r="U38" i="2954" s="1"/>
  <c r="L132" i="2962"/>
  <c r="M132" i="2962"/>
  <c r="N132" i="2962"/>
  <c r="O132" i="2962"/>
  <c r="P132" i="2962"/>
  <c r="Q132" i="2962"/>
  <c r="R132" i="2962"/>
  <c r="S132" i="2962"/>
  <c r="T132" i="2962"/>
  <c r="U132" i="2962"/>
  <c r="M120" i="2962"/>
  <c r="V39" i="2954" s="1"/>
  <c r="N120" i="2962"/>
  <c r="W39" i="2954" s="1"/>
  <c r="O120" i="2962"/>
  <c r="X39" i="2954" s="1"/>
  <c r="P120" i="2962"/>
  <c r="Y39" i="2954" s="1"/>
  <c r="Q120" i="2962"/>
  <c r="Z39" i="2954" s="1"/>
  <c r="R120" i="2962"/>
  <c r="AA39" i="2954" s="1"/>
  <c r="S120" i="2962"/>
  <c r="AB39" i="2954" s="1"/>
  <c r="T120" i="2962"/>
  <c r="AC39" i="2954" s="1"/>
  <c r="U120" i="2962"/>
  <c r="AD39" i="2954" s="1"/>
  <c r="M104" i="2962"/>
  <c r="V38" i="2954" s="1"/>
  <c r="N104" i="2962"/>
  <c r="W38" i="2954" s="1"/>
  <c r="O104" i="2962"/>
  <c r="X38" i="2954" s="1"/>
  <c r="P104" i="2962"/>
  <c r="Y38" i="2954" s="1"/>
  <c r="Q104" i="2962"/>
  <c r="Z38" i="2954" s="1"/>
  <c r="R104" i="2962"/>
  <c r="AA38" i="2954" s="1"/>
  <c r="S104" i="2962"/>
  <c r="AB38" i="2954" s="1"/>
  <c r="T104" i="2962"/>
  <c r="AC38" i="2954" s="1"/>
  <c r="U104" i="2962"/>
  <c r="AD38" i="2954" s="1"/>
  <c r="O61" i="2962"/>
  <c r="P61" i="2962"/>
  <c r="Q61" i="2962"/>
  <c r="R61" i="2962"/>
  <c r="S61" i="2962"/>
  <c r="T61" i="2962"/>
  <c r="U61" i="2962"/>
  <c r="O46" i="2962"/>
  <c r="P46" i="2962"/>
  <c r="Q46" i="2962"/>
  <c r="R46" i="2962"/>
  <c r="S46" i="2962"/>
  <c r="T46" i="2962"/>
  <c r="U46" i="2962"/>
  <c r="O34" i="2962"/>
  <c r="P34" i="2962"/>
  <c r="Q34" i="2962"/>
  <c r="R34" i="2962"/>
  <c r="S34" i="2962"/>
  <c r="T34" i="2962"/>
  <c r="U34" i="2962"/>
  <c r="O37" i="2962"/>
  <c r="P37" i="2962"/>
  <c r="Q37" i="2962"/>
  <c r="R37" i="2962"/>
  <c r="S37" i="2962"/>
  <c r="T37" i="2962"/>
  <c r="U37" i="2962"/>
  <c r="O14" i="2962"/>
  <c r="P14" i="2962"/>
  <c r="Q14" i="2962"/>
  <c r="R14" i="2962"/>
  <c r="S14" i="2962"/>
  <c r="T14" i="2962"/>
  <c r="U14" i="2962"/>
  <c r="L61" i="2962"/>
  <c r="N61" i="2962"/>
  <c r="J61" i="2962"/>
  <c r="L46" i="2962"/>
  <c r="M46" i="2962"/>
  <c r="N46" i="2962"/>
  <c r="N34" i="2962"/>
  <c r="L37" i="2962"/>
  <c r="N37" i="2962"/>
  <c r="R40" i="2933" l="1"/>
  <c r="R45" i="2933"/>
  <c r="R38" i="2933"/>
  <c r="R39" i="2933"/>
  <c r="R44" i="2933"/>
  <c r="R42" i="2933"/>
  <c r="R35" i="2933"/>
  <c r="R37" i="2933"/>
  <c r="R41" i="2933"/>
  <c r="R43" i="2933"/>
  <c r="V33" i="2933"/>
  <c r="V42" i="2933"/>
  <c r="V35" i="2933"/>
  <c r="V37" i="2933"/>
  <c r="V39" i="2933"/>
  <c r="V41" i="2933"/>
  <c r="V43" i="2933"/>
  <c r="V45" i="2933"/>
  <c r="V38" i="2933"/>
  <c r="V40" i="2933"/>
  <c r="V44" i="2933"/>
  <c r="W45" i="2933"/>
  <c r="W44" i="2933"/>
  <c r="W39" i="2933"/>
  <c r="W38" i="2933"/>
  <c r="W37" i="2933"/>
  <c r="W41" i="2933"/>
  <c r="W43" i="2933"/>
  <c r="W40" i="2933"/>
  <c r="W42" i="2933"/>
  <c r="W35" i="2933"/>
  <c r="U35" i="2933"/>
  <c r="U40" i="2933"/>
  <c r="U37" i="2933"/>
  <c r="U39" i="2933"/>
  <c r="U41" i="2933"/>
  <c r="U43" i="2933"/>
  <c r="U45" i="2933"/>
  <c r="U42" i="2933"/>
  <c r="U44" i="2933"/>
  <c r="U38" i="2933"/>
  <c r="N51" i="2954"/>
  <c r="C5" i="2965"/>
  <c r="AF292" i="1"/>
  <c r="X85" i="1"/>
  <c r="AF84" i="1"/>
  <c r="R32" i="2954"/>
  <c r="R52" i="2954" s="1"/>
  <c r="AE317" i="1"/>
  <c r="Q32" i="2954"/>
  <c r="Y78" i="1"/>
  <c r="X130" i="1"/>
  <c r="AF218" i="1"/>
  <c r="AG219" i="1"/>
  <c r="AG292" i="1"/>
  <c r="AF76" i="1"/>
  <c r="AA40" i="2954"/>
  <c r="W40" i="2954"/>
  <c r="AB40" i="2954"/>
  <c r="X40" i="2954"/>
  <c r="Y85" i="1"/>
  <c r="Y86" i="1"/>
  <c r="U40" i="2954"/>
  <c r="AC40" i="2954"/>
  <c r="Y40" i="2954"/>
  <c r="S40" i="2954"/>
  <c r="S44" i="2954" s="1"/>
  <c r="S51" i="2954" s="1"/>
  <c r="U33" i="2933"/>
  <c r="R33" i="2933"/>
  <c r="AD40" i="2954"/>
  <c r="Z40" i="2954"/>
  <c r="V40" i="2954"/>
  <c r="Z252" i="1"/>
  <c r="T48" i="2933"/>
  <c r="S48" i="2933"/>
  <c r="W33" i="2933"/>
  <c r="U39" i="2962"/>
  <c r="AD28" i="2954" s="1"/>
  <c r="Q39" i="2962"/>
  <c r="Z28" i="2954" s="1"/>
  <c r="L75" i="2962"/>
  <c r="U29" i="2954" s="1"/>
  <c r="V28" i="2954"/>
  <c r="R75" i="2962"/>
  <c r="AA29" i="2954" s="1"/>
  <c r="U121" i="2962"/>
  <c r="U125" i="2962" s="1"/>
  <c r="U133" i="2962" s="1"/>
  <c r="Q121" i="2962"/>
  <c r="Q125" i="2962" s="1"/>
  <c r="Q133" i="2962" s="1"/>
  <c r="M121" i="2962"/>
  <c r="M125" i="2962" s="1"/>
  <c r="M133" i="2962" s="1"/>
  <c r="T39" i="2962"/>
  <c r="AC28" i="2954" s="1"/>
  <c r="P39" i="2962"/>
  <c r="Y28" i="2954" s="1"/>
  <c r="R39" i="2962"/>
  <c r="AA28" i="2954" s="1"/>
  <c r="N39" i="2962"/>
  <c r="W28" i="2954" s="1"/>
  <c r="N75" i="2962"/>
  <c r="W29" i="2954" s="1"/>
  <c r="R121" i="2962"/>
  <c r="R125" i="2962" s="1"/>
  <c r="R133" i="2962" s="1"/>
  <c r="N121" i="2962"/>
  <c r="N125" i="2962" s="1"/>
  <c r="N133" i="2962" s="1"/>
  <c r="S121" i="2962"/>
  <c r="S125" i="2962" s="1"/>
  <c r="S133" i="2962" s="1"/>
  <c r="O121" i="2962"/>
  <c r="O125" i="2962" s="1"/>
  <c r="O133" i="2962" s="1"/>
  <c r="O75" i="2962"/>
  <c r="X29" i="2954" s="1"/>
  <c r="L39" i="2962"/>
  <c r="U28" i="2954" s="1"/>
  <c r="M75" i="2962"/>
  <c r="V29" i="2954" s="1"/>
  <c r="U75" i="2962"/>
  <c r="Q75" i="2962"/>
  <c r="S75" i="2962"/>
  <c r="AB29" i="2954" s="1"/>
  <c r="S39" i="2962"/>
  <c r="AB28" i="2954" s="1"/>
  <c r="O39" i="2962"/>
  <c r="X28" i="2954" s="1"/>
  <c r="T75" i="2962"/>
  <c r="P75" i="2962"/>
  <c r="Y29" i="2954" s="1"/>
  <c r="T121" i="2962"/>
  <c r="P121" i="2962"/>
  <c r="L121" i="2962"/>
  <c r="U46" i="2933" l="1"/>
  <c r="U47" i="2933" s="1"/>
  <c r="R46" i="2933"/>
  <c r="R47" i="2933" s="1"/>
  <c r="V46" i="2933"/>
  <c r="V47" i="2933" s="1"/>
  <c r="T33" i="2933"/>
  <c r="T38" i="2933"/>
  <c r="T37" i="2933"/>
  <c r="T39" i="2933"/>
  <c r="T41" i="2933"/>
  <c r="T43" i="2933"/>
  <c r="T45" i="2933"/>
  <c r="T40" i="2933"/>
  <c r="T42" i="2933"/>
  <c r="T46" i="2933" s="1"/>
  <c r="T47" i="2933" s="1"/>
  <c r="T35" i="2933"/>
  <c r="T44" i="2933"/>
  <c r="V64" i="2933"/>
  <c r="V28" i="2933"/>
  <c r="V30" i="2933"/>
  <c r="V23" i="2933"/>
  <c r="V24" i="2933"/>
  <c r="V22" i="2933"/>
  <c r="V26" i="2933"/>
  <c r="V20" i="2933"/>
  <c r="V27" i="2933"/>
  <c r="V31" i="2933" s="1"/>
  <c r="V32" i="2933" s="1"/>
  <c r="V29" i="2933"/>
  <c r="V25" i="2933"/>
  <c r="R64" i="2933"/>
  <c r="R20" i="2933"/>
  <c r="R25" i="2933"/>
  <c r="R23" i="2933"/>
  <c r="R26" i="2933"/>
  <c r="R22" i="2933"/>
  <c r="R27" i="2933"/>
  <c r="R29" i="2933"/>
  <c r="R24" i="2933"/>
  <c r="R28" i="2933"/>
  <c r="R30" i="2933"/>
  <c r="U64" i="2933"/>
  <c r="U20" i="2933"/>
  <c r="U29" i="2933"/>
  <c r="U22" i="2933"/>
  <c r="U24" i="2933"/>
  <c r="U26" i="2933"/>
  <c r="U28" i="2933"/>
  <c r="U30" i="2933"/>
  <c r="U23" i="2933"/>
  <c r="U25" i="2933"/>
  <c r="U27" i="2933"/>
  <c r="W26" i="2933"/>
  <c r="W27" i="2933"/>
  <c r="W22" i="2933"/>
  <c r="W30" i="2933"/>
  <c r="W23" i="2933"/>
  <c r="W24" i="2933"/>
  <c r="W28" i="2933"/>
  <c r="W20" i="2933"/>
  <c r="W25" i="2933"/>
  <c r="W29" i="2933"/>
  <c r="S33" i="2933"/>
  <c r="S64" i="2933" s="1"/>
  <c r="S37" i="2933"/>
  <c r="S39" i="2933"/>
  <c r="S41" i="2933"/>
  <c r="S43" i="2933"/>
  <c r="S45" i="2933"/>
  <c r="S44" i="2933"/>
  <c r="S38" i="2933"/>
  <c r="S40" i="2933"/>
  <c r="S42" i="2933"/>
  <c r="S35" i="2933"/>
  <c r="Y44" i="2954"/>
  <c r="Y51" i="2954" s="1"/>
  <c r="AC44" i="2954"/>
  <c r="AC51" i="2954" s="1"/>
  <c r="X44" i="2954"/>
  <c r="X51" i="2954" s="1"/>
  <c r="AB44" i="2954"/>
  <c r="AB51" i="2954" s="1"/>
  <c r="Z44" i="2954"/>
  <c r="Z51" i="2954" s="1"/>
  <c r="W44" i="2954"/>
  <c r="W51" i="2954" s="1"/>
  <c r="AD44" i="2954"/>
  <c r="AD51" i="2954" s="1"/>
  <c r="AA44" i="2954"/>
  <c r="AA51" i="2954" s="1"/>
  <c r="V44" i="2954"/>
  <c r="V51" i="2954" s="1"/>
  <c r="U44" i="2954"/>
  <c r="U51" i="2954" s="1"/>
  <c r="AF317" i="1"/>
  <c r="Q52" i="2954"/>
  <c r="AG84" i="1"/>
  <c r="U30" i="2954"/>
  <c r="U32" i="2954" s="1"/>
  <c r="Z78" i="1"/>
  <c r="Y130" i="1"/>
  <c r="Z130" i="1" s="1"/>
  <c r="AA130" i="1" s="1"/>
  <c r="Z85" i="1"/>
  <c r="AG218" i="1"/>
  <c r="AG76" i="1"/>
  <c r="Z86" i="1"/>
  <c r="AB30" i="2954"/>
  <c r="AB32" i="2954" s="1"/>
  <c r="X30" i="2954"/>
  <c r="X32" i="2954" s="1"/>
  <c r="X52" i="2954" s="1"/>
  <c r="U77" i="2962"/>
  <c r="AD29" i="2954"/>
  <c r="AD30" i="2954" s="1"/>
  <c r="AD32" i="2954" s="1"/>
  <c r="AD52" i="2954" s="1"/>
  <c r="W30" i="2954"/>
  <c r="W32" i="2954" s="1"/>
  <c r="V30" i="2954"/>
  <c r="V32" i="2954" s="1"/>
  <c r="AA30" i="2954"/>
  <c r="AA32" i="2954" s="1"/>
  <c r="T77" i="2962"/>
  <c r="T80" i="2962" s="1"/>
  <c r="AC29" i="2954"/>
  <c r="AC30" i="2954" s="1"/>
  <c r="AC32" i="2954" s="1"/>
  <c r="Q77" i="2962"/>
  <c r="Z29" i="2954"/>
  <c r="Z30" i="2954" s="1"/>
  <c r="Z32" i="2954" s="1"/>
  <c r="Y30" i="2954"/>
  <c r="Y32" i="2954" s="1"/>
  <c r="R77" i="2962"/>
  <c r="Y252" i="1"/>
  <c r="T64" i="2933"/>
  <c r="W46" i="2933"/>
  <c r="W47" i="2933" s="1"/>
  <c r="W64" i="2933"/>
  <c r="R31" i="2933"/>
  <c r="R32" i="2933" s="1"/>
  <c r="M77" i="2962"/>
  <c r="P77" i="2962"/>
  <c r="P80" i="2962" s="1"/>
  <c r="L77" i="2962"/>
  <c r="N77" i="2962"/>
  <c r="O77" i="2962"/>
  <c r="T125" i="2962"/>
  <c r="T133" i="2962" s="1"/>
  <c r="P125" i="2962"/>
  <c r="P133" i="2962" s="1"/>
  <c r="L125" i="2962"/>
  <c r="L133" i="2962" s="1"/>
  <c r="S77" i="2962"/>
  <c r="AC116" i="1"/>
  <c r="AD116" i="1"/>
  <c r="AE116" i="1"/>
  <c r="S46" i="2933" l="1"/>
  <c r="S47" i="2933" s="1"/>
  <c r="U31" i="2933"/>
  <c r="U32" i="2933" s="1"/>
  <c r="S22" i="2933"/>
  <c r="S24" i="2933"/>
  <c r="S26" i="2933"/>
  <c r="S28" i="2933"/>
  <c r="S30" i="2933"/>
  <c r="S20" i="2933"/>
  <c r="S25" i="2933"/>
  <c r="S23" i="2933"/>
  <c r="S27" i="2933"/>
  <c r="S29" i="2933"/>
  <c r="T22" i="2933"/>
  <c r="T24" i="2933"/>
  <c r="T26" i="2933"/>
  <c r="T28" i="2933"/>
  <c r="T30" i="2933"/>
  <c r="T27" i="2933"/>
  <c r="T20" i="2933"/>
  <c r="T23" i="2933"/>
  <c r="T25" i="2933"/>
  <c r="T29" i="2933"/>
  <c r="U52" i="2954"/>
  <c r="V52" i="2954"/>
  <c r="W52" i="2954"/>
  <c r="Y52" i="2954"/>
  <c r="AB52" i="2954"/>
  <c r="Z52" i="2954"/>
  <c r="AC52" i="2954"/>
  <c r="AA52" i="2954"/>
  <c r="AG317" i="1"/>
  <c r="AF320" i="1"/>
  <c r="U80" i="2962"/>
  <c r="U136" i="2962" s="1"/>
  <c r="R80" i="2962"/>
  <c r="R136" i="2962" s="1"/>
  <c r="Q80" i="2962"/>
  <c r="Q136" i="2962" s="1"/>
  <c r="S80" i="2962"/>
  <c r="S136" i="2962" s="1"/>
  <c r="O80" i="2962"/>
  <c r="O136" i="2962" s="1"/>
  <c r="AA78" i="1"/>
  <c r="AB130" i="1"/>
  <c r="AA85" i="1"/>
  <c r="T136" i="2962"/>
  <c r="P136" i="2962"/>
  <c r="AA86" i="1"/>
  <c r="AB86" i="1" s="1"/>
  <c r="X252" i="1"/>
  <c r="W31" i="2933"/>
  <c r="W32" i="2933" s="1"/>
  <c r="F9" i="2930"/>
  <c r="AM43" i="2948" s="1"/>
  <c r="T232" i="1"/>
  <c r="U232" i="1"/>
  <c r="AC232" i="1"/>
  <c r="AD232" i="1"/>
  <c r="AE232" i="1"/>
  <c r="S31" i="2933" l="1"/>
  <c r="S32" i="2933" s="1"/>
  <c r="T31" i="2933"/>
  <c r="T32" i="2933" s="1"/>
  <c r="AG320" i="1"/>
  <c r="AB78" i="1"/>
  <c r="AC130" i="1"/>
  <c r="AD130" i="1" s="1"/>
  <c r="AE130" i="1" s="1"/>
  <c r="AB85" i="1"/>
  <c r="AC86" i="1"/>
  <c r="T233" i="1"/>
  <c r="T234" i="1" s="1"/>
  <c r="W252" i="1"/>
  <c r="U233" i="1"/>
  <c r="U234" i="1" s="1"/>
  <c r="AC78" i="1" l="1"/>
  <c r="AF130" i="1"/>
  <c r="AG130" i="1" s="1"/>
  <c r="AC85" i="1"/>
  <c r="AD86" i="1"/>
  <c r="AE86" i="1" s="1"/>
  <c r="AF86" i="1" s="1"/>
  <c r="AG86" i="1" s="1"/>
  <c r="V252" i="1"/>
  <c r="H22" i="2941"/>
  <c r="H34" i="2941" s="1"/>
  <c r="G71" i="2941"/>
  <c r="G54" i="2941"/>
  <c r="AD78" i="1" l="1"/>
  <c r="AD85" i="1"/>
  <c r="U252" i="1"/>
  <c r="T252" i="1"/>
  <c r="G26" i="2941"/>
  <c r="G27" i="2941" s="1"/>
  <c r="AE78" i="1" l="1"/>
  <c r="AF78" i="1" s="1"/>
  <c r="AE85" i="1"/>
  <c r="H31" i="2964"/>
  <c r="H32" i="2964" s="1"/>
  <c r="I14" i="2964"/>
  <c r="T308" i="1"/>
  <c r="K132" i="2962"/>
  <c r="K120" i="2962"/>
  <c r="T39" i="2954" s="1"/>
  <c r="K104" i="2962"/>
  <c r="T38" i="2954" s="1"/>
  <c r="K61" i="2962"/>
  <c r="K46" i="2962"/>
  <c r="K37" i="2962"/>
  <c r="K14" i="2962"/>
  <c r="O73" i="2933"/>
  <c r="N73" i="2933"/>
  <c r="M73" i="2933"/>
  <c r="L73" i="2933"/>
  <c r="O15" i="2933"/>
  <c r="N15" i="2933"/>
  <c r="M15" i="2933"/>
  <c r="L15" i="2933"/>
  <c r="AG78" i="1" l="1"/>
  <c r="AF85" i="1"/>
  <c r="T40" i="2954"/>
  <c r="N75" i="2933"/>
  <c r="I31" i="2964"/>
  <c r="M75" i="2933"/>
  <c r="O75" i="2933"/>
  <c r="L75" i="2933"/>
  <c r="K39" i="2962"/>
  <c r="T28" i="2954" s="1"/>
  <c r="K121" i="2962"/>
  <c r="K75" i="2962"/>
  <c r="T29" i="2954" s="1"/>
  <c r="T44" i="2954" l="1"/>
  <c r="T51" i="2954" s="1"/>
  <c r="I32" i="2964"/>
  <c r="J25" i="2964" s="1"/>
  <c r="J18" i="2964" s="1"/>
  <c r="J31" i="2964"/>
  <c r="J32" i="2964" s="1"/>
  <c r="AG85" i="1"/>
  <c r="T30" i="2954"/>
  <c r="T32" i="2954" s="1"/>
  <c r="K125" i="2962"/>
  <c r="K133" i="2962" s="1"/>
  <c r="K77" i="2962"/>
  <c r="K80" i="2962" s="1"/>
  <c r="K31" i="2964"/>
  <c r="T52" i="2954" l="1"/>
  <c r="K25" i="2964"/>
  <c r="X39" i="1"/>
  <c r="K136" i="2962"/>
  <c r="L31" i="2964"/>
  <c r="K32" i="2964" l="1"/>
  <c r="X40" i="1"/>
  <c r="J24" i="2964"/>
  <c r="J22" i="2964"/>
  <c r="J19" i="2964"/>
  <c r="J20" i="2964"/>
  <c r="J23" i="2964"/>
  <c r="J21" i="2964"/>
  <c r="M31" i="2964"/>
  <c r="Y39" i="1" l="1"/>
  <c r="K21" i="2964"/>
  <c r="K24" i="2964"/>
  <c r="K18" i="2964"/>
  <c r="K22" i="2964"/>
  <c r="K20" i="2964"/>
  <c r="K19" i="2964"/>
  <c r="K23" i="2964"/>
  <c r="N31" i="2964"/>
  <c r="Y40" i="1" l="1"/>
  <c r="L25" i="2964"/>
  <c r="O31" i="2964"/>
  <c r="L32" i="2964" l="1"/>
  <c r="M25" i="2964" s="1"/>
  <c r="L21" i="2964"/>
  <c r="Z39" i="1"/>
  <c r="L18" i="2964"/>
  <c r="L19" i="2964"/>
  <c r="L20" i="2964"/>
  <c r="L22" i="2964"/>
  <c r="L24" i="2964"/>
  <c r="L23" i="2964"/>
  <c r="P31" i="2964"/>
  <c r="Z40" i="1" l="1"/>
  <c r="M32" i="2964"/>
  <c r="Z142" i="1"/>
  <c r="Q31" i="2964"/>
  <c r="H5" i="2965" l="1"/>
  <c r="M18" i="2964"/>
  <c r="M19" i="2964"/>
  <c r="M20" i="2964"/>
  <c r="AA39" i="1"/>
  <c r="M22" i="2964"/>
  <c r="M24" i="2964"/>
  <c r="M23" i="2964"/>
  <c r="M21" i="2964"/>
  <c r="R31" i="2964"/>
  <c r="S31" i="2964" s="1"/>
  <c r="AA40" i="1" l="1"/>
  <c r="AA142" i="1"/>
  <c r="N25" i="2964"/>
  <c r="I5" i="2965" l="1"/>
  <c r="N32" i="2964"/>
  <c r="AB142" i="1" s="1"/>
  <c r="N24" i="2964"/>
  <c r="N20" i="2964"/>
  <c r="AB39" i="1"/>
  <c r="N18" i="2964"/>
  <c r="N19" i="2964"/>
  <c r="N23" i="2964"/>
  <c r="N21" i="2964"/>
  <c r="N22" i="2964"/>
  <c r="AB40" i="1" l="1"/>
  <c r="J5" i="2965"/>
  <c r="O25" i="2964"/>
  <c r="AC233" i="1"/>
  <c r="AD233" i="1"/>
  <c r="AE233" i="1"/>
  <c r="O32" i="2964" l="1"/>
  <c r="P25" i="2964" s="1"/>
  <c r="AC39" i="1"/>
  <c r="O18" i="2964"/>
  <c r="O22" i="2964"/>
  <c r="O23" i="2964"/>
  <c r="O19" i="2964"/>
  <c r="O21" i="2964"/>
  <c r="O24" i="2964"/>
  <c r="O20" i="2964"/>
  <c r="Z143" i="1"/>
  <c r="AA143" i="1"/>
  <c r="AB143" i="1"/>
  <c r="AC143" i="1"/>
  <c r="AD143" i="1"/>
  <c r="AE143" i="1"/>
  <c r="X146" i="1"/>
  <c r="Y146" i="1"/>
  <c r="Z146" i="1"/>
  <c r="AA146" i="1"/>
  <c r="AB146" i="1"/>
  <c r="AC146" i="1"/>
  <c r="AD146" i="1"/>
  <c r="AE146" i="1"/>
  <c r="W146" i="1"/>
  <c r="W147" i="1"/>
  <c r="V147" i="1"/>
  <c r="V143" i="1"/>
  <c r="V146" i="1"/>
  <c r="U147" i="1"/>
  <c r="U146" i="1"/>
  <c r="U143" i="1"/>
  <c r="AC40" i="1" l="1"/>
  <c r="P32" i="2964"/>
  <c r="AC142" i="1"/>
  <c r="P21" i="2964"/>
  <c r="AD39" i="1"/>
  <c r="P20" i="2964"/>
  <c r="P22" i="2964"/>
  <c r="P23" i="2964"/>
  <c r="P18" i="2964"/>
  <c r="P19" i="2964"/>
  <c r="P24" i="2964"/>
  <c r="AD14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D40" i="1" l="1"/>
  <c r="K5" i="2965"/>
  <c r="L5" i="2965"/>
  <c r="Q25" i="2964"/>
  <c r="X291" i="1"/>
  <c r="Y291" i="1"/>
  <c r="Z291" i="1"/>
  <c r="AA291" i="1"/>
  <c r="AB291" i="1"/>
  <c r="AC291" i="1"/>
  <c r="AD291" i="1"/>
  <c r="AE291" i="1"/>
  <c r="W291" i="1"/>
  <c r="V291" i="1"/>
  <c r="U291" i="1"/>
  <c r="W108" i="1"/>
  <c r="W109" i="1"/>
  <c r="W110" i="1"/>
  <c r="Q32" i="2964" l="1"/>
  <c r="AE142" i="1" s="1"/>
  <c r="AE39" i="1"/>
  <c r="Q19" i="2964"/>
  <c r="Q23" i="2964"/>
  <c r="Q24" i="2964"/>
  <c r="Q20" i="2964"/>
  <c r="Q18" i="2964"/>
  <c r="Q21" i="2964"/>
  <c r="Q22" i="2964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5" i="1"/>
  <c r="V35" i="1"/>
  <c r="W35" i="1"/>
  <c r="X35" i="1"/>
  <c r="Y35" i="1"/>
  <c r="Z35" i="1"/>
  <c r="AA35" i="1"/>
  <c r="AB35" i="1"/>
  <c r="AC35" i="1"/>
  <c r="AD35" i="1"/>
  <c r="AE35" i="1"/>
  <c r="U36" i="1"/>
  <c r="V36" i="1"/>
  <c r="W36" i="1"/>
  <c r="X36" i="1"/>
  <c r="Y36" i="1"/>
  <c r="Z36" i="1"/>
  <c r="AA36" i="1"/>
  <c r="AB36" i="1"/>
  <c r="AC36" i="1"/>
  <c r="AD36" i="1"/>
  <c r="AE36" i="1"/>
  <c r="U11" i="1"/>
  <c r="U14" i="1" s="1"/>
  <c r="W11" i="1"/>
  <c r="Y11" i="1"/>
  <c r="Z11" i="1"/>
  <c r="AA11" i="1"/>
  <c r="AB11" i="1"/>
  <c r="AC11" i="1"/>
  <c r="AD11" i="1"/>
  <c r="AE11" i="1"/>
  <c r="U12" i="1"/>
  <c r="W12" i="1"/>
  <c r="X12" i="1"/>
  <c r="Y12" i="1"/>
  <c r="Z12" i="1"/>
  <c r="AA12" i="1"/>
  <c r="AB12" i="1"/>
  <c r="AC12" i="1"/>
  <c r="AD12" i="1"/>
  <c r="AE12" i="1"/>
  <c r="U13" i="1"/>
  <c r="V13" i="1"/>
  <c r="V14" i="1" s="1"/>
  <c r="W13" i="1"/>
  <c r="X13" i="1"/>
  <c r="Y13" i="1"/>
  <c r="Z13" i="1"/>
  <c r="AA13" i="1"/>
  <c r="AB13" i="1"/>
  <c r="AC13" i="1"/>
  <c r="AD13" i="1"/>
  <c r="AE13" i="1"/>
  <c r="W14" i="1" l="1"/>
  <c r="AE40" i="1"/>
  <c r="M5" i="2965"/>
  <c r="W37" i="1"/>
  <c r="W39" i="1" s="1"/>
  <c r="R25" i="2964"/>
  <c r="AE37" i="1"/>
  <c r="AA37" i="1"/>
  <c r="AB37" i="1"/>
  <c r="X37" i="1"/>
  <c r="AC37" i="1"/>
  <c r="X34" i="1"/>
  <c r="AB34" i="1"/>
  <c r="AA34" i="1"/>
  <c r="AD34" i="1"/>
  <c r="V34" i="1"/>
  <c r="Y34" i="1"/>
  <c r="AD37" i="1"/>
  <c r="Z37" i="1"/>
  <c r="V37" i="1"/>
  <c r="Y37" i="1"/>
  <c r="U37" i="1"/>
  <c r="AE34" i="1"/>
  <c r="Z34" i="1"/>
  <c r="AC34" i="1"/>
  <c r="U34" i="1"/>
  <c r="H73" i="2933"/>
  <c r="I73" i="2933"/>
  <c r="J73" i="2933"/>
  <c r="K73" i="2933"/>
  <c r="G73" i="2933"/>
  <c r="W40" i="1" l="1"/>
  <c r="U39" i="1"/>
  <c r="R32" i="2964"/>
  <c r="AF142" i="1" s="1"/>
  <c r="AF39" i="1"/>
  <c r="V39" i="1"/>
  <c r="R20" i="2964"/>
  <c r="R18" i="2964"/>
  <c r="R24" i="2964"/>
  <c r="R21" i="2964"/>
  <c r="R19" i="2964"/>
  <c r="R22" i="2964"/>
  <c r="R23" i="2964"/>
  <c r="N5" i="2965" l="1"/>
  <c r="U40" i="1"/>
  <c r="V40" i="1"/>
  <c r="AF40" i="1"/>
  <c r="AF301" i="1"/>
  <c r="AF303" i="1" s="1"/>
  <c r="AF148" i="1"/>
  <c r="S25" i="2964"/>
  <c r="T301" i="1"/>
  <c r="T292" i="1"/>
  <c r="T291" i="1"/>
  <c r="K15" i="2933"/>
  <c r="K75" i="2933" s="1"/>
  <c r="J15" i="2933"/>
  <c r="J75" i="2933" s="1"/>
  <c r="I15" i="2933"/>
  <c r="I75" i="2933" s="1"/>
  <c r="H15" i="2933"/>
  <c r="H75" i="2933" s="1"/>
  <c r="G15" i="2933"/>
  <c r="G75" i="2933" s="1"/>
  <c r="F15" i="2933"/>
  <c r="S32" i="2964" l="1"/>
  <c r="AF155" i="1"/>
  <c r="AF166" i="1" s="1"/>
  <c r="S18" i="2964"/>
  <c r="S20" i="2964"/>
  <c r="S24" i="2964"/>
  <c r="S21" i="2964"/>
  <c r="S22" i="2964"/>
  <c r="S23" i="2964"/>
  <c r="S19" i="2964"/>
  <c r="AG39" i="1"/>
  <c r="AG142" i="1"/>
  <c r="W292" i="1"/>
  <c r="X292" i="1"/>
  <c r="AA292" i="1"/>
  <c r="AD292" i="1"/>
  <c r="AC292" i="1"/>
  <c r="V292" i="1"/>
  <c r="Z292" i="1"/>
  <c r="Y292" i="1"/>
  <c r="AE292" i="1"/>
  <c r="U292" i="1"/>
  <c r="AB292" i="1"/>
  <c r="O5" i="2965" l="1"/>
  <c r="AG40" i="1"/>
  <c r="AF167" i="1"/>
  <c r="AG301" i="1"/>
  <c r="AG303" i="1" s="1"/>
  <c r="AG148" i="1"/>
  <c r="T26" i="1"/>
  <c r="T27" i="1"/>
  <c r="T28" i="1"/>
  <c r="T29" i="1"/>
  <c r="T30" i="1"/>
  <c r="T31" i="1"/>
  <c r="T32" i="1"/>
  <c r="T33" i="1"/>
  <c r="T35" i="1"/>
  <c r="T36" i="1"/>
  <c r="R293" i="1" l="1"/>
  <c r="R281" i="1"/>
  <c r="R282" i="1" s="1"/>
  <c r="BO45" i="2948"/>
  <c r="BO46" i="2948" s="1"/>
  <c r="BE45" i="2948"/>
  <c r="BE46" i="2948" s="1"/>
  <c r="BD45" i="2948"/>
  <c r="BD46" i="2948" s="1"/>
  <c r="BC45" i="2948"/>
  <c r="BC46" i="2948" s="1"/>
  <c r="AG155" i="1"/>
  <c r="AG166" i="1" s="1"/>
  <c r="AG117" i="1" l="1"/>
  <c r="AG167" i="1"/>
  <c r="AF117" i="1"/>
  <c r="T12" i="1"/>
  <c r="T13" i="1"/>
  <c r="T11" i="1"/>
  <c r="T14" i="1" s="1"/>
  <c r="J132" i="2962"/>
  <c r="J46" i="2962"/>
  <c r="J37" i="2962"/>
  <c r="J39" i="2962" s="1"/>
  <c r="S28" i="2954" s="1"/>
  <c r="L14" i="2962"/>
  <c r="M14" i="2962"/>
  <c r="M80" i="2962" s="1"/>
  <c r="N14" i="2962"/>
  <c r="J14" i="2962"/>
  <c r="L80" i="2962" l="1"/>
  <c r="L136" i="2962" s="1"/>
  <c r="N80" i="2962"/>
  <c r="N136" i="2962" s="1"/>
  <c r="M136" i="2962"/>
  <c r="J75" i="2962"/>
  <c r="S29" i="2954" s="1"/>
  <c r="S30" i="2954" s="1"/>
  <c r="S32" i="2954" s="1"/>
  <c r="S52" i="2954" s="1"/>
  <c r="T307" i="1"/>
  <c r="T154" i="1"/>
  <c r="T164" i="1"/>
  <c r="T245" i="1"/>
  <c r="T46" i="1"/>
  <c r="J121" i="2962"/>
  <c r="T34" i="1"/>
  <c r="T37" i="1"/>
  <c r="T132" i="1"/>
  <c r="T69" i="1"/>
  <c r="T73" i="1" s="1"/>
  <c r="T148" i="1"/>
  <c r="T149" i="1" l="1"/>
  <c r="T39" i="1"/>
  <c r="T61" i="1"/>
  <c r="J125" i="2962"/>
  <c r="J133" i="2962" s="1"/>
  <c r="T294" i="1"/>
  <c r="T295" i="1"/>
  <c r="J77" i="2962"/>
  <c r="J80" i="2962" s="1"/>
  <c r="T155" i="1"/>
  <c r="J136" i="2962" l="1"/>
  <c r="T40" i="1"/>
  <c r="T75" i="1"/>
  <c r="T77" i="1" s="1"/>
  <c r="T80" i="1" s="1"/>
  <c r="T81" i="1" s="1"/>
  <c r="T166" i="1"/>
  <c r="T167" i="1" l="1"/>
  <c r="J62" i="2950"/>
  <c r="P39" i="2950"/>
  <c r="R40" i="2950"/>
  <c r="R41" i="2950"/>
  <c r="R42" i="2950"/>
  <c r="R43" i="2950"/>
  <c r="R44" i="2950"/>
  <c r="R45" i="2950"/>
  <c r="R46" i="2950"/>
  <c r="R47" i="2950"/>
  <c r="R48" i="2950"/>
  <c r="R49" i="2950"/>
  <c r="R50" i="2950"/>
  <c r="R51" i="2950"/>
  <c r="R52" i="2950"/>
  <c r="R53" i="2950"/>
  <c r="B27" i="2950"/>
  <c r="C17" i="2950"/>
  <c r="C18" i="2950" s="1"/>
  <c r="V307" i="1"/>
  <c r="W102" i="1"/>
  <c r="X102" i="1"/>
  <c r="Y102" i="1"/>
  <c r="Z102" i="1"/>
  <c r="AA102" i="1"/>
  <c r="AB102" i="1"/>
  <c r="AC102" i="1"/>
  <c r="AD102" i="1"/>
  <c r="AE102" i="1"/>
  <c r="AF102" i="1"/>
  <c r="AG102" i="1"/>
  <c r="D18" i="2950" l="1"/>
  <c r="E18" i="2950" s="1"/>
  <c r="F18" i="2950" s="1"/>
  <c r="G18" i="2950" s="1"/>
  <c r="H18" i="2950" s="1"/>
  <c r="I18" i="2950" s="1"/>
  <c r="J18" i="2950" s="1"/>
  <c r="K18" i="2950" s="1"/>
  <c r="L18" i="2950" s="1"/>
  <c r="M18" i="2950" s="1"/>
  <c r="N18" i="2950" s="1"/>
  <c r="O18" i="2950" s="1"/>
  <c r="P18" i="2950" s="1"/>
  <c r="Q18" i="2950" s="1"/>
  <c r="R18" i="2950" s="1"/>
  <c r="S18" i="2950" s="1"/>
  <c r="T18" i="2950" s="1"/>
  <c r="U18" i="2950" s="1"/>
  <c r="V18" i="2950" s="1"/>
  <c r="W18" i="2950" s="1"/>
  <c r="X18" i="2950" s="1"/>
  <c r="Y18" i="2950" s="1"/>
  <c r="Z18" i="2950" s="1"/>
  <c r="AA18" i="2950" s="1"/>
  <c r="AB18" i="2950" s="1"/>
  <c r="AC18" i="2950" s="1"/>
  <c r="AD18" i="2950" s="1"/>
  <c r="AE18" i="2950" s="1"/>
  <c r="AF18" i="2950" s="1"/>
  <c r="AG307" i="1"/>
  <c r="AG309" i="1" s="1"/>
  <c r="AG104" i="1"/>
  <c r="AF307" i="1"/>
  <c r="AF309" i="1" s="1"/>
  <c r="AF104" i="1"/>
  <c r="AB307" i="1"/>
  <c r="AE307" i="1"/>
  <c r="AA307" i="1"/>
  <c r="W307" i="1"/>
  <c r="AD307" i="1"/>
  <c r="Z307" i="1"/>
  <c r="X307" i="1"/>
  <c r="AC307" i="1"/>
  <c r="Y307" i="1"/>
  <c r="U307" i="1"/>
  <c r="U118" i="1"/>
  <c r="R39" i="2950"/>
  <c r="L59" i="2950"/>
  <c r="S59" i="2950" s="1"/>
  <c r="L46" i="2950"/>
  <c r="S46" i="2950" s="1"/>
  <c r="L45" i="2950"/>
  <c r="S45" i="2950" s="1"/>
  <c r="L51" i="2950"/>
  <c r="S51" i="2950" s="1"/>
  <c r="L47" i="2950"/>
  <c r="S47" i="2950" s="1"/>
  <c r="L58" i="2950"/>
  <c r="S58" i="2950" s="1"/>
  <c r="L54" i="2950"/>
  <c r="S54" i="2950" s="1"/>
  <c r="L50" i="2950"/>
  <c r="S50" i="2950" s="1"/>
  <c r="L42" i="2950"/>
  <c r="S42" i="2950" s="1"/>
  <c r="L57" i="2950"/>
  <c r="S57" i="2950" s="1"/>
  <c r="L53" i="2950"/>
  <c r="S53" i="2950" s="1"/>
  <c r="L41" i="2950"/>
  <c r="S41" i="2950" s="1"/>
  <c r="L55" i="2950"/>
  <c r="S55" i="2950" s="1"/>
  <c r="L60" i="2950"/>
  <c r="S60" i="2950" s="1"/>
  <c r="L56" i="2950"/>
  <c r="S56" i="2950" s="1"/>
  <c r="L52" i="2950"/>
  <c r="S52" i="2950" s="1"/>
  <c r="L48" i="2950"/>
  <c r="S48" i="2950" s="1"/>
  <c r="L44" i="2950"/>
  <c r="S44" i="2950" s="1"/>
  <c r="L40" i="2950"/>
  <c r="S40" i="2950" s="1"/>
  <c r="T118" i="1" l="1"/>
  <c r="V118" i="1"/>
  <c r="L49" i="2950"/>
  <c r="S49" i="2950" s="1"/>
  <c r="L43" i="2950"/>
  <c r="S43" i="2950" s="1"/>
  <c r="L39" i="2950"/>
  <c r="K62" i="2950"/>
  <c r="K19" i="2950" l="1"/>
  <c r="L19" i="2950"/>
  <c r="W118" i="1" s="1"/>
  <c r="L62" i="2950"/>
  <c r="S39" i="2950"/>
  <c r="S62" i="2950" s="1"/>
  <c r="M19" i="2950" l="1"/>
  <c r="X118" i="1" s="1"/>
  <c r="AL56" i="2948"/>
  <c r="AM56" i="2948"/>
  <c r="AN56" i="2948"/>
  <c r="AO56" i="2948"/>
  <c r="AP56" i="2948"/>
  <c r="AQ56" i="2948"/>
  <c r="AR56" i="2948"/>
  <c r="AS56" i="2948"/>
  <c r="AT56" i="2948"/>
  <c r="AU56" i="2948"/>
  <c r="AV56" i="2948"/>
  <c r="AW56" i="2948"/>
  <c r="AL57" i="2948"/>
  <c r="AM57" i="2948"/>
  <c r="AN57" i="2948"/>
  <c r="AO57" i="2948"/>
  <c r="AP57" i="2948"/>
  <c r="AQ57" i="2948"/>
  <c r="AR57" i="2948"/>
  <c r="AS57" i="2948"/>
  <c r="AT57" i="2948"/>
  <c r="AU57" i="2948"/>
  <c r="AV57" i="2948"/>
  <c r="AW57" i="2948"/>
  <c r="AM58" i="2948"/>
  <c r="AN58" i="2948"/>
  <c r="AO58" i="2948"/>
  <c r="AP58" i="2948"/>
  <c r="AQ58" i="2948"/>
  <c r="AR58" i="2948"/>
  <c r="AS58" i="2948"/>
  <c r="AT58" i="2948"/>
  <c r="AU58" i="2948"/>
  <c r="AV58" i="2948"/>
  <c r="AW58" i="2948"/>
  <c r="N19" i="2950" l="1"/>
  <c r="Y118" i="1" s="1"/>
  <c r="O19" i="2950" l="1"/>
  <c r="Z118" i="1" s="1"/>
  <c r="P19" i="2950" l="1"/>
  <c r="AA118" i="1" s="1"/>
  <c r="AI43" i="2948"/>
  <c r="R116" i="1" s="1"/>
  <c r="R117" i="1" s="1"/>
  <c r="R120" i="1" s="1"/>
  <c r="Q19" i="2950" l="1"/>
  <c r="AB118" i="1" s="1"/>
  <c r="R19" i="2950" l="1"/>
  <c r="AC118" i="1" s="1"/>
  <c r="T19" i="2950" l="1"/>
  <c r="AE118" i="1" s="1"/>
  <c r="S19" i="2950"/>
  <c r="AD118" i="1" s="1"/>
  <c r="BB43" i="2948"/>
  <c r="AL63" i="2948" s="1"/>
  <c r="BC43" i="2948"/>
  <c r="BD43" i="2948"/>
  <c r="BF43" i="2948"/>
  <c r="BG43" i="2948"/>
  <c r="BH43" i="2948"/>
  <c r="BI43" i="2948"/>
  <c r="BJ43" i="2948"/>
  <c r="F31" i="2930"/>
  <c r="U19" i="2950" l="1"/>
  <c r="AF118" i="1" s="1"/>
  <c r="AF120" i="1" l="1"/>
  <c r="V19" i="2950"/>
  <c r="AG118" i="1" s="1"/>
  <c r="P62" i="2950"/>
  <c r="AF121" i="1" l="1"/>
  <c r="AF125" i="1" s="1"/>
  <c r="AG120" i="1"/>
  <c r="Q62" i="2950"/>
  <c r="AG121" i="1" l="1"/>
  <c r="AG125" i="1" s="1"/>
  <c r="R62" i="2950"/>
  <c r="J43" i="2930"/>
  <c r="K43" i="2930"/>
  <c r="L43" i="2930"/>
  <c r="M43" i="2930"/>
  <c r="L44" i="2930"/>
  <c r="M44" i="2930"/>
  <c r="E38" i="2930"/>
  <c r="F38" i="2930" s="1"/>
  <c r="G38" i="2930" s="1"/>
  <c r="H38" i="2930" s="1"/>
  <c r="I38" i="2930" s="1"/>
  <c r="J38" i="2930" s="1"/>
  <c r="K38" i="2930" s="1"/>
  <c r="L38" i="2930" s="1"/>
  <c r="M38" i="2930" s="1"/>
  <c r="E39" i="2930"/>
  <c r="T116" i="1" s="1"/>
  <c r="E37" i="2930"/>
  <c r="E33" i="2930"/>
  <c r="F33" i="2930"/>
  <c r="G33" i="2930"/>
  <c r="H33" i="2930"/>
  <c r="I33" i="2930"/>
  <c r="J33" i="2930"/>
  <c r="K33" i="2930"/>
  <c r="L33" i="2930"/>
  <c r="M33" i="2930"/>
  <c r="D33" i="2930"/>
  <c r="D45" i="2930" s="1"/>
  <c r="E32" i="2930"/>
  <c r="F32" i="2930"/>
  <c r="G32" i="2930"/>
  <c r="H32" i="2930"/>
  <c r="I32" i="2930"/>
  <c r="J32" i="2930"/>
  <c r="K32" i="2930"/>
  <c r="D32" i="2930"/>
  <c r="D44" i="2930" s="1"/>
  <c r="E31" i="2930"/>
  <c r="G31" i="2930"/>
  <c r="H31" i="2930"/>
  <c r="I31" i="2930"/>
  <c r="D31" i="2930"/>
  <c r="V232" i="1" l="1"/>
  <c r="Z232" i="1"/>
  <c r="AB232" i="1"/>
  <c r="AA232" i="1"/>
  <c r="T117" i="1"/>
  <c r="T120" i="1" s="1"/>
  <c r="F39" i="2930"/>
  <c r="D43" i="2930"/>
  <c r="U116" i="1" l="1"/>
  <c r="G39" i="2930"/>
  <c r="V116" i="1" l="1"/>
  <c r="H39" i="2930"/>
  <c r="R58" i="2954" l="1"/>
  <c r="I39" i="2930"/>
  <c r="W116" i="1"/>
  <c r="J39" i="2930" l="1"/>
  <c r="X116" i="1"/>
  <c r="Y116" i="1" l="1"/>
  <c r="T309" i="1" l="1"/>
  <c r="AT63" i="2948" l="1"/>
  <c r="AS63" i="2948"/>
  <c r="AO63" i="2948"/>
  <c r="AW63" i="2948"/>
  <c r="AV63" i="2948"/>
  <c r="AR63" i="2948"/>
  <c r="AN63" i="2948"/>
  <c r="AP63" i="2948"/>
  <c r="AU63" i="2948"/>
  <c r="AQ63" i="2948"/>
  <c r="AM63" i="2948"/>
  <c r="T101" i="1" l="1"/>
  <c r="BH45" i="2948" l="1"/>
  <c r="BH46" i="2948" s="1"/>
  <c r="BG45" i="2948"/>
  <c r="BG46" i="2948" s="1"/>
  <c r="BF45" i="2948"/>
  <c r="BF46" i="2948" s="1"/>
  <c r="BL45" i="2948"/>
  <c r="BL46" i="2948" s="1"/>
  <c r="BK45" i="2948"/>
  <c r="BK46" i="2948" s="1"/>
  <c r="BJ45" i="2948"/>
  <c r="BJ46" i="2948" s="1"/>
  <c r="BI45" i="2948"/>
  <c r="BI46" i="2948" s="1"/>
  <c r="BM45" i="2948"/>
  <c r="BM46" i="2948" s="1"/>
  <c r="BN45" i="2948"/>
  <c r="BN46" i="2948" s="1"/>
  <c r="T104" i="1"/>
  <c r="AD112" i="1" l="1"/>
  <c r="AC112" i="1"/>
  <c r="AB112" i="1"/>
  <c r="AA112" i="1"/>
  <c r="Z112" i="1"/>
  <c r="Y112" i="1"/>
  <c r="X112" i="1"/>
  <c r="W112" i="1"/>
  <c r="AE112" i="1" l="1"/>
  <c r="AW60" i="2948"/>
  <c r="T121" i="1"/>
  <c r="AP60" i="2948"/>
  <c r="AO60" i="2948"/>
  <c r="AS60" i="2948"/>
  <c r="AL60" i="2948"/>
  <c r="AT60" i="2948"/>
  <c r="AM60" i="2948"/>
  <c r="AQ60" i="2948"/>
  <c r="AU60" i="2948"/>
  <c r="AN60" i="2948"/>
  <c r="AR60" i="2948"/>
  <c r="AV60" i="2948"/>
  <c r="V101" i="1"/>
  <c r="W101" i="1"/>
  <c r="V117" i="1"/>
  <c r="V120" i="1" s="1"/>
  <c r="U117" i="1"/>
  <c r="U120" i="1" s="1"/>
  <c r="AE107" i="1"/>
  <c r="AD107" i="1"/>
  <c r="AC107" i="1"/>
  <c r="AB107" i="1"/>
  <c r="AA107" i="1"/>
  <c r="Z107" i="1"/>
  <c r="Y107" i="1"/>
  <c r="X107" i="1"/>
  <c r="W107" i="1"/>
  <c r="AE106" i="1"/>
  <c r="AD106" i="1"/>
  <c r="AC106" i="1"/>
  <c r="AB106" i="1"/>
  <c r="AA106" i="1"/>
  <c r="Z106" i="1"/>
  <c r="Y106" i="1"/>
  <c r="X106" i="1"/>
  <c r="W106" i="1"/>
  <c r="AE90" i="1"/>
  <c r="AD90" i="1"/>
  <c r="AC90" i="1"/>
  <c r="AB90" i="1"/>
  <c r="AA90" i="1"/>
  <c r="Z90" i="1"/>
  <c r="Y90" i="1"/>
  <c r="X90" i="1"/>
  <c r="W90" i="1"/>
  <c r="T125" i="1" l="1"/>
  <c r="V104" i="1"/>
  <c r="W104" i="1"/>
  <c r="AV55" i="2948"/>
  <c r="AR55" i="2948"/>
  <c r="AP54" i="2948"/>
  <c r="AT54" i="2948"/>
  <c r="AO55" i="2948"/>
  <c r="AS55" i="2948"/>
  <c r="AW55" i="2948"/>
  <c r="AS54" i="2948"/>
  <c r="AW54" i="2948"/>
  <c r="AN55" i="2948"/>
  <c r="AQ54" i="2948"/>
  <c r="AU54" i="2948"/>
  <c r="AL55" i="2948"/>
  <c r="AP55" i="2948"/>
  <c r="AT55" i="2948"/>
  <c r="AL58" i="2948"/>
  <c r="AO54" i="2948"/>
  <c r="AM54" i="2948"/>
  <c r="AN54" i="2948"/>
  <c r="AR54" i="2948"/>
  <c r="AV54" i="2948"/>
  <c r="AM55" i="2948"/>
  <c r="AQ55" i="2948"/>
  <c r="AU55" i="2948"/>
  <c r="T126" i="1" l="1"/>
  <c r="G36" i="2948"/>
  <c r="J36" i="2948" s="1"/>
  <c r="G43" i="2948"/>
  <c r="J43" i="2948" s="1"/>
  <c r="M43" i="2948" s="1"/>
  <c r="P43" i="2948" s="1"/>
  <c r="G40" i="2948"/>
  <c r="J40" i="2948" s="1"/>
  <c r="M40" i="2948" s="1"/>
  <c r="P40" i="2948" s="1"/>
  <c r="G38" i="2948"/>
  <c r="J38" i="2948" s="1"/>
  <c r="M38" i="2948" s="1"/>
  <c r="P38" i="2948" s="1"/>
  <c r="G37" i="2948"/>
  <c r="J37" i="2948" s="1"/>
  <c r="G35" i="2948"/>
  <c r="J35" i="2948" s="1"/>
  <c r="M35" i="2948" s="1"/>
  <c r="P35" i="2948" s="1"/>
  <c r="G34" i="2948"/>
  <c r="J34" i="2948" s="1"/>
  <c r="M34" i="2948" s="1"/>
  <c r="P34" i="2948" s="1"/>
  <c r="I45" i="2948"/>
  <c r="H45" i="2948"/>
  <c r="F45" i="2948"/>
  <c r="E45" i="2948"/>
  <c r="D45" i="2948"/>
  <c r="N29" i="2954"/>
  <c r="P20" i="2949"/>
  <c r="N29" i="2949"/>
  <c r="N8" i="2949"/>
  <c r="P8" i="2949" s="1"/>
  <c r="N18" i="2949"/>
  <c r="N26" i="2949"/>
  <c r="N25" i="2949"/>
  <c r="O43" i="1" s="1"/>
  <c r="N24" i="2949"/>
  <c r="O42" i="1" s="1"/>
  <c r="M27" i="2949"/>
  <c r="M30" i="2949" s="1"/>
  <c r="L27" i="2949"/>
  <c r="L30" i="2949" s="1"/>
  <c r="K27" i="2949"/>
  <c r="K30" i="2949" s="1"/>
  <c r="J27" i="2949"/>
  <c r="J30" i="2949" s="1"/>
  <c r="M19" i="2949"/>
  <c r="M21" i="2949" s="1"/>
  <c r="L19" i="2949"/>
  <c r="L21" i="2949" s="1"/>
  <c r="K19" i="2949"/>
  <c r="K21" i="2949" s="1"/>
  <c r="J19" i="2949"/>
  <c r="J21" i="2949" s="1"/>
  <c r="O45" i="2948"/>
  <c r="N45" i="2948"/>
  <c r="L45" i="2948"/>
  <c r="K45" i="2948"/>
  <c r="P26" i="2949" l="1"/>
  <c r="O44" i="1"/>
  <c r="P18" i="2949"/>
  <c r="O58" i="1"/>
  <c r="O59" i="1" s="1"/>
  <c r="P29" i="2949"/>
  <c r="O45" i="1"/>
  <c r="O69" i="1"/>
  <c r="O73" i="1" s="1"/>
  <c r="N30" i="2954"/>
  <c r="K32" i="2949"/>
  <c r="T133" i="1"/>
  <c r="T134" i="1" s="1"/>
  <c r="G53" i="2933"/>
  <c r="N207" i="1" s="1"/>
  <c r="G55" i="2933"/>
  <c r="N209" i="1" s="1"/>
  <c r="G57" i="2933"/>
  <c r="N211" i="1" s="1"/>
  <c r="G58" i="2933"/>
  <c r="N212" i="1" s="1"/>
  <c r="G59" i="2933"/>
  <c r="N213" i="1" s="1"/>
  <c r="G54" i="2933"/>
  <c r="N208" i="1" s="1"/>
  <c r="N206" i="1"/>
  <c r="G60" i="2933"/>
  <c r="N214" i="1" s="1"/>
  <c r="N210" i="1"/>
  <c r="J32" i="2949"/>
  <c r="L32" i="2949"/>
  <c r="G44" i="2948"/>
  <c r="J44" i="2948" s="1"/>
  <c r="J45" i="2948" s="1"/>
  <c r="M32" i="2949"/>
  <c r="P24" i="2949"/>
  <c r="N27" i="2949"/>
  <c r="N30" i="2949" s="1"/>
  <c r="P30" i="2949" s="1"/>
  <c r="P25" i="2949"/>
  <c r="M37" i="2948"/>
  <c r="P37" i="2948" s="1"/>
  <c r="N19" i="2949"/>
  <c r="O46" i="1" l="1"/>
  <c r="O61" i="1" s="1"/>
  <c r="O75" i="1" s="1"/>
  <c r="N215" i="1"/>
  <c r="N217" i="1" s="1"/>
  <c r="N32" i="2954"/>
  <c r="N81" i="1" s="1"/>
  <c r="I54" i="2933"/>
  <c r="P208" i="1" s="1"/>
  <c r="I58" i="2933"/>
  <c r="P212" i="1" s="1"/>
  <c r="I53" i="2933"/>
  <c r="P207" i="1" s="1"/>
  <c r="I57" i="2933"/>
  <c r="P211" i="1" s="1"/>
  <c r="I52" i="2933"/>
  <c r="P206" i="1" s="1"/>
  <c r="I56" i="2933"/>
  <c r="P210" i="1" s="1"/>
  <c r="I60" i="2933"/>
  <c r="P214" i="1" s="1"/>
  <c r="I55" i="2933"/>
  <c r="P209" i="1" s="1"/>
  <c r="I59" i="2933"/>
  <c r="P213" i="1" s="1"/>
  <c r="N55" i="2933"/>
  <c r="V209" i="1" s="1"/>
  <c r="N59" i="2933"/>
  <c r="V213" i="1" s="1"/>
  <c r="N54" i="2933"/>
  <c r="V208" i="1" s="1"/>
  <c r="N58" i="2933"/>
  <c r="V212" i="1" s="1"/>
  <c r="N53" i="2933"/>
  <c r="V207" i="1" s="1"/>
  <c r="N57" i="2933"/>
  <c r="V211" i="1" s="1"/>
  <c r="N52" i="2933"/>
  <c r="V206" i="1" s="1"/>
  <c r="N56" i="2933"/>
  <c r="V210" i="1" s="1"/>
  <c r="N60" i="2933"/>
  <c r="V214" i="1" s="1"/>
  <c r="H56" i="2933"/>
  <c r="O210" i="1" s="1"/>
  <c r="H60" i="2933"/>
  <c r="O214" i="1" s="1"/>
  <c r="H53" i="2933"/>
  <c r="O207" i="1" s="1"/>
  <c r="H57" i="2933"/>
  <c r="O211" i="1" s="1"/>
  <c r="H52" i="2933"/>
  <c r="O206" i="1" s="1"/>
  <c r="H54" i="2933"/>
  <c r="O208" i="1" s="1"/>
  <c r="H58" i="2933"/>
  <c r="O212" i="1" s="1"/>
  <c r="H55" i="2933"/>
  <c r="O209" i="1" s="1"/>
  <c r="H59" i="2933"/>
  <c r="O213" i="1" s="1"/>
  <c r="J55" i="2933"/>
  <c r="Q209" i="1" s="1"/>
  <c r="J59" i="2933"/>
  <c r="Q213" i="1" s="1"/>
  <c r="J54" i="2933"/>
  <c r="Q208" i="1" s="1"/>
  <c r="J58" i="2933"/>
  <c r="Q212" i="1" s="1"/>
  <c r="J53" i="2933"/>
  <c r="Q207" i="1" s="1"/>
  <c r="J57" i="2933"/>
  <c r="Q211" i="1" s="1"/>
  <c r="J52" i="2933"/>
  <c r="Q206" i="1" s="1"/>
  <c r="J56" i="2933"/>
  <c r="Q210" i="1" s="1"/>
  <c r="J60" i="2933"/>
  <c r="Q214" i="1" s="1"/>
  <c r="L53" i="2933"/>
  <c r="T207" i="1" s="1"/>
  <c r="L57" i="2933"/>
  <c r="T211" i="1" s="1"/>
  <c r="L52" i="2933"/>
  <c r="T206" i="1" s="1"/>
  <c r="L56" i="2933"/>
  <c r="T210" i="1" s="1"/>
  <c r="L60" i="2933"/>
  <c r="T214" i="1" s="1"/>
  <c r="L55" i="2933"/>
  <c r="T209" i="1" s="1"/>
  <c r="L59" i="2933"/>
  <c r="T213" i="1" s="1"/>
  <c r="L54" i="2933"/>
  <c r="T208" i="1" s="1"/>
  <c r="L58" i="2933"/>
  <c r="T212" i="1" s="1"/>
  <c r="M54" i="2933"/>
  <c r="U208" i="1" s="1"/>
  <c r="M58" i="2933"/>
  <c r="U212" i="1" s="1"/>
  <c r="M53" i="2933"/>
  <c r="U207" i="1" s="1"/>
  <c r="M57" i="2933"/>
  <c r="U211" i="1" s="1"/>
  <c r="M52" i="2933"/>
  <c r="U206" i="1" s="1"/>
  <c r="M56" i="2933"/>
  <c r="U210" i="1" s="1"/>
  <c r="M60" i="2933"/>
  <c r="U214" i="1" s="1"/>
  <c r="M55" i="2933"/>
  <c r="U209" i="1" s="1"/>
  <c r="M59" i="2933"/>
  <c r="U213" i="1" s="1"/>
  <c r="K52" i="2933"/>
  <c r="R206" i="1" s="1"/>
  <c r="K56" i="2933"/>
  <c r="R210" i="1" s="1"/>
  <c r="K60" i="2933"/>
  <c r="R214" i="1" s="1"/>
  <c r="K55" i="2933"/>
  <c r="R209" i="1" s="1"/>
  <c r="K59" i="2933"/>
  <c r="R213" i="1" s="1"/>
  <c r="K54" i="2933"/>
  <c r="R208" i="1" s="1"/>
  <c r="K58" i="2933"/>
  <c r="R212" i="1" s="1"/>
  <c r="K53" i="2933"/>
  <c r="R207" i="1" s="1"/>
  <c r="K57" i="2933"/>
  <c r="R211" i="1" s="1"/>
  <c r="G61" i="2933"/>
  <c r="G63" i="2933" s="1"/>
  <c r="G45" i="2948"/>
  <c r="G46" i="2948" s="1"/>
  <c r="M44" i="2948"/>
  <c r="M45" i="2948" s="1"/>
  <c r="M46" i="2948" s="1"/>
  <c r="P27" i="2949"/>
  <c r="N21" i="2949"/>
  <c r="P19" i="2949"/>
  <c r="G48" i="2933" l="1"/>
  <c r="G35" i="2933" s="1"/>
  <c r="G33" i="2933"/>
  <c r="R215" i="1"/>
  <c r="R217" i="1" s="1"/>
  <c r="P215" i="1"/>
  <c r="P217" i="1" s="1"/>
  <c r="O215" i="1"/>
  <c r="O217" i="1" s="1"/>
  <c r="Q215" i="1"/>
  <c r="Q217" i="1" s="1"/>
  <c r="N52" i="2954"/>
  <c r="J61" i="2933"/>
  <c r="J63" i="2933" s="1"/>
  <c r="J48" i="2933" s="1"/>
  <c r="Q202" i="1" s="1"/>
  <c r="H61" i="2933"/>
  <c r="H63" i="2933" s="1"/>
  <c r="I61" i="2933"/>
  <c r="I63" i="2933" s="1"/>
  <c r="M61" i="2933"/>
  <c r="M63" i="2933" s="1"/>
  <c r="L61" i="2933"/>
  <c r="L63" i="2933" s="1"/>
  <c r="N61" i="2933"/>
  <c r="N63" i="2933" s="1"/>
  <c r="K61" i="2933"/>
  <c r="K63" i="2933" s="1"/>
  <c r="J46" i="2948"/>
  <c r="P44" i="2948"/>
  <c r="N32" i="2949"/>
  <c r="P32" i="2949" s="1"/>
  <c r="P21" i="2949"/>
  <c r="N187" i="1" l="1"/>
  <c r="N202" i="1"/>
  <c r="O52" i="2933"/>
  <c r="W206" i="1" s="1"/>
  <c r="O55" i="2933"/>
  <c r="W209" i="1" s="1"/>
  <c r="O58" i="2933"/>
  <c r="W212" i="1" s="1"/>
  <c r="O54" i="2933"/>
  <c r="W208" i="1" s="1"/>
  <c r="O53" i="2933"/>
  <c r="W207" i="1" s="1"/>
  <c r="O59" i="2933"/>
  <c r="W213" i="1" s="1"/>
  <c r="O60" i="2933"/>
  <c r="W214" i="1" s="1"/>
  <c r="L48" i="2933"/>
  <c r="L33" i="2933" s="1"/>
  <c r="T187" i="1" s="1"/>
  <c r="N48" i="2933"/>
  <c r="M48" i="2933"/>
  <c r="M33" i="2933" s="1"/>
  <c r="U187" i="1" s="1"/>
  <c r="J33" i="2933"/>
  <c r="Q187" i="1" s="1"/>
  <c r="Q216" i="1" s="1"/>
  <c r="T215" i="1"/>
  <c r="K48" i="2933"/>
  <c r="R202" i="1" s="1"/>
  <c r="G64" i="2933"/>
  <c r="G62" i="2933" l="1"/>
  <c r="N216" i="1"/>
  <c r="N235" i="1"/>
  <c r="N254" i="1" s="1"/>
  <c r="Q235" i="1"/>
  <c r="Q254" i="1" s="1"/>
  <c r="L64" i="2933"/>
  <c r="M64" i="2933"/>
  <c r="M25" i="2933"/>
  <c r="U179" i="1" s="1"/>
  <c r="M27" i="2933"/>
  <c r="U181" i="1" s="1"/>
  <c r="M29" i="2933"/>
  <c r="U183" i="1" s="1"/>
  <c r="M22" i="2933"/>
  <c r="U176" i="1" s="1"/>
  <c r="M30" i="2933"/>
  <c r="U184" i="1" s="1"/>
  <c r="M28" i="2933"/>
  <c r="U182" i="1" s="1"/>
  <c r="M26" i="2933"/>
  <c r="U180" i="1" s="1"/>
  <c r="M23" i="2933"/>
  <c r="U177" i="1" s="1"/>
  <c r="M20" i="2933"/>
  <c r="U174" i="1" s="1"/>
  <c r="M24" i="2933"/>
  <c r="U178" i="1" s="1"/>
  <c r="M45" i="2933"/>
  <c r="U199" i="1" s="1"/>
  <c r="M38" i="2933"/>
  <c r="U192" i="1" s="1"/>
  <c r="M42" i="2933"/>
  <c r="U196" i="1" s="1"/>
  <c r="M35" i="2933"/>
  <c r="U189" i="1" s="1"/>
  <c r="M37" i="2933"/>
  <c r="U191" i="1" s="1"/>
  <c r="M40" i="2933"/>
  <c r="U194" i="1" s="1"/>
  <c r="M39" i="2933"/>
  <c r="U193" i="1" s="1"/>
  <c r="M41" i="2933"/>
  <c r="U195" i="1" s="1"/>
  <c r="M44" i="2933"/>
  <c r="U198" i="1" s="1"/>
  <c r="M43" i="2933"/>
  <c r="U197" i="1" s="1"/>
  <c r="N33" i="2933"/>
  <c r="V187" i="1" s="1"/>
  <c r="T202" i="1"/>
  <c r="J62" i="2933"/>
  <c r="J64" i="2933"/>
  <c r="K33" i="2933"/>
  <c r="R187" i="1" s="1"/>
  <c r="T216" i="1" l="1"/>
  <c r="Q274" i="1"/>
  <c r="Q255" i="1"/>
  <c r="R216" i="1"/>
  <c r="R235" i="1"/>
  <c r="R254" i="1" s="1"/>
  <c r="N255" i="1"/>
  <c r="N274" i="1"/>
  <c r="T235" i="1"/>
  <c r="X208" i="1"/>
  <c r="X207" i="1"/>
  <c r="N64" i="2933"/>
  <c r="M31" i="2933"/>
  <c r="M32" i="2933" s="1"/>
  <c r="M46" i="2933"/>
  <c r="M47" i="2933" s="1"/>
  <c r="K62" i="2933"/>
  <c r="K64" i="2933"/>
  <c r="N275" i="1" l="1"/>
  <c r="N284" i="1"/>
  <c r="R274" i="1"/>
  <c r="R255" i="1"/>
  <c r="Q275" i="1"/>
  <c r="Q284" i="1"/>
  <c r="Q296" i="1" l="1"/>
  <c r="Q297" i="1" s="1"/>
  <c r="Q311" i="1" s="1"/>
  <c r="Q286" i="1"/>
  <c r="R275" i="1"/>
  <c r="R284" i="1"/>
  <c r="N296" i="1"/>
  <c r="N297" i="1" s="1"/>
  <c r="N311" i="1" s="1"/>
  <c r="N286" i="1"/>
  <c r="R296" i="1" l="1"/>
  <c r="R297" i="1" s="1"/>
  <c r="R311" i="1" s="1"/>
  <c r="R286" i="1"/>
  <c r="Y117" i="1" l="1"/>
  <c r="W117" i="1"/>
  <c r="X117" i="1"/>
  <c r="X120" i="1" l="1"/>
  <c r="Y120" i="1"/>
  <c r="W120" i="1"/>
  <c r="W121" i="1" l="1"/>
  <c r="X101" i="1"/>
  <c r="AB101" i="1"/>
  <c r="Z101" i="1"/>
  <c r="AD101" i="1"/>
  <c r="Y101" i="1"/>
  <c r="AC101" i="1"/>
  <c r="AA101" i="1"/>
  <c r="AE101" i="1"/>
  <c r="AE104" i="1" l="1"/>
  <c r="AD104" i="1"/>
  <c r="AA104" i="1"/>
  <c r="Z104" i="1"/>
  <c r="AC104" i="1"/>
  <c r="AB104" i="1"/>
  <c r="Y104" i="1"/>
  <c r="X104" i="1"/>
  <c r="C31" i="2950" l="1"/>
  <c r="T29" i="2949"/>
  <c r="P45" i="1" s="1"/>
  <c r="AE27" i="2949"/>
  <c r="AE30" i="2949" s="1"/>
  <c r="AD27" i="2949"/>
  <c r="AD30" i="2949" s="1"/>
  <c r="AC27" i="2949"/>
  <c r="AC30" i="2949" s="1"/>
  <c r="X27" i="2949"/>
  <c r="X30" i="2949" s="1"/>
  <c r="W27" i="2949"/>
  <c r="W30" i="2949" s="1"/>
  <c r="S27" i="2949"/>
  <c r="S30" i="2949" s="1"/>
  <c r="R27" i="2949"/>
  <c r="R30" i="2949" s="1"/>
  <c r="Q27" i="2949"/>
  <c r="Q30" i="2949" s="1"/>
  <c r="T26" i="2949"/>
  <c r="P44" i="1" s="1"/>
  <c r="P46" i="1" s="1"/>
  <c r="Y25" i="2949"/>
  <c r="Y27" i="2949" s="1"/>
  <c r="Y30" i="2949" s="1"/>
  <c r="T25" i="2949"/>
  <c r="P43" i="1" s="1"/>
  <c r="T24" i="2949"/>
  <c r="P42" i="1" s="1"/>
  <c r="T20" i="2949"/>
  <c r="P60" i="1" s="1"/>
  <c r="AE19" i="2949"/>
  <c r="AE21" i="2949" s="1"/>
  <c r="AD19" i="2949"/>
  <c r="AD21" i="2949" s="1"/>
  <c r="AC19" i="2949"/>
  <c r="AC21" i="2949" s="1"/>
  <c r="Y19" i="2949"/>
  <c r="Y21" i="2949" s="1"/>
  <c r="X19" i="2949"/>
  <c r="X21" i="2949" s="1"/>
  <c r="W19" i="2949"/>
  <c r="W21" i="2949" s="1"/>
  <c r="S19" i="2949"/>
  <c r="S21" i="2949" s="1"/>
  <c r="R19" i="2949"/>
  <c r="R21" i="2949" s="1"/>
  <c r="Q18" i="2949"/>
  <c r="Q19" i="2949" s="1"/>
  <c r="Q21" i="2949" s="1"/>
  <c r="T8" i="2949"/>
  <c r="P48" i="1" s="1"/>
  <c r="AI44" i="2948"/>
  <c r="AI45" i="2948" s="1"/>
  <c r="AH44" i="2948"/>
  <c r="R100" i="1" s="1"/>
  <c r="R101" i="1" s="1"/>
  <c r="R104" i="1" s="1"/>
  <c r="R103" i="1" s="1"/>
  <c r="AF44" i="2948"/>
  <c r="AF45" i="2948" s="1"/>
  <c r="AE44" i="2948"/>
  <c r="AE45" i="2948" s="1"/>
  <c r="AC44" i="2948"/>
  <c r="AC45" i="2948" s="1"/>
  <c r="AA44" i="2948"/>
  <c r="Z44" i="2948"/>
  <c r="Q100" i="1" s="1"/>
  <c r="Q101" i="1" s="1"/>
  <c r="Q104" i="1" s="1"/>
  <c r="Q103" i="1" s="1"/>
  <c r="X44" i="2948"/>
  <c r="X45" i="2948" s="1"/>
  <c r="W44" i="2948"/>
  <c r="W45" i="2948" s="1"/>
  <c r="V44" i="2948"/>
  <c r="U44" i="2948"/>
  <c r="T44" i="2948"/>
  <c r="P100" i="1" s="1"/>
  <c r="P101" i="1" s="1"/>
  <c r="P104" i="1" s="1"/>
  <c r="R44" i="2948"/>
  <c r="R45" i="2948" s="1"/>
  <c r="Q44" i="2948"/>
  <c r="Q45" i="2948" s="1"/>
  <c r="P45" i="2948"/>
  <c r="P46" i="2948" s="1"/>
  <c r="Y43" i="2948"/>
  <c r="S43" i="2948"/>
  <c r="Y40" i="2948"/>
  <c r="AB40" i="2948" s="1"/>
  <c r="AD40" i="2948" s="1"/>
  <c r="AG40" i="2948" s="1"/>
  <c r="S40" i="2948"/>
  <c r="S38" i="2948"/>
  <c r="V38" i="2948" s="1"/>
  <c r="Y38" i="2948" s="1"/>
  <c r="S35" i="2948"/>
  <c r="V35" i="2948" s="1"/>
  <c r="Y35" i="2948" s="1"/>
  <c r="AB35" i="2948" s="1"/>
  <c r="AD35" i="2948" s="1"/>
  <c r="AG35" i="2948" s="1"/>
  <c r="S34" i="2948"/>
  <c r="P69" i="1" l="1"/>
  <c r="P73" i="1" s="1"/>
  <c r="Q121" i="1"/>
  <c r="Q125" i="1" s="1"/>
  <c r="AB38" i="2948"/>
  <c r="AD38" i="2948" s="1"/>
  <c r="AG38" i="2948" s="1"/>
  <c r="Q32" i="2949"/>
  <c r="V8" i="2949"/>
  <c r="Z8" i="2949" s="1"/>
  <c r="Q48" i="1" s="1"/>
  <c r="V29" i="2949"/>
  <c r="Z29" i="2949" s="1"/>
  <c r="Q45" i="1" s="1"/>
  <c r="X32" i="2949"/>
  <c r="V20" i="2949"/>
  <c r="Z20" i="2949" s="1"/>
  <c r="Q60" i="1" s="1"/>
  <c r="Y44" i="2948"/>
  <c r="S32" i="2949"/>
  <c r="V24" i="2949"/>
  <c r="Z24" i="2949" s="1"/>
  <c r="Q42" i="1" s="1"/>
  <c r="S44" i="2948"/>
  <c r="S45" i="2948" s="1"/>
  <c r="AA45" i="2948"/>
  <c r="T18" i="2949"/>
  <c r="AH45" i="2948"/>
  <c r="AE32" i="2949"/>
  <c r="AC32" i="2949"/>
  <c r="U45" i="2948"/>
  <c r="Z45" i="2948"/>
  <c r="Y32" i="2949"/>
  <c r="V26" i="2949"/>
  <c r="Z26" i="2949" s="1"/>
  <c r="Q44" i="1" s="1"/>
  <c r="R32" i="2949"/>
  <c r="T27" i="2949"/>
  <c r="T45" i="2948"/>
  <c r="AD32" i="2949"/>
  <c r="W32" i="2949"/>
  <c r="D31" i="2950"/>
  <c r="AB43" i="2948"/>
  <c r="AD43" i="2948" s="1"/>
  <c r="AG43" i="2948" s="1"/>
  <c r="V25" i="2949"/>
  <c r="Z25" i="2949" s="1"/>
  <c r="Q43" i="1" s="1"/>
  <c r="V34" i="2948"/>
  <c r="Q46" i="1" l="1"/>
  <c r="Q69" i="1"/>
  <c r="Q73" i="1" s="1"/>
  <c r="V18" i="2949"/>
  <c r="Z18" i="2949" s="1"/>
  <c r="Q58" i="1" s="1"/>
  <c r="Q59" i="1" s="1"/>
  <c r="Q61" i="1" s="1"/>
  <c r="P58" i="1"/>
  <c r="P59" i="1" s="1"/>
  <c r="P61" i="1" s="1"/>
  <c r="P75" i="1" s="1"/>
  <c r="Q126" i="1"/>
  <c r="Q133" i="1"/>
  <c r="S46" i="2948"/>
  <c r="AB24" i="2949"/>
  <c r="AF24" i="2949" s="1"/>
  <c r="AB8" i="2949"/>
  <c r="AF8" i="2949" s="1"/>
  <c r="R48" i="1" s="1"/>
  <c r="AB20" i="2949"/>
  <c r="AF20" i="2949" s="1"/>
  <c r="AB29" i="2949"/>
  <c r="AF29" i="2949" s="1"/>
  <c r="T19" i="2949"/>
  <c r="T21" i="2949" s="1"/>
  <c r="V21" i="2949" s="1"/>
  <c r="AB44" i="2948"/>
  <c r="AG44" i="2948"/>
  <c r="AB25" i="2949"/>
  <c r="AF25" i="2949" s="1"/>
  <c r="T30" i="2949"/>
  <c r="AB26" i="2949"/>
  <c r="AF26" i="2949" s="1"/>
  <c r="AD44" i="2948"/>
  <c r="B32" i="2950"/>
  <c r="E31" i="2950"/>
  <c r="F31" i="2950" s="1"/>
  <c r="Y34" i="2948"/>
  <c r="V45" i="2948"/>
  <c r="V46" i="2948" s="1"/>
  <c r="V27" i="2949"/>
  <c r="Z27" i="2949"/>
  <c r="Q75" i="1" l="1"/>
  <c r="Q77" i="1" s="1"/>
  <c r="Q80" i="1" s="1"/>
  <c r="Q81" i="1" s="1"/>
  <c r="AH29" i="2949"/>
  <c r="AL29" i="2949" s="1"/>
  <c r="AN29" i="2949" s="1"/>
  <c r="AR29" i="2949" s="1"/>
  <c r="AT29" i="2949" s="1"/>
  <c r="AX29" i="2949" s="1"/>
  <c r="R45" i="1"/>
  <c r="AH24" i="2949"/>
  <c r="R42" i="1"/>
  <c r="AH26" i="2949"/>
  <c r="AL26" i="2949" s="1"/>
  <c r="AN26" i="2949" s="1"/>
  <c r="AR26" i="2949" s="1"/>
  <c r="AT26" i="2949" s="1"/>
  <c r="AX26" i="2949" s="1"/>
  <c r="BM26" i="2949" s="1"/>
  <c r="AD44" i="1" s="1"/>
  <c r="R44" i="1"/>
  <c r="AH20" i="2949"/>
  <c r="AL20" i="2949" s="1"/>
  <c r="AN20" i="2949" s="1"/>
  <c r="AR20" i="2949" s="1"/>
  <c r="AT20" i="2949" s="1"/>
  <c r="AX20" i="2949" s="1"/>
  <c r="BH20" i="2949" s="1"/>
  <c r="Y60" i="1" s="1"/>
  <c r="R60" i="1"/>
  <c r="AH25" i="2949"/>
  <c r="AL25" i="2949" s="1"/>
  <c r="AN25" i="2949" s="1"/>
  <c r="AR25" i="2949" s="1"/>
  <c r="AT25" i="2949" s="1"/>
  <c r="AX25" i="2949" s="1"/>
  <c r="BI25" i="2949" s="1"/>
  <c r="Z43" i="1" s="1"/>
  <c r="R43" i="1"/>
  <c r="R119" i="1"/>
  <c r="R121" i="1"/>
  <c r="R125" i="1" s="1"/>
  <c r="R126" i="1" s="1"/>
  <c r="AL46" i="2948"/>
  <c r="BB45" i="2948"/>
  <c r="BB46" i="2948" s="1"/>
  <c r="AZ29" i="2949"/>
  <c r="BD29" i="2949" s="1"/>
  <c r="AH8" i="2949"/>
  <c r="AL8" i="2949" s="1"/>
  <c r="AN8" i="2949" s="1"/>
  <c r="AR8" i="2949" s="1"/>
  <c r="AT8" i="2949" s="1"/>
  <c r="AX8" i="2949" s="1"/>
  <c r="AL24" i="2949"/>
  <c r="AM45" i="2948"/>
  <c r="W60" i="1"/>
  <c r="AB18" i="2949"/>
  <c r="AF18" i="2949" s="1"/>
  <c r="R58" i="1" s="1"/>
  <c r="R59" i="1" s="1"/>
  <c r="AB27" i="2949"/>
  <c r="V19" i="2949"/>
  <c r="Z19" i="2949" s="1"/>
  <c r="T32" i="2949"/>
  <c r="V32" i="2949" s="1"/>
  <c r="AF27" i="2949"/>
  <c r="AF30" i="2949" s="1"/>
  <c r="AH30" i="2949" s="1"/>
  <c r="Z30" i="2949"/>
  <c r="V30" i="2949"/>
  <c r="C32" i="2950"/>
  <c r="Y45" i="2948"/>
  <c r="Y46" i="2948" s="1"/>
  <c r="AB34" i="2948"/>
  <c r="BK20" i="2949" l="1"/>
  <c r="AB60" i="1" s="1"/>
  <c r="BM20" i="2949"/>
  <c r="AD60" i="1" s="1"/>
  <c r="BJ20" i="2949"/>
  <c r="AA60" i="1" s="1"/>
  <c r="BI20" i="2949"/>
  <c r="Z60" i="1" s="1"/>
  <c r="BL20" i="2949"/>
  <c r="AC60" i="1" s="1"/>
  <c r="BL25" i="2949"/>
  <c r="AC43" i="1" s="1"/>
  <c r="BP20" i="2949"/>
  <c r="AG60" i="1" s="1"/>
  <c r="BO20" i="2949"/>
  <c r="AF60" i="1" s="1"/>
  <c r="BN20" i="2949"/>
  <c r="AE60" i="1" s="1"/>
  <c r="BN25" i="2949"/>
  <c r="AE43" i="1" s="1"/>
  <c r="BJ25" i="2949"/>
  <c r="AA43" i="1" s="1"/>
  <c r="BG20" i="2949"/>
  <c r="X60" i="1" s="1"/>
  <c r="AZ20" i="2949"/>
  <c r="BD20" i="2949" s="1"/>
  <c r="BK25" i="2949"/>
  <c r="AB43" i="1" s="1"/>
  <c r="BP25" i="2949"/>
  <c r="AG43" i="1" s="1"/>
  <c r="BM25" i="2949"/>
  <c r="AD43" i="1" s="1"/>
  <c r="BO25" i="2949"/>
  <c r="AF43" i="1" s="1"/>
  <c r="BH25" i="2949"/>
  <c r="Y43" i="1" s="1"/>
  <c r="AZ25" i="2949"/>
  <c r="BD25" i="2949" s="1"/>
  <c r="BG25" i="2949" s="1"/>
  <c r="X43" i="1" s="1"/>
  <c r="BN26" i="2949"/>
  <c r="AE44" i="1" s="1"/>
  <c r="BO26" i="2949"/>
  <c r="AF44" i="1" s="1"/>
  <c r="R46" i="1"/>
  <c r="R61" i="1" s="1"/>
  <c r="BI26" i="2949"/>
  <c r="Z44" i="1" s="1"/>
  <c r="BJ26" i="2949"/>
  <c r="AA44" i="1" s="1"/>
  <c r="R69" i="1"/>
  <c r="R73" i="1" s="1"/>
  <c r="BK26" i="2949"/>
  <c r="AB44" i="1" s="1"/>
  <c r="BP26" i="2949"/>
  <c r="AG44" i="1" s="1"/>
  <c r="BL26" i="2949"/>
  <c r="AC44" i="1" s="1"/>
  <c r="BH26" i="2949"/>
  <c r="Y44" i="1" s="1"/>
  <c r="AZ26" i="2949"/>
  <c r="BD26" i="2949" s="1"/>
  <c r="BG26" i="2949" s="1"/>
  <c r="X44" i="1" s="1"/>
  <c r="AH27" i="2949"/>
  <c r="R133" i="1"/>
  <c r="AN45" i="2948"/>
  <c r="AN46" i="2948" s="1"/>
  <c r="AM46" i="2948"/>
  <c r="AZ8" i="2949"/>
  <c r="BD8" i="2949" s="1"/>
  <c r="W48" i="1"/>
  <c r="AH18" i="2949"/>
  <c r="AL18" i="2949" s="1"/>
  <c r="AL27" i="2949"/>
  <c r="AL30" i="2949" s="1"/>
  <c r="AN30" i="2949" s="1"/>
  <c r="AN24" i="2949"/>
  <c r="AF19" i="2949"/>
  <c r="Z21" i="2949"/>
  <c r="AB21" i="2949" s="1"/>
  <c r="AB19" i="2949"/>
  <c r="AB30" i="2949"/>
  <c r="D32" i="2950"/>
  <c r="AD34" i="2948"/>
  <c r="AB45" i="2948"/>
  <c r="AB46" i="2948" s="1"/>
  <c r="AO45" i="2948" l="1"/>
  <c r="AO46" i="2948" s="1"/>
  <c r="R75" i="1"/>
  <c r="R77" i="1" s="1"/>
  <c r="R80" i="1" s="1"/>
  <c r="R81" i="1" s="1"/>
  <c r="BH8" i="2949"/>
  <c r="Y48" i="1" s="1"/>
  <c r="BI8" i="2949"/>
  <c r="Z48" i="1" s="1"/>
  <c r="BJ8" i="2949"/>
  <c r="AA48" i="1" s="1"/>
  <c r="BO8" i="2949"/>
  <c r="AF48" i="1" s="1"/>
  <c r="BP8" i="2949"/>
  <c r="AG48" i="1" s="1"/>
  <c r="BG8" i="2949"/>
  <c r="BK8" i="2949"/>
  <c r="AB48" i="1" s="1"/>
  <c r="BM8" i="2949"/>
  <c r="AD48" i="1" s="1"/>
  <c r="BL8" i="2949"/>
  <c r="AC48" i="1" s="1"/>
  <c r="BN8" i="2949"/>
  <c r="AE48" i="1" s="1"/>
  <c r="AN18" i="2949"/>
  <c r="AR18" i="2949" s="1"/>
  <c r="AT18" i="2949" s="1"/>
  <c r="AX18" i="2949" s="1"/>
  <c r="AL19" i="2949"/>
  <c r="AN19" i="2949" s="1"/>
  <c r="AF21" i="2949"/>
  <c r="AH19" i="2949"/>
  <c r="AN27" i="2949"/>
  <c r="AR24" i="2949"/>
  <c r="AP45" i="2948"/>
  <c r="Z32" i="2949"/>
  <c r="AB32" i="2949" s="1"/>
  <c r="B33" i="2950"/>
  <c r="E32" i="2950"/>
  <c r="AD45" i="2948"/>
  <c r="AG34" i="2948"/>
  <c r="AG45" i="2948" s="1"/>
  <c r="AP46" i="2948" l="1"/>
  <c r="X48" i="1"/>
  <c r="AZ18" i="2949"/>
  <c r="BD18" i="2949" s="1"/>
  <c r="AR19" i="2949"/>
  <c r="AT19" i="2949" s="1"/>
  <c r="AL21" i="2949"/>
  <c r="AL32" i="2949" s="1"/>
  <c r="AN32" i="2949" s="1"/>
  <c r="W58" i="1"/>
  <c r="AX19" i="2949"/>
  <c r="AR27" i="2949"/>
  <c r="AR30" i="2949" s="1"/>
  <c r="AT24" i="2949"/>
  <c r="AF32" i="2949"/>
  <c r="AH32" i="2949" s="1"/>
  <c r="AH21" i="2949"/>
  <c r="U46" i="1"/>
  <c r="AQ45" i="2948"/>
  <c r="F32" i="2950"/>
  <c r="C33" i="2950"/>
  <c r="AQ46" i="2948" l="1"/>
  <c r="BP18" i="2949"/>
  <c r="BP19" i="2949" s="1"/>
  <c r="BP21" i="2949" s="1"/>
  <c r="BG18" i="2949"/>
  <c r="BG19" i="2949" s="1"/>
  <c r="BG21" i="2949" s="1"/>
  <c r="BH18" i="2949"/>
  <c r="Y58" i="1" s="1"/>
  <c r="BI18" i="2949"/>
  <c r="Z58" i="1" s="1"/>
  <c r="BL18" i="2949"/>
  <c r="AC58" i="1" s="1"/>
  <c r="BN18" i="2949"/>
  <c r="AE58" i="1" s="1"/>
  <c r="BO18" i="2949"/>
  <c r="AF58" i="1" s="1"/>
  <c r="BJ18" i="2949"/>
  <c r="AA58" i="1" s="1"/>
  <c r="BM18" i="2949"/>
  <c r="AD58" i="1" s="1"/>
  <c r="BK18" i="2949"/>
  <c r="BD19" i="2949"/>
  <c r="BD21" i="2949" s="1"/>
  <c r="AX21" i="2949"/>
  <c r="AZ21" i="2949" s="1"/>
  <c r="AZ19" i="2949"/>
  <c r="AR21" i="2949"/>
  <c r="AT21" i="2949" s="1"/>
  <c r="AN21" i="2949"/>
  <c r="AR45" i="2948"/>
  <c r="AT30" i="2949"/>
  <c r="AT27" i="2949"/>
  <c r="AX24" i="2949"/>
  <c r="U69" i="1"/>
  <c r="U73" i="1" s="1"/>
  <c r="W59" i="1"/>
  <c r="W61" i="1" s="1"/>
  <c r="D33" i="2950"/>
  <c r="E33" i="2950" s="1"/>
  <c r="F33" i="2950" s="1"/>
  <c r="AG58" i="1" l="1"/>
  <c r="AG59" i="1" s="1"/>
  <c r="X58" i="1"/>
  <c r="BI19" i="2949"/>
  <c r="BI21" i="2949" s="1"/>
  <c r="AS45" i="2948"/>
  <c r="AS46" i="2948" s="1"/>
  <c r="AR46" i="2948"/>
  <c r="BO19" i="2949"/>
  <c r="BO21" i="2949" s="1"/>
  <c r="BH19" i="2949"/>
  <c r="BH21" i="2949" s="1"/>
  <c r="BM19" i="2949"/>
  <c r="BM21" i="2949" s="1"/>
  <c r="BJ19" i="2949"/>
  <c r="BJ21" i="2949" s="1"/>
  <c r="BN19" i="2949"/>
  <c r="BN21" i="2949" s="1"/>
  <c r="AB58" i="1"/>
  <c r="BK19" i="2949"/>
  <c r="BK21" i="2949" s="1"/>
  <c r="BL19" i="2949"/>
  <c r="BL21" i="2949" s="1"/>
  <c r="AZ24" i="2949"/>
  <c r="BD24" i="2949" s="1"/>
  <c r="AR32" i="2949"/>
  <c r="AT32" i="2949" s="1"/>
  <c r="AF59" i="1"/>
  <c r="BP24" i="2949"/>
  <c r="BO24" i="2949"/>
  <c r="AX27" i="2949"/>
  <c r="AX30" i="2949" s="1"/>
  <c r="AZ30" i="2949" s="1"/>
  <c r="BI24" i="2949"/>
  <c r="Z42" i="1" s="1"/>
  <c r="BM24" i="2949"/>
  <c r="AD42" i="1" s="1"/>
  <c r="BJ24" i="2949"/>
  <c r="AA42" i="1" s="1"/>
  <c r="BN24" i="2949"/>
  <c r="AE42" i="1" s="1"/>
  <c r="BH24" i="2949"/>
  <c r="Y42" i="1" s="1"/>
  <c r="BK24" i="2949"/>
  <c r="AB42" i="1" s="1"/>
  <c r="BL24" i="2949"/>
  <c r="AC42" i="1" s="1"/>
  <c r="V46" i="1"/>
  <c r="V69" i="1"/>
  <c r="V70" i="1" s="1"/>
  <c r="X59" i="1"/>
  <c r="B34" i="2950"/>
  <c r="V73" i="1" l="1"/>
  <c r="AT45" i="2948"/>
  <c r="AZ27" i="2949"/>
  <c r="V47" i="1"/>
  <c r="BD27" i="2949"/>
  <c r="BD30" i="2949" s="1"/>
  <c r="BD32" i="2949" s="1"/>
  <c r="BG24" i="2949"/>
  <c r="X42" i="1" s="1"/>
  <c r="AX32" i="2949"/>
  <c r="AZ32" i="2949" s="1"/>
  <c r="BP27" i="2949"/>
  <c r="BP29" i="2949" s="1"/>
  <c r="AG42" i="1"/>
  <c r="BO27" i="2949"/>
  <c r="AF42" i="1"/>
  <c r="U61" i="1"/>
  <c r="V61" i="1"/>
  <c r="BH27" i="2949"/>
  <c r="V74" i="1"/>
  <c r="Y59" i="1"/>
  <c r="C34" i="2950"/>
  <c r="AU45" i="2948" l="1"/>
  <c r="AU46" i="2948" s="1"/>
  <c r="AT46" i="2948"/>
  <c r="BG29" i="2949"/>
  <c r="BG27" i="2949"/>
  <c r="BO29" i="2949"/>
  <c r="BO30" i="2949" s="1"/>
  <c r="BO32" i="2949" s="1"/>
  <c r="BP30" i="2949"/>
  <c r="BP32" i="2949" s="1"/>
  <c r="AG45" i="1"/>
  <c r="AG46" i="1" s="1"/>
  <c r="AG47" i="1" s="1"/>
  <c r="U75" i="1"/>
  <c r="V75" i="1"/>
  <c r="BI27" i="2949"/>
  <c r="W69" i="1"/>
  <c r="W70" i="1" s="1"/>
  <c r="Z59" i="1"/>
  <c r="D34" i="2950"/>
  <c r="W73" i="1" l="1"/>
  <c r="AV45" i="2948"/>
  <c r="AV46" i="2948" s="1"/>
  <c r="AG61" i="1"/>
  <c r="AF45" i="1"/>
  <c r="AF46" i="1" s="1"/>
  <c r="AF47" i="1" s="1"/>
  <c r="W47" i="1"/>
  <c r="X45" i="1"/>
  <c r="X46" i="1" s="1"/>
  <c r="BH29" i="2949"/>
  <c r="BG30" i="2949"/>
  <c r="BG32" i="2949" s="1"/>
  <c r="Z70" i="1"/>
  <c r="X69" i="1"/>
  <c r="X70" i="1" s="1"/>
  <c r="BJ27" i="2949"/>
  <c r="AA59" i="1"/>
  <c r="B35" i="2950"/>
  <c r="E34" i="2950"/>
  <c r="X73" i="1" l="1"/>
  <c r="X74" i="1" s="1"/>
  <c r="Z73" i="1"/>
  <c r="AW45" i="2948"/>
  <c r="AW46" i="2948" s="1"/>
  <c r="X47" i="1"/>
  <c r="W74" i="1"/>
  <c r="W75" i="1"/>
  <c r="W77" i="1" s="1"/>
  <c r="W80" i="1" s="1"/>
  <c r="AF61" i="1"/>
  <c r="X61" i="1"/>
  <c r="BI29" i="2949"/>
  <c r="Y45" i="1"/>
  <c r="Y46" i="1" s="1"/>
  <c r="BH30" i="2949"/>
  <c r="BH32" i="2949" s="1"/>
  <c r="BK27" i="2949"/>
  <c r="Y69" i="1"/>
  <c r="Y70" i="1" s="1"/>
  <c r="AB59" i="1"/>
  <c r="F34" i="2950"/>
  <c r="C35" i="2950"/>
  <c r="Y73" i="1" l="1"/>
  <c r="Y47" i="1"/>
  <c r="AX45" i="2948"/>
  <c r="AX46" i="2948" s="1"/>
  <c r="Y74" i="1"/>
  <c r="X75" i="1"/>
  <c r="W129" i="1"/>
  <c r="Y61" i="1"/>
  <c r="BI30" i="2949"/>
  <c r="BI32" i="2949" s="1"/>
  <c r="BJ29" i="2949"/>
  <c r="Z45" i="1"/>
  <c r="Z46" i="1" s="1"/>
  <c r="Z74" i="1"/>
  <c r="BL27" i="2949"/>
  <c r="AC59" i="1"/>
  <c r="D35" i="2950"/>
  <c r="Z47" i="1" l="1"/>
  <c r="AY45" i="2948"/>
  <c r="AZ45" i="2948" s="1"/>
  <c r="X129" i="1"/>
  <c r="X77" i="1"/>
  <c r="Y75" i="1"/>
  <c r="Y129" i="1" s="1"/>
  <c r="Z61" i="1"/>
  <c r="BK29" i="2949"/>
  <c r="AA45" i="1"/>
  <c r="AA46" i="1" s="1"/>
  <c r="BJ30" i="2949"/>
  <c r="BJ32" i="2949" s="1"/>
  <c r="BM27" i="2949"/>
  <c r="AA69" i="1"/>
  <c r="AA70" i="1" s="1"/>
  <c r="AD59" i="1"/>
  <c r="B36" i="2950"/>
  <c r="E35" i="2950"/>
  <c r="F35" i="2950" s="1"/>
  <c r="AA73" i="1" l="1"/>
  <c r="AA74" i="1" s="1"/>
  <c r="AA47" i="1"/>
  <c r="AY46" i="2948"/>
  <c r="Z75" i="1"/>
  <c r="Z129" i="1" s="1"/>
  <c r="BL29" i="2949"/>
  <c r="BL30" i="2949" s="1"/>
  <c r="BL32" i="2949" s="1"/>
  <c r="AB45" i="1"/>
  <c r="AB46" i="1" s="1"/>
  <c r="BK30" i="2949"/>
  <c r="BK32" i="2949" s="1"/>
  <c r="AA61" i="1"/>
  <c r="AB69" i="1"/>
  <c r="AB70" i="1" s="1"/>
  <c r="BN27" i="2949"/>
  <c r="BN29" i="2949" s="1"/>
  <c r="AE59" i="1"/>
  <c r="C36" i="2950"/>
  <c r="AB73" i="1" l="1"/>
  <c r="AB74" i="1" s="1"/>
  <c r="AB47" i="1"/>
  <c r="AA75" i="1"/>
  <c r="AA129" i="1" s="1"/>
  <c r="AF69" i="1"/>
  <c r="AF70" i="1" s="1"/>
  <c r="AE45" i="1"/>
  <c r="AE46" i="1" s="1"/>
  <c r="BM29" i="2949"/>
  <c r="AC45" i="1"/>
  <c r="AC46" i="1" s="1"/>
  <c r="AC47" i="1" s="1"/>
  <c r="AB61" i="1"/>
  <c r="AD69" i="1"/>
  <c r="AD70" i="1" s="1"/>
  <c r="AC69" i="1"/>
  <c r="AC70" i="1" s="1"/>
  <c r="D36" i="2950"/>
  <c r="B37" i="2950" s="1"/>
  <c r="AC73" i="1" l="1"/>
  <c r="AD73" i="1"/>
  <c r="AD74" i="1" s="1"/>
  <c r="AF73" i="1"/>
  <c r="AC74" i="1"/>
  <c r="AF74" i="1"/>
  <c r="AB75" i="1"/>
  <c r="AB129" i="1" s="1"/>
  <c r="AF75" i="1"/>
  <c r="AF77" i="1" s="1"/>
  <c r="AG69" i="1"/>
  <c r="AG70" i="1" s="1"/>
  <c r="AD45" i="1"/>
  <c r="AD46" i="1" s="1"/>
  <c r="BM30" i="2949"/>
  <c r="BM32" i="2949" s="1"/>
  <c r="AC61" i="1"/>
  <c r="BN30" i="2949"/>
  <c r="AE69" i="1"/>
  <c r="AE70" i="1" s="1"/>
  <c r="AE61" i="1"/>
  <c r="C37" i="2950"/>
  <c r="E36" i="2950"/>
  <c r="F36" i="2950" s="1"/>
  <c r="AG73" i="1" l="1"/>
  <c r="AG74" i="1" s="1"/>
  <c r="AE73" i="1"/>
  <c r="AE74" i="1" s="1"/>
  <c r="BN32" i="2949"/>
  <c r="AE47" i="1"/>
  <c r="AD47" i="1"/>
  <c r="AC75" i="1"/>
  <c r="AC129" i="1" s="1"/>
  <c r="AF129" i="1"/>
  <c r="AD61" i="1"/>
  <c r="D37" i="2950"/>
  <c r="B38" i="2950" s="1"/>
  <c r="AG75" i="1" l="1"/>
  <c r="AG77" i="1" s="1"/>
  <c r="AD75" i="1"/>
  <c r="AD129" i="1" s="1"/>
  <c r="C38" i="2950"/>
  <c r="AE75" i="1"/>
  <c r="AE129" i="1" s="1"/>
  <c r="E37" i="2950"/>
  <c r="F37" i="2950" s="1"/>
  <c r="AG129" i="1" l="1"/>
  <c r="D38" i="2950"/>
  <c r="B39" i="2950" s="1"/>
  <c r="C39" i="2950" l="1"/>
  <c r="E38" i="2950"/>
  <c r="F38" i="2950" s="1"/>
  <c r="D39" i="2950" l="1"/>
  <c r="B40" i="2950" s="1"/>
  <c r="C40" i="2950" l="1"/>
  <c r="E39" i="2950"/>
  <c r="F39" i="2950" s="1"/>
  <c r="D40" i="2950" l="1"/>
  <c r="B41" i="2950" s="1"/>
  <c r="C41" i="2950" l="1"/>
  <c r="E40" i="2950"/>
  <c r="F40" i="2950" s="1"/>
  <c r="D41" i="2950" l="1"/>
  <c r="B42" i="2950" s="1"/>
  <c r="E41" i="2950" l="1"/>
  <c r="F41" i="2950" s="1"/>
  <c r="C42" i="2950"/>
  <c r="D42" i="2950" l="1"/>
  <c r="B43" i="2950" s="1"/>
  <c r="C43" i="2950" l="1"/>
  <c r="E42" i="2950"/>
  <c r="F42" i="2950" s="1"/>
  <c r="D43" i="2950" l="1"/>
  <c r="B44" i="2950" s="1"/>
  <c r="E43" i="2950" l="1"/>
  <c r="F43" i="2950" s="1"/>
  <c r="C44" i="2950"/>
  <c r="D44" i="2950" l="1"/>
  <c r="B45" i="2950" s="1"/>
  <c r="C45" i="2950" l="1"/>
  <c r="E44" i="2950"/>
  <c r="F44" i="2950" s="1"/>
  <c r="D45" i="2950" l="1"/>
  <c r="B46" i="2950" s="1"/>
  <c r="E45" i="2950" l="1"/>
  <c r="F45" i="2950" s="1"/>
  <c r="C46" i="2950"/>
  <c r="D46" i="2950" l="1"/>
  <c r="B47" i="2950" s="1"/>
  <c r="C47" i="2950" l="1"/>
  <c r="E46" i="2950"/>
  <c r="F46" i="2950" s="1"/>
  <c r="D47" i="2950" l="1"/>
  <c r="B48" i="2950" s="1"/>
  <c r="E47" i="2950" l="1"/>
  <c r="F47" i="2950" s="1"/>
  <c r="C48" i="2950"/>
  <c r="D48" i="2950" l="1"/>
  <c r="B49" i="2950" s="1"/>
  <c r="C49" i="2950" l="1"/>
  <c r="E48" i="2950"/>
  <c r="F48" i="2950" s="1"/>
  <c r="D49" i="2950" l="1"/>
  <c r="B50" i="2950" s="1"/>
  <c r="E49" i="2950" l="1"/>
  <c r="F49" i="2950" s="1"/>
  <c r="C50" i="2950"/>
  <c r="D50" i="2950" l="1"/>
  <c r="B51" i="2950" s="1"/>
  <c r="C51" i="2950" l="1"/>
  <c r="E50" i="2950"/>
  <c r="F50" i="2950" s="1"/>
  <c r="D51" i="2950" l="1"/>
  <c r="B52" i="2950" s="1"/>
  <c r="C52" i="2950" l="1"/>
  <c r="E51" i="2950"/>
  <c r="F51" i="2950" s="1"/>
  <c r="D52" i="2950" l="1"/>
  <c r="B53" i="2950" s="1"/>
  <c r="C53" i="2950" l="1"/>
  <c r="E52" i="2950"/>
  <c r="F52" i="2950" s="1"/>
  <c r="D53" i="2950" l="1"/>
  <c r="B54" i="2950" s="1"/>
  <c r="E53" i="2950" l="1"/>
  <c r="F53" i="2950" s="1"/>
  <c r="C54" i="2950"/>
  <c r="D54" i="2950" l="1"/>
  <c r="B55" i="2950" s="1"/>
  <c r="C55" i="2950" l="1"/>
  <c r="E54" i="2950"/>
  <c r="F54" i="2950" s="1"/>
  <c r="D55" i="2950" l="1"/>
  <c r="B56" i="2950" s="1"/>
  <c r="E55" i="2950" l="1"/>
  <c r="F55" i="2950" s="1"/>
  <c r="C56" i="2950"/>
  <c r="D56" i="2950" l="1"/>
  <c r="B57" i="2950" s="1"/>
  <c r="C57" i="2950" l="1"/>
  <c r="E56" i="2950"/>
  <c r="F56" i="2950" s="1"/>
  <c r="D57" i="2950" l="1"/>
  <c r="B58" i="2950" s="1"/>
  <c r="E57" i="2950" l="1"/>
  <c r="F57" i="2950" s="1"/>
  <c r="C58" i="2950"/>
  <c r="D58" i="2950" l="1"/>
  <c r="B59" i="2950" s="1"/>
  <c r="C59" i="2950" l="1"/>
  <c r="E58" i="2950"/>
  <c r="F58" i="2950" s="1"/>
  <c r="D59" i="2950" l="1"/>
  <c r="B60" i="2950" s="1"/>
  <c r="C60" i="2950" s="1"/>
  <c r="D60" i="2950" l="1"/>
  <c r="D62" i="2950" s="1"/>
  <c r="C62" i="2950"/>
  <c r="E59" i="2950"/>
  <c r="F59" i="2950" s="1"/>
  <c r="E60" i="2950" l="1"/>
  <c r="E62" i="2950" s="1"/>
  <c r="F60" i="2950" l="1"/>
  <c r="F55" i="2941" l="1"/>
  <c r="G55" i="2941" l="1"/>
  <c r="K65" i="2941" l="1"/>
  <c r="L65" i="2941" s="1"/>
  <c r="M65" i="2941" s="1"/>
  <c r="N65" i="2941" s="1"/>
  <c r="O65" i="2941" s="1"/>
  <c r="P65" i="2941" s="1"/>
  <c r="Q65" i="2941" s="1"/>
  <c r="R65" i="2941" s="1"/>
  <c r="S65" i="2941" s="1"/>
  <c r="T65" i="2941" s="1"/>
  <c r="U65" i="2941" s="1"/>
  <c r="V65" i="2941" s="1"/>
  <c r="W65" i="2941" s="1"/>
  <c r="X65" i="2941" s="1"/>
  <c r="Y65" i="2941" s="1"/>
  <c r="Z65" i="2941" s="1"/>
  <c r="AA65" i="2941" s="1"/>
  <c r="AB65" i="2941" s="1"/>
  <c r="AC65" i="2941" s="1"/>
  <c r="AD65" i="2941" s="1"/>
  <c r="AE65" i="2941" s="1"/>
  <c r="K64" i="2941"/>
  <c r="L64" i="2941" s="1"/>
  <c r="M64" i="2941" s="1"/>
  <c r="N64" i="2941" s="1"/>
  <c r="O64" i="2941" s="1"/>
  <c r="P64" i="2941" s="1"/>
  <c r="Q64" i="2941" s="1"/>
  <c r="R64" i="2941" s="1"/>
  <c r="S64" i="2941" s="1"/>
  <c r="T64" i="2941" s="1"/>
  <c r="U64" i="2941" s="1"/>
  <c r="V64" i="2941" s="1"/>
  <c r="W64" i="2941" s="1"/>
  <c r="X64" i="2941" s="1"/>
  <c r="Y64" i="2941" s="1"/>
  <c r="Z64" i="2941" s="1"/>
  <c r="AA64" i="2941" s="1"/>
  <c r="AB64" i="2941" s="1"/>
  <c r="AC64" i="2941" s="1"/>
  <c r="AD64" i="2941" s="1"/>
  <c r="AE64" i="2941" s="1"/>
  <c r="F72" i="2941"/>
  <c r="E72" i="2941"/>
  <c r="D72" i="2941"/>
  <c r="C72" i="2941"/>
  <c r="B72" i="2941"/>
  <c r="K71" i="2941"/>
  <c r="L71" i="2941" s="1"/>
  <c r="M71" i="2941" s="1"/>
  <c r="N71" i="2941" s="1"/>
  <c r="O71" i="2941" s="1"/>
  <c r="P71" i="2941" s="1"/>
  <c r="Q71" i="2941" s="1"/>
  <c r="R71" i="2941" s="1"/>
  <c r="S71" i="2941" s="1"/>
  <c r="T71" i="2941" s="1"/>
  <c r="U71" i="2941" s="1"/>
  <c r="V71" i="2941" s="1"/>
  <c r="W71" i="2941" s="1"/>
  <c r="X71" i="2941" s="1"/>
  <c r="Y71" i="2941" s="1"/>
  <c r="Z71" i="2941" s="1"/>
  <c r="AA71" i="2941" s="1"/>
  <c r="AB71" i="2941" s="1"/>
  <c r="AC71" i="2941" s="1"/>
  <c r="AD71" i="2941" s="1"/>
  <c r="AE71" i="2941" s="1"/>
  <c r="K70" i="2941"/>
  <c r="L70" i="2941" s="1"/>
  <c r="M70" i="2941" s="1"/>
  <c r="N70" i="2941" s="1"/>
  <c r="O70" i="2941" s="1"/>
  <c r="P70" i="2941" s="1"/>
  <c r="Q70" i="2941" s="1"/>
  <c r="R70" i="2941" s="1"/>
  <c r="S70" i="2941" s="1"/>
  <c r="T70" i="2941" s="1"/>
  <c r="U70" i="2941" s="1"/>
  <c r="V70" i="2941" s="1"/>
  <c r="W70" i="2941" s="1"/>
  <c r="X70" i="2941" s="1"/>
  <c r="Y70" i="2941" s="1"/>
  <c r="Z70" i="2941" s="1"/>
  <c r="AA70" i="2941" s="1"/>
  <c r="AB70" i="2941" s="1"/>
  <c r="AC70" i="2941" s="1"/>
  <c r="AD70" i="2941" s="1"/>
  <c r="AE70" i="2941" s="1"/>
  <c r="K69" i="2941"/>
  <c r="L69" i="2941" s="1"/>
  <c r="M69" i="2941" s="1"/>
  <c r="N69" i="2941" s="1"/>
  <c r="O69" i="2941" s="1"/>
  <c r="P69" i="2941" s="1"/>
  <c r="Q69" i="2941" s="1"/>
  <c r="R69" i="2941" s="1"/>
  <c r="S69" i="2941" s="1"/>
  <c r="T69" i="2941" s="1"/>
  <c r="U69" i="2941" s="1"/>
  <c r="V69" i="2941" s="1"/>
  <c r="W69" i="2941" s="1"/>
  <c r="X69" i="2941" s="1"/>
  <c r="Y69" i="2941" s="1"/>
  <c r="Z69" i="2941" s="1"/>
  <c r="AA69" i="2941" s="1"/>
  <c r="AB69" i="2941" s="1"/>
  <c r="AC69" i="2941" s="1"/>
  <c r="AD69" i="2941" s="1"/>
  <c r="AE69" i="2941" s="1"/>
  <c r="K68" i="2941"/>
  <c r="L68" i="2941" s="1"/>
  <c r="M68" i="2941" s="1"/>
  <c r="N68" i="2941" s="1"/>
  <c r="O68" i="2941" s="1"/>
  <c r="P68" i="2941" s="1"/>
  <c r="Q68" i="2941" s="1"/>
  <c r="R68" i="2941" s="1"/>
  <c r="S68" i="2941" s="1"/>
  <c r="T68" i="2941" s="1"/>
  <c r="U68" i="2941" s="1"/>
  <c r="V68" i="2941" s="1"/>
  <c r="W68" i="2941" s="1"/>
  <c r="X68" i="2941" s="1"/>
  <c r="Y68" i="2941" s="1"/>
  <c r="Z68" i="2941" s="1"/>
  <c r="AA68" i="2941" s="1"/>
  <c r="AB68" i="2941" s="1"/>
  <c r="AC68" i="2941" s="1"/>
  <c r="AD68" i="2941" s="1"/>
  <c r="AE68" i="2941" s="1"/>
  <c r="K67" i="2941"/>
  <c r="L67" i="2941" s="1"/>
  <c r="M67" i="2941" s="1"/>
  <c r="N67" i="2941" s="1"/>
  <c r="O67" i="2941" s="1"/>
  <c r="P67" i="2941" s="1"/>
  <c r="Q67" i="2941" s="1"/>
  <c r="R67" i="2941" s="1"/>
  <c r="S67" i="2941" s="1"/>
  <c r="T67" i="2941" s="1"/>
  <c r="U67" i="2941" s="1"/>
  <c r="V67" i="2941" s="1"/>
  <c r="W67" i="2941" s="1"/>
  <c r="X67" i="2941" s="1"/>
  <c r="Y67" i="2941" s="1"/>
  <c r="Z67" i="2941" s="1"/>
  <c r="AA67" i="2941" s="1"/>
  <c r="AB67" i="2941" s="1"/>
  <c r="AC67" i="2941" s="1"/>
  <c r="AD67" i="2941" s="1"/>
  <c r="AE67" i="2941" s="1"/>
  <c r="K66" i="2941"/>
  <c r="L66" i="2941" s="1"/>
  <c r="M66" i="2941" s="1"/>
  <c r="N66" i="2941" s="1"/>
  <c r="O66" i="2941" s="1"/>
  <c r="P66" i="2941" s="1"/>
  <c r="Q66" i="2941" s="1"/>
  <c r="R66" i="2941" s="1"/>
  <c r="S66" i="2941" s="1"/>
  <c r="T66" i="2941" s="1"/>
  <c r="U66" i="2941" s="1"/>
  <c r="V66" i="2941" s="1"/>
  <c r="W66" i="2941" s="1"/>
  <c r="X66" i="2941" s="1"/>
  <c r="Y66" i="2941" s="1"/>
  <c r="Z66" i="2941" s="1"/>
  <c r="AA66" i="2941" s="1"/>
  <c r="AB66" i="2941" s="1"/>
  <c r="AC66" i="2941" s="1"/>
  <c r="AD66" i="2941" s="1"/>
  <c r="AE66" i="2941" s="1"/>
  <c r="E55" i="2941"/>
  <c r="D55" i="2941"/>
  <c r="C55" i="2941"/>
  <c r="B55" i="2941"/>
  <c r="H55" i="2941" l="1"/>
  <c r="G72" i="2941"/>
  <c r="K46" i="2941" l="1"/>
  <c r="H72" i="2941"/>
  <c r="I72" i="2941"/>
  <c r="K51" i="2941" l="1"/>
  <c r="L46" i="2941"/>
  <c r="K49" i="2941"/>
  <c r="K52" i="2941"/>
  <c r="K48" i="2941"/>
  <c r="K53" i="2941"/>
  <c r="K50" i="2941"/>
  <c r="K54" i="2941"/>
  <c r="K47" i="2941"/>
  <c r="I55" i="2941"/>
  <c r="L47" i="2941" l="1"/>
  <c r="L50" i="2941"/>
  <c r="L52" i="2941"/>
  <c r="L48" i="2941"/>
  <c r="L49" i="2941"/>
  <c r="L51" i="2941"/>
  <c r="M46" i="2941"/>
  <c r="L54" i="2941"/>
  <c r="L53" i="2941"/>
  <c r="J72" i="2941"/>
  <c r="K63" i="2941"/>
  <c r="J55" i="2941"/>
  <c r="N46" i="2941" l="1"/>
  <c r="M52" i="2941"/>
  <c r="M47" i="2941"/>
  <c r="M54" i="2941"/>
  <c r="M51" i="2941"/>
  <c r="M48" i="2941"/>
  <c r="M50" i="2941"/>
  <c r="M53" i="2941"/>
  <c r="M49" i="2941"/>
  <c r="L63" i="2941"/>
  <c r="K72" i="2941"/>
  <c r="K55" i="2941"/>
  <c r="N51" i="2941" l="1"/>
  <c r="N50" i="2941"/>
  <c r="O46" i="2941"/>
  <c r="N49" i="2941"/>
  <c r="N47" i="2941"/>
  <c r="N53" i="2941"/>
  <c r="N48" i="2941"/>
  <c r="N54" i="2941"/>
  <c r="N52" i="2941"/>
  <c r="L72" i="2941"/>
  <c r="M63" i="2941"/>
  <c r="L55" i="2941"/>
  <c r="O48" i="2941" l="1"/>
  <c r="O52" i="2941"/>
  <c r="O47" i="2941"/>
  <c r="P46" i="2941"/>
  <c r="O51" i="2941"/>
  <c r="O54" i="2941"/>
  <c r="O53" i="2941"/>
  <c r="O49" i="2941"/>
  <c r="O50" i="2941"/>
  <c r="M72" i="2941"/>
  <c r="N63" i="2941"/>
  <c r="M55" i="2941"/>
  <c r="P50" i="2941" l="1"/>
  <c r="P53" i="2941"/>
  <c r="P51" i="2941"/>
  <c r="P47" i="2941"/>
  <c r="P48" i="2941"/>
  <c r="P49" i="2941"/>
  <c r="P54" i="2941"/>
  <c r="Q46" i="2941"/>
  <c r="P52" i="2941"/>
  <c r="N72" i="2941"/>
  <c r="O63" i="2941"/>
  <c r="N55" i="2941"/>
  <c r="Q52" i="2941" l="1"/>
  <c r="Q51" i="2941"/>
  <c r="Q54" i="2941"/>
  <c r="Q48" i="2941"/>
  <c r="Q50" i="2941"/>
  <c r="R46" i="2941"/>
  <c r="Q49" i="2941"/>
  <c r="Q47" i="2941"/>
  <c r="Q53" i="2941"/>
  <c r="P63" i="2941"/>
  <c r="O72" i="2941"/>
  <c r="O55" i="2941"/>
  <c r="R49" i="2941" l="1"/>
  <c r="R50" i="2941"/>
  <c r="R51" i="2941"/>
  <c r="R53" i="2941"/>
  <c r="R54" i="2941"/>
  <c r="R52" i="2941"/>
  <c r="R47" i="2941"/>
  <c r="S46" i="2941"/>
  <c r="R48" i="2941"/>
  <c r="P72" i="2941"/>
  <c r="Q63" i="2941"/>
  <c r="P55" i="2941"/>
  <c r="S47" i="2941" l="1"/>
  <c r="S49" i="2941"/>
  <c r="S50" i="2941"/>
  <c r="S48" i="2941"/>
  <c r="S54" i="2941"/>
  <c r="S51" i="2941"/>
  <c r="T46" i="2941"/>
  <c r="S52" i="2941"/>
  <c r="S53" i="2941"/>
  <c r="Q72" i="2941"/>
  <c r="R63" i="2941"/>
  <c r="Q55" i="2941"/>
  <c r="T53" i="2941" l="1"/>
  <c r="U46" i="2941"/>
  <c r="V46" i="2941" s="1"/>
  <c r="W46" i="2941" s="1"/>
  <c r="X46" i="2941" s="1"/>
  <c r="Y46" i="2941" s="1"/>
  <c r="Z46" i="2941" s="1"/>
  <c r="AA46" i="2941" s="1"/>
  <c r="AB46" i="2941" s="1"/>
  <c r="AC46" i="2941" s="1"/>
  <c r="AD46" i="2941" s="1"/>
  <c r="AE46" i="2941" s="1"/>
  <c r="T54" i="2941"/>
  <c r="T50" i="2941"/>
  <c r="T47" i="2941"/>
  <c r="T52" i="2941"/>
  <c r="T51" i="2941"/>
  <c r="T48" i="2941"/>
  <c r="T49" i="2941"/>
  <c r="R72" i="2941"/>
  <c r="S63" i="2941"/>
  <c r="R55" i="2941"/>
  <c r="U49" i="2941" l="1"/>
  <c r="V49" i="2941" s="1"/>
  <c r="W49" i="2941" s="1"/>
  <c r="X49" i="2941" s="1"/>
  <c r="Y49" i="2941" s="1"/>
  <c r="Z49" i="2941" s="1"/>
  <c r="AA49" i="2941" s="1"/>
  <c r="AB49" i="2941" s="1"/>
  <c r="AC49" i="2941" s="1"/>
  <c r="AD49" i="2941" s="1"/>
  <c r="AE49" i="2941" s="1"/>
  <c r="U47" i="2941"/>
  <c r="V47" i="2941" s="1"/>
  <c r="W47" i="2941" s="1"/>
  <c r="X47" i="2941" s="1"/>
  <c r="Y47" i="2941" s="1"/>
  <c r="Z47" i="2941" s="1"/>
  <c r="AA47" i="2941" s="1"/>
  <c r="AB47" i="2941" s="1"/>
  <c r="AC47" i="2941" s="1"/>
  <c r="AD47" i="2941" s="1"/>
  <c r="AE47" i="2941" s="1"/>
  <c r="U54" i="2941"/>
  <c r="V54" i="2941" s="1"/>
  <c r="W54" i="2941" s="1"/>
  <c r="X54" i="2941" s="1"/>
  <c r="Y54" i="2941" s="1"/>
  <c r="Z54" i="2941" s="1"/>
  <c r="AA54" i="2941" s="1"/>
  <c r="AB54" i="2941" s="1"/>
  <c r="AC54" i="2941" s="1"/>
  <c r="AD54" i="2941" s="1"/>
  <c r="AE54" i="2941" s="1"/>
  <c r="U53" i="2941"/>
  <c r="V53" i="2941" s="1"/>
  <c r="W53" i="2941" s="1"/>
  <c r="X53" i="2941" s="1"/>
  <c r="Y53" i="2941" s="1"/>
  <c r="Z53" i="2941" s="1"/>
  <c r="AA53" i="2941" s="1"/>
  <c r="AB53" i="2941" s="1"/>
  <c r="AC53" i="2941" s="1"/>
  <c r="AD53" i="2941" s="1"/>
  <c r="AE53" i="2941" s="1"/>
  <c r="U50" i="2941"/>
  <c r="V50" i="2941" s="1"/>
  <c r="W50" i="2941" s="1"/>
  <c r="X50" i="2941" s="1"/>
  <c r="Y50" i="2941" s="1"/>
  <c r="Z50" i="2941" s="1"/>
  <c r="AA50" i="2941" s="1"/>
  <c r="AB50" i="2941" s="1"/>
  <c r="AC50" i="2941" s="1"/>
  <c r="AD50" i="2941" s="1"/>
  <c r="AE50" i="2941" s="1"/>
  <c r="U51" i="2941"/>
  <c r="V51" i="2941" s="1"/>
  <c r="W51" i="2941" s="1"/>
  <c r="X51" i="2941" s="1"/>
  <c r="Y51" i="2941" s="1"/>
  <c r="Z51" i="2941" s="1"/>
  <c r="AA51" i="2941" s="1"/>
  <c r="AB51" i="2941" s="1"/>
  <c r="AC51" i="2941" s="1"/>
  <c r="AD51" i="2941" s="1"/>
  <c r="AE51" i="2941" s="1"/>
  <c r="U48" i="2941"/>
  <c r="V48" i="2941" s="1"/>
  <c r="W48" i="2941" s="1"/>
  <c r="X48" i="2941" s="1"/>
  <c r="Y48" i="2941" s="1"/>
  <c r="Z48" i="2941" s="1"/>
  <c r="AA48" i="2941" s="1"/>
  <c r="AB48" i="2941" s="1"/>
  <c r="AC48" i="2941" s="1"/>
  <c r="AD48" i="2941" s="1"/>
  <c r="AE48" i="2941" s="1"/>
  <c r="U52" i="2941"/>
  <c r="V52" i="2941" s="1"/>
  <c r="W52" i="2941" s="1"/>
  <c r="X52" i="2941" s="1"/>
  <c r="Y52" i="2941" s="1"/>
  <c r="Z52" i="2941" s="1"/>
  <c r="AA52" i="2941" s="1"/>
  <c r="AB52" i="2941" s="1"/>
  <c r="AC52" i="2941" s="1"/>
  <c r="AD52" i="2941" s="1"/>
  <c r="AE52" i="2941" s="1"/>
  <c r="T63" i="2941"/>
  <c r="S72" i="2941"/>
  <c r="S55" i="2941"/>
  <c r="T72" i="2941" l="1"/>
  <c r="U63" i="2941"/>
  <c r="T55" i="2941"/>
  <c r="U72" i="2941" l="1"/>
  <c r="V63" i="2941"/>
  <c r="U55" i="2941"/>
  <c r="V72" i="2941" l="1"/>
  <c r="W63" i="2941"/>
  <c r="V55" i="2941"/>
  <c r="X63" i="2941" l="1"/>
  <c r="W72" i="2941"/>
  <c r="W55" i="2941"/>
  <c r="X72" i="2941" l="1"/>
  <c r="Y63" i="2941"/>
  <c r="X55" i="2941"/>
  <c r="Y72" i="2941" l="1"/>
  <c r="Z63" i="2941"/>
  <c r="Y55" i="2941"/>
  <c r="Z72" i="2941" l="1"/>
  <c r="AA63" i="2941"/>
  <c r="Z55" i="2941"/>
  <c r="AB63" i="2941" l="1"/>
  <c r="AA72" i="2941"/>
  <c r="AA55" i="2941"/>
  <c r="AB72" i="2941" l="1"/>
  <c r="AC63" i="2941"/>
  <c r="AB55" i="2941"/>
  <c r="AC72" i="2941" l="1"/>
  <c r="AD63" i="2941"/>
  <c r="AC55" i="2941"/>
  <c r="AD72" i="2941" l="1"/>
  <c r="AE63" i="2941"/>
  <c r="AE72" i="2941" s="1"/>
  <c r="AD55" i="2941"/>
  <c r="AE55" i="2941"/>
  <c r="B27" i="2941" l="1"/>
  <c r="K26" i="2941"/>
  <c r="AE26" i="2941"/>
  <c r="AD26" i="2941"/>
  <c r="AC26" i="2941"/>
  <c r="AB26" i="2941"/>
  <c r="AA26" i="2941"/>
  <c r="Z26" i="2941"/>
  <c r="Y26" i="2941"/>
  <c r="X26" i="2941"/>
  <c r="W26" i="2941"/>
  <c r="V26" i="2941"/>
  <c r="U26" i="2941"/>
  <c r="T26" i="2941"/>
  <c r="S26" i="2941"/>
  <c r="AG214" i="1" s="1"/>
  <c r="R26" i="2941"/>
  <c r="AF214" i="1" s="1"/>
  <c r="Q26" i="2941"/>
  <c r="AE214" i="1" s="1"/>
  <c r="P26" i="2941"/>
  <c r="AD214" i="1" s="1"/>
  <c r="O26" i="2941"/>
  <c r="AC214" i="1" s="1"/>
  <c r="N26" i="2941"/>
  <c r="AB214" i="1" s="1"/>
  <c r="M26" i="2941"/>
  <c r="AA214" i="1" s="1"/>
  <c r="L26" i="2941"/>
  <c r="Z214" i="1" s="1"/>
  <c r="AE22" i="2941"/>
  <c r="AD22" i="2941"/>
  <c r="AC22" i="2941"/>
  <c r="AB22" i="2941"/>
  <c r="AA22" i="2941"/>
  <c r="Z22" i="2941"/>
  <c r="Y22" i="2941"/>
  <c r="X22" i="2941"/>
  <c r="W22" i="2941"/>
  <c r="V22" i="2941"/>
  <c r="U22" i="2941"/>
  <c r="T22" i="2941"/>
  <c r="S22" i="2941"/>
  <c r="AG210" i="1" s="1"/>
  <c r="R22" i="2941"/>
  <c r="AF210" i="1" s="1"/>
  <c r="Q22" i="2941"/>
  <c r="AE210" i="1" s="1"/>
  <c r="P22" i="2941"/>
  <c r="AD210" i="1" s="1"/>
  <c r="O22" i="2941"/>
  <c r="AC210" i="1" s="1"/>
  <c r="N22" i="2941"/>
  <c r="AB210" i="1" s="1"/>
  <c r="M22" i="2941"/>
  <c r="AA210" i="1" s="1"/>
  <c r="L22" i="2941"/>
  <c r="Z210" i="1" s="1"/>
  <c r="K22" i="2941"/>
  <c r="I22" i="2941"/>
  <c r="I34" i="2941" s="1"/>
  <c r="J34" i="2941" s="1"/>
  <c r="AE23" i="2941"/>
  <c r="AD23" i="2941"/>
  <c r="AC23" i="2941"/>
  <c r="AB23" i="2941"/>
  <c r="AA23" i="2941"/>
  <c r="Z23" i="2941"/>
  <c r="Y23" i="2941"/>
  <c r="X23" i="2941"/>
  <c r="W23" i="2941"/>
  <c r="V23" i="2941"/>
  <c r="U23" i="2941"/>
  <c r="T23" i="2941"/>
  <c r="S23" i="2941"/>
  <c r="AG211" i="1" s="1"/>
  <c r="R23" i="2941"/>
  <c r="AF211" i="1" s="1"/>
  <c r="Q23" i="2941"/>
  <c r="AE211" i="1" s="1"/>
  <c r="P23" i="2941"/>
  <c r="AD211" i="1" s="1"/>
  <c r="O23" i="2941"/>
  <c r="AC211" i="1" s="1"/>
  <c r="N23" i="2941"/>
  <c r="AB211" i="1" s="1"/>
  <c r="M23" i="2941"/>
  <c r="AA211" i="1" s="1"/>
  <c r="L23" i="2941"/>
  <c r="Z211" i="1" s="1"/>
  <c r="K23" i="2941"/>
  <c r="I23" i="2941"/>
  <c r="I35" i="2941" s="1"/>
  <c r="J35" i="2941" s="1"/>
  <c r="X211" i="1" l="1"/>
  <c r="Y211" i="1"/>
  <c r="X214" i="1"/>
  <c r="Y210" i="1"/>
  <c r="O56" i="2933"/>
  <c r="W210" i="1" s="1"/>
  <c r="Y214" i="1"/>
  <c r="O57" i="2933"/>
  <c r="W211" i="1" s="1"/>
  <c r="X210" i="1"/>
  <c r="G22" i="2933"/>
  <c r="N176" i="1" s="1"/>
  <c r="G20" i="2933"/>
  <c r="N174" i="1" s="1"/>
  <c r="G30" i="2933"/>
  <c r="N184" i="1" s="1"/>
  <c r="G27" i="2933"/>
  <c r="N181" i="1" s="1"/>
  <c r="N189" i="1"/>
  <c r="G43" i="2933"/>
  <c r="N197" i="1" s="1"/>
  <c r="G42" i="2933"/>
  <c r="N196" i="1" s="1"/>
  <c r="G29" i="2933"/>
  <c r="N183" i="1" s="1"/>
  <c r="G37" i="2933"/>
  <c r="N191" i="1" s="1"/>
  <c r="G45" i="2933"/>
  <c r="N199" i="1" s="1"/>
  <c r="G44" i="2933"/>
  <c r="N198" i="1" s="1"/>
  <c r="G28" i="2933"/>
  <c r="N182" i="1" s="1"/>
  <c r="G39" i="2933"/>
  <c r="N193" i="1" s="1"/>
  <c r="G24" i="2933"/>
  <c r="N178" i="1" s="1"/>
  <c r="G23" i="2933"/>
  <c r="N177" i="1" s="1"/>
  <c r="G38" i="2933"/>
  <c r="N192" i="1" s="1"/>
  <c r="G26" i="2933"/>
  <c r="N180" i="1" s="1"/>
  <c r="G25" i="2933"/>
  <c r="N179" i="1" s="1"/>
  <c r="G41" i="2933"/>
  <c r="N195" i="1" s="1"/>
  <c r="G40" i="2933"/>
  <c r="N194" i="1" s="1"/>
  <c r="K20" i="2941"/>
  <c r="N185" i="1" l="1"/>
  <c r="N186" i="1" s="1"/>
  <c r="N200" i="1"/>
  <c r="N201" i="1" s="1"/>
  <c r="O61" i="2933"/>
  <c r="O63" i="2933" s="1"/>
  <c r="O48" i="2933" s="1"/>
  <c r="L20" i="2941"/>
  <c r="Y208" i="1"/>
  <c r="G31" i="2933"/>
  <c r="G32" i="2933" s="1"/>
  <c r="G46" i="2933"/>
  <c r="G47" i="2933" s="1"/>
  <c r="M20" i="2941" l="1"/>
  <c r="Z208" i="1"/>
  <c r="O33" i="2933" l="1"/>
  <c r="N20" i="2941"/>
  <c r="AA208" i="1"/>
  <c r="X213" i="1" l="1"/>
  <c r="X212" i="1"/>
  <c r="O64" i="2933"/>
  <c r="O20" i="2941"/>
  <c r="AB208" i="1"/>
  <c r="T254" i="1"/>
  <c r="K19" i="2941"/>
  <c r="K18" i="2941"/>
  <c r="K21" i="2941"/>
  <c r="K25" i="2941"/>
  <c r="K24" i="2941"/>
  <c r="Y213" i="1" l="1"/>
  <c r="Y209" i="1"/>
  <c r="Y206" i="1"/>
  <c r="Y212" i="1"/>
  <c r="Y207" i="1"/>
  <c r="X209" i="1"/>
  <c r="P20" i="2941"/>
  <c r="AC208" i="1"/>
  <c r="T255" i="1"/>
  <c r="T274" i="1"/>
  <c r="L18" i="2941"/>
  <c r="Z206" i="1" s="1"/>
  <c r="L21" i="2941"/>
  <c r="Z209" i="1" s="1"/>
  <c r="L19" i="2941"/>
  <c r="Z207" i="1" s="1"/>
  <c r="L24" i="2941"/>
  <c r="Z212" i="1" s="1"/>
  <c r="L25" i="2941"/>
  <c r="Z213" i="1" s="1"/>
  <c r="Q20" i="2941" l="1"/>
  <c r="AD208" i="1"/>
  <c r="T275" i="1"/>
  <c r="M21" i="2941"/>
  <c r="AA209" i="1" s="1"/>
  <c r="M19" i="2941"/>
  <c r="AA207" i="1" s="1"/>
  <c r="M18" i="2941"/>
  <c r="AA206" i="1" s="1"/>
  <c r="M25" i="2941"/>
  <c r="AA213" i="1" s="1"/>
  <c r="M24" i="2941"/>
  <c r="AA212" i="1" s="1"/>
  <c r="R20" i="2941" l="1"/>
  <c r="AE208" i="1"/>
  <c r="T296" i="1"/>
  <c r="N19" i="2941"/>
  <c r="AB207" i="1" s="1"/>
  <c r="N18" i="2941"/>
  <c r="AB206" i="1" s="1"/>
  <c r="N21" i="2941"/>
  <c r="AB209" i="1" s="1"/>
  <c r="N24" i="2941"/>
  <c r="AB212" i="1" s="1"/>
  <c r="N25" i="2941"/>
  <c r="AB213" i="1" s="1"/>
  <c r="S20" i="2941" l="1"/>
  <c r="AF208" i="1"/>
  <c r="O18" i="2941"/>
  <c r="AC206" i="1" s="1"/>
  <c r="O21" i="2941"/>
  <c r="AC209" i="1" s="1"/>
  <c r="O19" i="2941"/>
  <c r="AC207" i="1" s="1"/>
  <c r="O25" i="2941"/>
  <c r="AC213" i="1" s="1"/>
  <c r="O24" i="2941"/>
  <c r="AC212" i="1" s="1"/>
  <c r="T20" i="2941" l="1"/>
  <c r="U20" i="2941" s="1"/>
  <c r="V20" i="2941" s="1"/>
  <c r="W20" i="2941" s="1"/>
  <c r="X20" i="2941" s="1"/>
  <c r="Y20" i="2941" s="1"/>
  <c r="Z20" i="2941" s="1"/>
  <c r="AA20" i="2941" s="1"/>
  <c r="AB20" i="2941" s="1"/>
  <c r="AC20" i="2941" s="1"/>
  <c r="AD20" i="2941" s="1"/>
  <c r="AE20" i="2941" s="1"/>
  <c r="AG208" i="1"/>
  <c r="P21" i="2941"/>
  <c r="AD209" i="1" s="1"/>
  <c r="P19" i="2941"/>
  <c r="AD207" i="1" s="1"/>
  <c r="P18" i="2941"/>
  <c r="AD206" i="1" s="1"/>
  <c r="P24" i="2941"/>
  <c r="AD212" i="1" s="1"/>
  <c r="P25" i="2941"/>
  <c r="AD213" i="1" s="1"/>
  <c r="Q19" i="2941" l="1"/>
  <c r="AE207" i="1" s="1"/>
  <c r="Q18" i="2941"/>
  <c r="AE206" i="1" s="1"/>
  <c r="Q21" i="2941"/>
  <c r="AE209" i="1" s="1"/>
  <c r="Q25" i="2941"/>
  <c r="AE213" i="1" s="1"/>
  <c r="Q24" i="2941"/>
  <c r="AE212" i="1" s="1"/>
  <c r="R18" i="2941" l="1"/>
  <c r="AF206" i="1" s="1"/>
  <c r="R21" i="2941"/>
  <c r="AF209" i="1" s="1"/>
  <c r="R19" i="2941"/>
  <c r="AF207" i="1" s="1"/>
  <c r="R24" i="2941"/>
  <c r="AF212" i="1" s="1"/>
  <c r="R25" i="2941"/>
  <c r="AF213" i="1" s="1"/>
  <c r="AF215" i="1" l="1"/>
  <c r="S21" i="2941"/>
  <c r="AG209" i="1" s="1"/>
  <c r="S19" i="2941"/>
  <c r="AG207" i="1" s="1"/>
  <c r="S18" i="2941"/>
  <c r="AG206" i="1" s="1"/>
  <c r="S25" i="2941"/>
  <c r="AG213" i="1" s="1"/>
  <c r="S24" i="2941"/>
  <c r="AG212" i="1" s="1"/>
  <c r="AF217" i="1" l="1"/>
  <c r="AF202" i="1" s="1"/>
  <c r="AG215" i="1"/>
  <c r="T19" i="2941"/>
  <c r="T18" i="2941"/>
  <c r="T21" i="2941"/>
  <c r="T24" i="2941"/>
  <c r="T25" i="2941"/>
  <c r="AG217" i="1" l="1"/>
  <c r="AG202" i="1" s="1"/>
  <c r="U18" i="2941"/>
  <c r="V18" i="2941" s="1"/>
  <c r="W18" i="2941" s="1"/>
  <c r="X18" i="2941" s="1"/>
  <c r="Y18" i="2941" s="1"/>
  <c r="Z18" i="2941" s="1"/>
  <c r="AA18" i="2941" s="1"/>
  <c r="AB18" i="2941" s="1"/>
  <c r="AC18" i="2941" s="1"/>
  <c r="AD18" i="2941" s="1"/>
  <c r="AE18" i="2941" s="1"/>
  <c r="U21" i="2941"/>
  <c r="V21" i="2941" s="1"/>
  <c r="W21" i="2941" s="1"/>
  <c r="X21" i="2941" s="1"/>
  <c r="Y21" i="2941" s="1"/>
  <c r="Z21" i="2941" s="1"/>
  <c r="AA21" i="2941" s="1"/>
  <c r="AB21" i="2941" s="1"/>
  <c r="AC21" i="2941" s="1"/>
  <c r="AD21" i="2941" s="1"/>
  <c r="AE21" i="2941" s="1"/>
  <c r="U19" i="2941"/>
  <c r="V19" i="2941" s="1"/>
  <c r="W19" i="2941" s="1"/>
  <c r="X19" i="2941" s="1"/>
  <c r="Y19" i="2941" s="1"/>
  <c r="Z19" i="2941" s="1"/>
  <c r="AA19" i="2941" s="1"/>
  <c r="AB19" i="2941" s="1"/>
  <c r="AC19" i="2941" s="1"/>
  <c r="AD19" i="2941" s="1"/>
  <c r="AE19" i="2941" s="1"/>
  <c r="U25" i="2941"/>
  <c r="V25" i="2941" s="1"/>
  <c r="W25" i="2941" s="1"/>
  <c r="X25" i="2941" s="1"/>
  <c r="Y25" i="2941" s="1"/>
  <c r="Z25" i="2941" s="1"/>
  <c r="AA25" i="2941" s="1"/>
  <c r="AB25" i="2941" s="1"/>
  <c r="AC25" i="2941" s="1"/>
  <c r="AD25" i="2941" s="1"/>
  <c r="AE25" i="2941" s="1"/>
  <c r="U24" i="2941"/>
  <c r="V24" i="2941" s="1"/>
  <c r="W24" i="2941" s="1"/>
  <c r="X24" i="2941" s="1"/>
  <c r="Y24" i="2941" s="1"/>
  <c r="Z24" i="2941" s="1"/>
  <c r="AA24" i="2941" s="1"/>
  <c r="AB24" i="2941" s="1"/>
  <c r="AC24" i="2941" s="1"/>
  <c r="AD24" i="2941" s="1"/>
  <c r="AE24" i="2941" s="1"/>
  <c r="F27" i="2941" l="1"/>
  <c r="L26" i="2933" l="1"/>
  <c r="T180" i="1" s="1"/>
  <c r="L24" i="2933"/>
  <c r="T178" i="1" s="1"/>
  <c r="L25" i="2933"/>
  <c r="T179" i="1" s="1"/>
  <c r="L40" i="2933"/>
  <c r="T194" i="1" s="1"/>
  <c r="L43" i="2933"/>
  <c r="T197" i="1" s="1"/>
  <c r="L45" i="2933"/>
  <c r="T199" i="1" s="1"/>
  <c r="L30" i="2933"/>
  <c r="T184" i="1" s="1"/>
  <c r="L20" i="2933"/>
  <c r="T174" i="1" s="1"/>
  <c r="L28" i="2933"/>
  <c r="T182" i="1" s="1"/>
  <c r="L39" i="2933"/>
  <c r="T193" i="1" s="1"/>
  <c r="L35" i="2933"/>
  <c r="T189" i="1" s="1"/>
  <c r="L38" i="2933"/>
  <c r="T192" i="1" s="1"/>
  <c r="L29" i="2933"/>
  <c r="T183" i="1" s="1"/>
  <c r="L23" i="2933"/>
  <c r="T177" i="1" s="1"/>
  <c r="L42" i="2933"/>
  <c r="T196" i="1" s="1"/>
  <c r="L37" i="2933"/>
  <c r="T191" i="1" s="1"/>
  <c r="L27" i="2933"/>
  <c r="T181" i="1" s="1"/>
  <c r="L22" i="2933"/>
  <c r="T176" i="1" s="1"/>
  <c r="L44" i="2933"/>
  <c r="T198" i="1" s="1"/>
  <c r="L41" i="2933"/>
  <c r="T195" i="1" s="1"/>
  <c r="E27" i="2941"/>
  <c r="D27" i="2941"/>
  <c r="C27" i="2941"/>
  <c r="L46" i="2933" l="1"/>
  <c r="L47" i="2933" s="1"/>
  <c r="J39" i="2933"/>
  <c r="Q193" i="1" s="1"/>
  <c r="J43" i="2933"/>
  <c r="Q197" i="1" s="1"/>
  <c r="J38" i="2933"/>
  <c r="Q192" i="1" s="1"/>
  <c r="J37" i="2933"/>
  <c r="Q191" i="1" s="1"/>
  <c r="J40" i="2933"/>
  <c r="Q194" i="1" s="1"/>
  <c r="J42" i="2933"/>
  <c r="Q196" i="1" s="1"/>
  <c r="J41" i="2933"/>
  <c r="Q195" i="1" s="1"/>
  <c r="J44" i="2933"/>
  <c r="Q198" i="1" s="1"/>
  <c r="J35" i="2933"/>
  <c r="Q189" i="1" s="1"/>
  <c r="J45" i="2933"/>
  <c r="Q199" i="1" s="1"/>
  <c r="J25" i="2933"/>
  <c r="Q179" i="1" s="1"/>
  <c r="J26" i="2933"/>
  <c r="Q180" i="1" s="1"/>
  <c r="J30" i="2933"/>
  <c r="Q184" i="1" s="1"/>
  <c r="J28" i="2933"/>
  <c r="Q182" i="1" s="1"/>
  <c r="J23" i="2933"/>
  <c r="Q177" i="1" s="1"/>
  <c r="J27" i="2933"/>
  <c r="Q181" i="1" s="1"/>
  <c r="J29" i="2933"/>
  <c r="Q183" i="1" s="1"/>
  <c r="J24" i="2933"/>
  <c r="Q178" i="1" s="1"/>
  <c r="J22" i="2933"/>
  <c r="Q176" i="1" s="1"/>
  <c r="J20" i="2933"/>
  <c r="Q174" i="1" s="1"/>
  <c r="L31" i="2933"/>
  <c r="L32" i="2933" s="1"/>
  <c r="K39" i="2933"/>
  <c r="R193" i="1" s="1"/>
  <c r="K42" i="2933"/>
  <c r="R196" i="1" s="1"/>
  <c r="K41" i="2933"/>
  <c r="R195" i="1" s="1"/>
  <c r="K43" i="2933"/>
  <c r="R197" i="1" s="1"/>
  <c r="K35" i="2933"/>
  <c r="R189" i="1" s="1"/>
  <c r="K45" i="2933"/>
  <c r="R199" i="1" s="1"/>
  <c r="K40" i="2933"/>
  <c r="R194" i="1" s="1"/>
  <c r="K44" i="2933"/>
  <c r="R198" i="1" s="1"/>
  <c r="K38" i="2933"/>
  <c r="R192" i="1" s="1"/>
  <c r="K37" i="2933"/>
  <c r="R191" i="1" s="1"/>
  <c r="K28" i="2933"/>
  <c r="R182" i="1" s="1"/>
  <c r="K25" i="2933"/>
  <c r="R179" i="1" s="1"/>
  <c r="K26" i="2933"/>
  <c r="R180" i="1" s="1"/>
  <c r="K29" i="2933"/>
  <c r="R183" i="1" s="1"/>
  <c r="K30" i="2933"/>
  <c r="R184" i="1" s="1"/>
  <c r="K23" i="2933"/>
  <c r="R177" i="1" s="1"/>
  <c r="K27" i="2933"/>
  <c r="R181" i="1" s="1"/>
  <c r="K20" i="2933"/>
  <c r="R174" i="1" s="1"/>
  <c r="K24" i="2933"/>
  <c r="R178" i="1" s="1"/>
  <c r="K22" i="2933"/>
  <c r="R176" i="1" s="1"/>
  <c r="H27" i="2941"/>
  <c r="Q185" i="1" l="1"/>
  <c r="Q186" i="1" s="1"/>
  <c r="R200" i="1"/>
  <c r="R201" i="1" s="1"/>
  <c r="Q200" i="1"/>
  <c r="Q201" i="1" s="1"/>
  <c r="R185" i="1"/>
  <c r="R186" i="1" s="1"/>
  <c r="N35" i="2933"/>
  <c r="V189" i="1" s="1"/>
  <c r="N38" i="2933"/>
  <c r="V192" i="1" s="1"/>
  <c r="N45" i="2933"/>
  <c r="V199" i="1" s="1"/>
  <c r="N39" i="2933"/>
  <c r="V193" i="1" s="1"/>
  <c r="N41" i="2933"/>
  <c r="V195" i="1" s="1"/>
  <c r="N43" i="2933"/>
  <c r="V197" i="1" s="1"/>
  <c r="N37" i="2933"/>
  <c r="V191" i="1" s="1"/>
  <c r="N44" i="2933"/>
  <c r="V198" i="1" s="1"/>
  <c r="N40" i="2933"/>
  <c r="V194" i="1" s="1"/>
  <c r="N42" i="2933"/>
  <c r="V196" i="1" s="1"/>
  <c r="N20" i="2933"/>
  <c r="V174" i="1" s="1"/>
  <c r="N25" i="2933"/>
  <c r="V179" i="1" s="1"/>
  <c r="N29" i="2933"/>
  <c r="V183" i="1" s="1"/>
  <c r="N26" i="2933"/>
  <c r="V180" i="1" s="1"/>
  <c r="N30" i="2933"/>
  <c r="V184" i="1" s="1"/>
  <c r="N24" i="2933"/>
  <c r="V178" i="1" s="1"/>
  <c r="N28" i="2933"/>
  <c r="V182" i="1" s="1"/>
  <c r="N23" i="2933"/>
  <c r="V177" i="1" s="1"/>
  <c r="N27" i="2933"/>
  <c r="V181" i="1" s="1"/>
  <c r="N22" i="2933"/>
  <c r="V176" i="1" s="1"/>
  <c r="K46" i="2933"/>
  <c r="K47" i="2933" s="1"/>
  <c r="K31" i="2933"/>
  <c r="K32" i="2933" s="1"/>
  <c r="J46" i="2933"/>
  <c r="J47" i="2933" s="1"/>
  <c r="J31" i="2933"/>
  <c r="J32" i="2933" s="1"/>
  <c r="T185" i="1"/>
  <c r="T200" i="1"/>
  <c r="J27" i="2941"/>
  <c r="I27" i="2941"/>
  <c r="O41" i="2933" l="1"/>
  <c r="O42" i="2933"/>
  <c r="O43" i="2933"/>
  <c r="O45" i="2933"/>
  <c r="O39" i="2933"/>
  <c r="O40" i="2933"/>
  <c r="O38" i="2933"/>
  <c r="O35" i="2933"/>
  <c r="O44" i="2933"/>
  <c r="O37" i="2933"/>
  <c r="O30" i="2933"/>
  <c r="O22" i="2933"/>
  <c r="O25" i="2933"/>
  <c r="O20" i="2933"/>
  <c r="O26" i="2933"/>
  <c r="O27" i="2933"/>
  <c r="O28" i="2933"/>
  <c r="O23" i="2933"/>
  <c r="O29" i="2933"/>
  <c r="O24" i="2933"/>
  <c r="T186" i="1"/>
  <c r="T201" i="1"/>
  <c r="N31" i="2933"/>
  <c r="N32" i="2933" s="1"/>
  <c r="N46" i="2933"/>
  <c r="N47" i="2933" s="1"/>
  <c r="K27" i="2941"/>
  <c r="O31" i="2933" l="1"/>
  <c r="O32" i="2933" s="1"/>
  <c r="O46" i="2933"/>
  <c r="O47" i="2933" s="1"/>
  <c r="AE293" i="1"/>
  <c r="AE281" i="1"/>
  <c r="L27" i="2941"/>
  <c r="O27" i="2941" l="1"/>
  <c r="N27" i="2941"/>
  <c r="M27" i="2941"/>
  <c r="P27" i="2941" l="1"/>
  <c r="Q27" i="2941" l="1"/>
  <c r="T27" i="2941" l="1"/>
  <c r="S27" i="2941"/>
  <c r="R27" i="2941"/>
  <c r="AF199" i="1" l="1"/>
  <c r="AF195" i="1"/>
  <c r="AF193" i="1"/>
  <c r="AF192" i="1"/>
  <c r="AF197" i="1"/>
  <c r="AF198" i="1"/>
  <c r="AF189" i="1"/>
  <c r="AF196" i="1"/>
  <c r="AF191" i="1"/>
  <c r="AF194" i="1"/>
  <c r="AG196" i="1"/>
  <c r="AG199" i="1"/>
  <c r="AG195" i="1"/>
  <c r="AG191" i="1"/>
  <c r="AG189" i="1"/>
  <c r="AG197" i="1"/>
  <c r="AG193" i="1"/>
  <c r="AG194" i="1"/>
  <c r="AG198" i="1"/>
  <c r="AG192" i="1"/>
  <c r="AH191" i="1"/>
  <c r="AH189" i="1"/>
  <c r="AH192" i="1"/>
  <c r="AH193" i="1"/>
  <c r="AH194" i="1"/>
  <c r="AH195" i="1"/>
  <c r="AH196" i="1"/>
  <c r="AH197" i="1"/>
  <c r="AH198" i="1"/>
  <c r="AH199" i="1"/>
  <c r="U27" i="2941"/>
  <c r="AG200" i="1" l="1"/>
  <c r="AF200" i="1"/>
  <c r="V27" i="2941"/>
  <c r="AG201" i="1" l="1"/>
  <c r="AF201" i="1"/>
  <c r="W27" i="2941"/>
  <c r="Y27" i="2941" l="1"/>
  <c r="X27" i="2941"/>
  <c r="AA27" i="2941"/>
  <c r="AB27" i="2941" l="1"/>
  <c r="Z27" i="2941"/>
  <c r="AC27" i="2941"/>
  <c r="AD27" i="2941" l="1"/>
  <c r="AE27" i="2941"/>
  <c r="AD293" i="1" l="1"/>
  <c r="AD281" i="1"/>
  <c r="W281" i="1" l="1"/>
  <c r="AG281" i="1" l="1"/>
  <c r="AG293" i="1"/>
  <c r="X293" i="1"/>
  <c r="Z293" i="1"/>
  <c r="T293" i="1"/>
  <c r="U293" i="1"/>
  <c r="AB293" i="1"/>
  <c r="W293" i="1"/>
  <c r="AC293" i="1"/>
  <c r="T303" i="1"/>
  <c r="T281" i="1"/>
  <c r="AB281" i="1"/>
  <c r="U281" i="1"/>
  <c r="AC281" i="1"/>
  <c r="X281" i="1"/>
  <c r="Z281" i="1"/>
  <c r="T284" i="1" l="1"/>
  <c r="AG282" i="1"/>
  <c r="T297" i="1"/>
  <c r="T282" i="1"/>
  <c r="T311" i="1" l="1"/>
  <c r="T286" i="1"/>
  <c r="AE234" i="1"/>
  <c r="AC234" i="1"/>
  <c r="AD234" i="1"/>
  <c r="AE308" i="1" l="1"/>
  <c r="AD308" i="1"/>
  <c r="AC308" i="1"/>
  <c r="AD309" i="1" l="1"/>
  <c r="AE309" i="1"/>
  <c r="AC309" i="1"/>
  <c r="AE282" i="1" l="1"/>
  <c r="F73" i="2933" l="1"/>
  <c r="F75" i="2933" s="1"/>
  <c r="K39" i="2930" l="1"/>
  <c r="L39" i="2930" l="1"/>
  <c r="Z116" i="1"/>
  <c r="Z117" i="1" s="1"/>
  <c r="F37" i="2930"/>
  <c r="G37" i="2930" s="1"/>
  <c r="H37" i="2930" s="1"/>
  <c r="I37" i="2930" s="1"/>
  <c r="J37" i="2930" s="1"/>
  <c r="K37" i="2930" s="1"/>
  <c r="L37" i="2930" s="1"/>
  <c r="M37" i="2930" s="1"/>
  <c r="U101" i="1"/>
  <c r="Z120" i="1" l="1"/>
  <c r="U104" i="1"/>
  <c r="M39" i="2930"/>
  <c r="AA116" i="1"/>
  <c r="AA117" i="1" s="1"/>
  <c r="M22" i="2930"/>
  <c r="AB233" i="1" s="1"/>
  <c r="AB234" i="1" s="1"/>
  <c r="L22" i="2930"/>
  <c r="AA233" i="1" s="1"/>
  <c r="AA234" i="1" s="1"/>
  <c r="K22" i="2930"/>
  <c r="Z233" i="1" s="1"/>
  <c r="Z234" i="1" s="1"/>
  <c r="J22" i="2930"/>
  <c r="Y233" i="1" s="1"/>
  <c r="Y234" i="1" s="1"/>
  <c r="I22" i="2930"/>
  <c r="X233" i="1" s="1"/>
  <c r="X234" i="1" s="1"/>
  <c r="H22" i="2930"/>
  <c r="W233" i="1" s="1"/>
  <c r="W234" i="1" s="1"/>
  <c r="G22" i="2930"/>
  <c r="F22" i="2930"/>
  <c r="F45" i="2930" s="1"/>
  <c r="E22" i="2930"/>
  <c r="E45" i="2930" s="1"/>
  <c r="D22" i="2930"/>
  <c r="K16" i="2930"/>
  <c r="J16" i="2930"/>
  <c r="I16" i="2930"/>
  <c r="H16" i="2930"/>
  <c r="G16" i="2930"/>
  <c r="F16" i="2930"/>
  <c r="E16" i="2930"/>
  <c r="D16" i="2930"/>
  <c r="D17" i="2930" s="1"/>
  <c r="D10" i="2930"/>
  <c r="I10" i="2930"/>
  <c r="H10" i="2930"/>
  <c r="G10" i="2930"/>
  <c r="F10" i="2930"/>
  <c r="E10" i="2930"/>
  <c r="T15" i="2930"/>
  <c r="T14" i="2930"/>
  <c r="T9" i="2930"/>
  <c r="AB116" i="1" l="1"/>
  <c r="AB117" i="1" s="1"/>
  <c r="AA120" i="1"/>
  <c r="V233" i="1"/>
  <c r="V234" i="1" s="1"/>
  <c r="G45" i="2930"/>
  <c r="K45" i="2930"/>
  <c r="Z308" i="1"/>
  <c r="H45" i="2930"/>
  <c r="L45" i="2930"/>
  <c r="AA308" i="1"/>
  <c r="I45" i="2930"/>
  <c r="M45" i="2930"/>
  <c r="AB308" i="1"/>
  <c r="J45" i="2930"/>
  <c r="Y308" i="1"/>
  <c r="I17" i="2930"/>
  <c r="I44" i="2930"/>
  <c r="E43" i="2930"/>
  <c r="I43" i="2930"/>
  <c r="F17" i="2930"/>
  <c r="F44" i="2930"/>
  <c r="J17" i="2930"/>
  <c r="J44" i="2930"/>
  <c r="H43" i="2930"/>
  <c r="E17" i="2930"/>
  <c r="E44" i="2930"/>
  <c r="F43" i="2930"/>
  <c r="K17" i="2930"/>
  <c r="K44" i="2930"/>
  <c r="G17" i="2930"/>
  <c r="G44" i="2930"/>
  <c r="G43" i="2930"/>
  <c r="H17" i="2930"/>
  <c r="H44" i="2930"/>
  <c r="AD117" i="1"/>
  <c r="AE117" i="1"/>
  <c r="AC117" i="1"/>
  <c r="D23" i="2930"/>
  <c r="H23" i="2930"/>
  <c r="L23" i="2930"/>
  <c r="E23" i="2930"/>
  <c r="I23" i="2930"/>
  <c r="M23" i="2930"/>
  <c r="F23" i="2930"/>
  <c r="J23" i="2930"/>
  <c r="G23" i="2930"/>
  <c r="K23" i="2930"/>
  <c r="G11" i="2930"/>
  <c r="H11" i="2930"/>
  <c r="E11" i="2930"/>
  <c r="I11" i="2930"/>
  <c r="F11" i="2930"/>
  <c r="D11" i="2930"/>
  <c r="T22" i="2930"/>
  <c r="AD120" i="1" l="1"/>
  <c r="AB120" i="1"/>
  <c r="AE120" i="1"/>
  <c r="AC120" i="1"/>
  <c r="AC121" i="1" l="1"/>
  <c r="X308" i="1"/>
  <c r="U308" i="1"/>
  <c r="W308" i="1"/>
  <c r="V308" i="1"/>
  <c r="AC282" i="1" l="1"/>
  <c r="AA293" i="1" l="1"/>
  <c r="Y293" i="1"/>
  <c r="V293" i="1"/>
  <c r="Y281" i="1"/>
  <c r="V281" i="1"/>
  <c r="AA281" i="1"/>
  <c r="AD245" i="1"/>
  <c r="W245" i="1"/>
  <c r="X245" i="1"/>
  <c r="AC245" i="1"/>
  <c r="Y245" i="1"/>
  <c r="V245" i="1"/>
  <c r="AA245" i="1"/>
  <c r="AB245" i="1"/>
  <c r="Z245" i="1"/>
  <c r="AE245" i="1"/>
  <c r="U245" i="1"/>
  <c r="AD282" i="1"/>
  <c r="R59" i="2954" l="1"/>
  <c r="R61" i="2954" s="1"/>
  <c r="R72" i="2954" s="1"/>
  <c r="R82" i="2954" s="1"/>
  <c r="R88" i="2954" s="1"/>
  <c r="O87" i="2954" l="1"/>
  <c r="P87" i="2954"/>
  <c r="O85" i="2954"/>
  <c r="P85" i="2954"/>
  <c r="O80" i="2954"/>
  <c r="P80" i="2954"/>
  <c r="O79" i="2954"/>
  <c r="P79" i="2954"/>
  <c r="O78" i="2954"/>
  <c r="P78" i="2954"/>
  <c r="O77" i="2954"/>
  <c r="P77" i="2954"/>
  <c r="O76" i="2954"/>
  <c r="P76" i="2954"/>
  <c r="O75" i="2954"/>
  <c r="P75" i="2954"/>
  <c r="O70" i="2954"/>
  <c r="P70" i="2954"/>
  <c r="O69" i="2954"/>
  <c r="P69" i="2954"/>
  <c r="O68" i="2954"/>
  <c r="P68" i="2954"/>
  <c r="O67" i="2954"/>
  <c r="P67" i="2954"/>
  <c r="O66" i="2954"/>
  <c r="P66" i="2954"/>
  <c r="O65" i="2954"/>
  <c r="P65" i="2954"/>
  <c r="O64" i="2954"/>
  <c r="P64" i="2954"/>
  <c r="O60" i="2954"/>
  <c r="P60" i="2954"/>
  <c r="O59" i="2954"/>
  <c r="P59" i="2954"/>
  <c r="O58" i="2954"/>
  <c r="P58" i="2954"/>
  <c r="N93" i="2954"/>
  <c r="O49" i="2954"/>
  <c r="O131" i="1" s="1"/>
  <c r="P49" i="2954"/>
  <c r="P131" i="1" s="1"/>
  <c r="O48" i="2954"/>
  <c r="O130" i="1" s="1"/>
  <c r="P48" i="2954"/>
  <c r="P130" i="1" s="1"/>
  <c r="O47" i="2954"/>
  <c r="O129" i="1" s="1"/>
  <c r="P47" i="2954"/>
  <c r="P129" i="1" s="1"/>
  <c r="O39" i="2954"/>
  <c r="P39" i="2954"/>
  <c r="P119" i="1" s="1"/>
  <c r="O38" i="2954"/>
  <c r="O103" i="1" s="1"/>
  <c r="P38" i="2954"/>
  <c r="P103" i="1" s="1"/>
  <c r="O37" i="2954"/>
  <c r="O86" i="1" s="1"/>
  <c r="P37" i="2954"/>
  <c r="P86" i="1" s="1"/>
  <c r="O36" i="2954"/>
  <c r="O85" i="1" s="1"/>
  <c r="P36" i="2954"/>
  <c r="P85" i="1" s="1"/>
  <c r="O35" i="2954"/>
  <c r="O84" i="1" s="1"/>
  <c r="P35" i="2954"/>
  <c r="P84" i="1" s="1"/>
  <c r="O29" i="2954"/>
  <c r="P29" i="2954"/>
  <c r="O28" i="2954"/>
  <c r="P28" i="2954"/>
  <c r="O27" i="2954"/>
  <c r="O23" i="1" s="1"/>
  <c r="P27" i="2954"/>
  <c r="P23" i="1" s="1"/>
  <c r="O26" i="2954"/>
  <c r="O22" i="1" s="1"/>
  <c r="P26" i="2954"/>
  <c r="P22" i="1" s="1"/>
  <c r="O25" i="2954"/>
  <c r="O21" i="1" s="1"/>
  <c r="P25" i="2954"/>
  <c r="P21" i="1" s="1"/>
  <c r="O24" i="2954"/>
  <c r="O20" i="1" s="1"/>
  <c r="P24" i="2954"/>
  <c r="P20" i="1" s="1"/>
  <c r="O23" i="2954"/>
  <c r="O19" i="1" s="1"/>
  <c r="P23" i="2954"/>
  <c r="P19" i="1" s="1"/>
  <c r="O22" i="2954"/>
  <c r="O18" i="1" s="1"/>
  <c r="P22" i="2954"/>
  <c r="P18" i="1" s="1"/>
  <c r="O21" i="2954"/>
  <c r="P21" i="2954"/>
  <c r="O16" i="2954"/>
  <c r="O76" i="1" s="1"/>
  <c r="P16" i="2954"/>
  <c r="P76" i="1" s="1"/>
  <c r="O15" i="2954"/>
  <c r="O24" i="1" s="1"/>
  <c r="P15" i="2954"/>
  <c r="P24" i="1" s="1"/>
  <c r="O14" i="2954"/>
  <c r="O13" i="1" s="1"/>
  <c r="P14" i="2954"/>
  <c r="P13" i="1" s="1"/>
  <c r="O13" i="2954"/>
  <c r="O12" i="1" s="1"/>
  <c r="P13" i="2954"/>
  <c r="P12" i="1" s="1"/>
  <c r="O12" i="2954"/>
  <c r="O11" i="1" s="1"/>
  <c r="P12" i="2954"/>
  <c r="P11" i="1" s="1"/>
  <c r="P14" i="1" s="1"/>
  <c r="P132" i="1" l="1"/>
  <c r="O132" i="1"/>
  <c r="P121" i="1"/>
  <c r="P125" i="1" s="1"/>
  <c r="P133" i="1" s="1"/>
  <c r="O121" i="1"/>
  <c r="O125" i="1" s="1"/>
  <c r="O133" i="1" s="1"/>
  <c r="O77" i="1"/>
  <c r="O14" i="1"/>
  <c r="P77" i="1"/>
  <c r="P80" i="1" s="1"/>
  <c r="O91" i="2954"/>
  <c r="N94" i="2954"/>
  <c r="P18" i="2954"/>
  <c r="O18" i="2954"/>
  <c r="P61" i="2954"/>
  <c r="O61" i="2954"/>
  <c r="O71" i="2954"/>
  <c r="P81" i="2954"/>
  <c r="P40" i="2954"/>
  <c r="P50" i="2954"/>
  <c r="P71" i="2954"/>
  <c r="O81" i="2954"/>
  <c r="O40" i="2954"/>
  <c r="O50" i="2954"/>
  <c r="O80" i="1" l="1"/>
  <c r="O44" i="2954"/>
  <c r="O126" i="1" s="1"/>
  <c r="P30" i="2954"/>
  <c r="P44" i="2954"/>
  <c r="O30" i="2954"/>
  <c r="P72" i="2954"/>
  <c r="P82" i="2954" s="1"/>
  <c r="P88" i="2954" s="1"/>
  <c r="O72" i="2954"/>
  <c r="O82" i="2954" s="1"/>
  <c r="O88" i="2954" s="1"/>
  <c r="O93" i="2954" s="1"/>
  <c r="O51" i="2954"/>
  <c r="I48" i="2933"/>
  <c r="P202" i="1" s="1"/>
  <c r="H48" i="2933"/>
  <c r="O202" i="1" s="1"/>
  <c r="P51" i="2954" l="1"/>
  <c r="P126" i="1"/>
  <c r="O32" i="2954"/>
  <c r="O81" i="1" s="1"/>
  <c r="P32" i="2954"/>
  <c r="P81" i="1" s="1"/>
  <c r="O52" i="2954"/>
  <c r="P91" i="2954"/>
  <c r="O94" i="2954"/>
  <c r="I37" i="2933"/>
  <c r="P191" i="1" s="1"/>
  <c r="I41" i="2933"/>
  <c r="P195" i="1" s="1"/>
  <c r="I45" i="2933"/>
  <c r="P199" i="1" s="1"/>
  <c r="I38" i="2933"/>
  <c r="P192" i="1" s="1"/>
  <c r="I35" i="2933"/>
  <c r="P189" i="1" s="1"/>
  <c r="I40" i="2933"/>
  <c r="P194" i="1" s="1"/>
  <c r="I44" i="2933"/>
  <c r="P198" i="1" s="1"/>
  <c r="I39" i="2933"/>
  <c r="P193" i="1" s="1"/>
  <c r="I43" i="2933"/>
  <c r="P197" i="1" s="1"/>
  <c r="I42" i="2933"/>
  <c r="P196" i="1" s="1"/>
  <c r="I33" i="2933"/>
  <c r="P187" i="1" s="1"/>
  <c r="H38" i="2933"/>
  <c r="O192" i="1" s="1"/>
  <c r="H42" i="2933"/>
  <c r="O196" i="1" s="1"/>
  <c r="H37" i="2933"/>
  <c r="O191" i="1" s="1"/>
  <c r="H35" i="2933"/>
  <c r="O189" i="1" s="1"/>
  <c r="H41" i="2933"/>
  <c r="O195" i="1" s="1"/>
  <c r="H39" i="2933"/>
  <c r="O193" i="1" s="1"/>
  <c r="H43" i="2933"/>
  <c r="O197" i="1" s="1"/>
  <c r="H40" i="2933"/>
  <c r="O194" i="1" s="1"/>
  <c r="H44" i="2933"/>
  <c r="O198" i="1" s="1"/>
  <c r="H45" i="2933"/>
  <c r="O199" i="1" s="1"/>
  <c r="H33" i="2933"/>
  <c r="O200" i="1" l="1"/>
  <c r="O201" i="1" s="1"/>
  <c r="P235" i="1"/>
  <c r="P254" i="1" s="1"/>
  <c r="P216" i="1"/>
  <c r="P200" i="1"/>
  <c r="P201" i="1" s="1"/>
  <c r="H64" i="2933"/>
  <c r="O187" i="1"/>
  <c r="P52" i="2954"/>
  <c r="Y320" i="1"/>
  <c r="P93" i="2954"/>
  <c r="Q91" i="2954" s="1"/>
  <c r="Z320" i="1"/>
  <c r="AD320" i="1"/>
  <c r="X320" i="1"/>
  <c r="AB320" i="1"/>
  <c r="AA320" i="1"/>
  <c r="W320" i="1"/>
  <c r="AE320" i="1"/>
  <c r="AC320" i="1"/>
  <c r="I25" i="2933"/>
  <c r="P179" i="1" s="1"/>
  <c r="I27" i="2933"/>
  <c r="P181" i="1" s="1"/>
  <c r="I30" i="2933"/>
  <c r="P184" i="1" s="1"/>
  <c r="I22" i="2933"/>
  <c r="P176" i="1" s="1"/>
  <c r="I26" i="2933"/>
  <c r="P180" i="1" s="1"/>
  <c r="I20" i="2933"/>
  <c r="P174" i="1" s="1"/>
  <c r="I23" i="2933"/>
  <c r="P177" i="1" s="1"/>
  <c r="I28" i="2933"/>
  <c r="P182" i="1" s="1"/>
  <c r="I24" i="2933"/>
  <c r="P178" i="1" s="1"/>
  <c r="I29" i="2933"/>
  <c r="P183" i="1" s="1"/>
  <c r="I64" i="2933"/>
  <c r="I62" i="2933"/>
  <c r="H24" i="2933"/>
  <c r="O178" i="1" s="1"/>
  <c r="H27" i="2933"/>
  <c r="O181" i="1" s="1"/>
  <c r="H29" i="2933"/>
  <c r="O183" i="1" s="1"/>
  <c r="H25" i="2933"/>
  <c r="O179" i="1" s="1"/>
  <c r="H23" i="2933"/>
  <c r="O177" i="1" s="1"/>
  <c r="H22" i="2933"/>
  <c r="O176" i="1" s="1"/>
  <c r="H20" i="2933"/>
  <c r="O174" i="1" s="1"/>
  <c r="H26" i="2933"/>
  <c r="O180" i="1" s="1"/>
  <c r="H28" i="2933"/>
  <c r="O182" i="1" s="1"/>
  <c r="H30" i="2933"/>
  <c r="O184" i="1" s="1"/>
  <c r="V121" i="1"/>
  <c r="I46" i="2933"/>
  <c r="I47" i="2933" s="1"/>
  <c r="U121" i="1"/>
  <c r="H62" i="2933"/>
  <c r="H46" i="2933"/>
  <c r="H47" i="2933" s="1"/>
  <c r="P185" i="1" l="1"/>
  <c r="P186" i="1" s="1"/>
  <c r="O235" i="1"/>
  <c r="O254" i="1" s="1"/>
  <c r="O216" i="1"/>
  <c r="O185" i="1"/>
  <c r="O186" i="1" s="1"/>
  <c r="P255" i="1"/>
  <c r="P274" i="1"/>
  <c r="V125" i="1"/>
  <c r="U125" i="1"/>
  <c r="W187" i="1"/>
  <c r="Q93" i="2954"/>
  <c r="Q94" i="2954" s="1"/>
  <c r="P94" i="2954"/>
  <c r="I31" i="2933"/>
  <c r="I32" i="2933" s="1"/>
  <c r="H31" i="2933"/>
  <c r="H32" i="2933" s="1"/>
  <c r="W154" i="1"/>
  <c r="V154" i="1"/>
  <c r="U154" i="1"/>
  <c r="AC154" i="1"/>
  <c r="AB154" i="1"/>
  <c r="AE154" i="1"/>
  <c r="AA154" i="1"/>
  <c r="X154" i="1"/>
  <c r="Z154" i="1"/>
  <c r="AD154" i="1"/>
  <c r="Y154" i="1"/>
  <c r="P284" i="1" l="1"/>
  <c r="P275" i="1"/>
  <c r="O274" i="1"/>
  <c r="O255" i="1"/>
  <c r="U126" i="1"/>
  <c r="V126" i="1"/>
  <c r="X187" i="1"/>
  <c r="Y187" i="1" s="1"/>
  <c r="R91" i="2954"/>
  <c r="R93" i="2954" s="1"/>
  <c r="Z294" i="1"/>
  <c r="AB294" i="1"/>
  <c r="X294" i="1"/>
  <c r="AC294" i="1"/>
  <c r="Y294" i="1"/>
  <c r="AA294" i="1"/>
  <c r="V294" i="1"/>
  <c r="AD294" i="1"/>
  <c r="AE294" i="1"/>
  <c r="W294" i="1"/>
  <c r="U294" i="1"/>
  <c r="O275" i="1" l="1"/>
  <c r="O284" i="1"/>
  <c r="P296" i="1"/>
  <c r="P297" i="1" s="1"/>
  <c r="P311" i="1" s="1"/>
  <c r="P286" i="1"/>
  <c r="Z187" i="1"/>
  <c r="AA187" i="1" s="1"/>
  <c r="S91" i="2954"/>
  <c r="S93" i="2954" s="1"/>
  <c r="R94" i="2954"/>
  <c r="O296" i="1" l="1"/>
  <c r="O297" i="1" s="1"/>
  <c r="O311" i="1" s="1"/>
  <c r="O286" i="1"/>
  <c r="AB187" i="1"/>
  <c r="AC187" i="1" s="1"/>
  <c r="AD187" i="1" s="1"/>
  <c r="AE187" i="1" s="1"/>
  <c r="T91" i="2954"/>
  <c r="T93" i="2954" s="1"/>
  <c r="S94" i="2954"/>
  <c r="AF187" i="1" l="1"/>
  <c r="T94" i="2954"/>
  <c r="U91" i="2954"/>
  <c r="U93" i="2954" s="1"/>
  <c r="W93" i="2954"/>
  <c r="AG187" i="1" l="1"/>
  <c r="AG178" i="1" s="1"/>
  <c r="U94" i="2954"/>
  <c r="V91" i="2954"/>
  <c r="V93" i="2954" s="1"/>
  <c r="V94" i="2954" s="1"/>
  <c r="AF174" i="1"/>
  <c r="AF184" i="1"/>
  <c r="AF182" i="1"/>
  <c r="AF183" i="1"/>
  <c r="AF176" i="1"/>
  <c r="AF179" i="1"/>
  <c r="AF177" i="1"/>
  <c r="AF178" i="1"/>
  <c r="AF180" i="1"/>
  <c r="AF181" i="1"/>
  <c r="AF235" i="1"/>
  <c r="AF254" i="1" s="1"/>
  <c r="W94" i="2954"/>
  <c r="X93" i="2954"/>
  <c r="AG174" i="1" l="1"/>
  <c r="AG182" i="1"/>
  <c r="AG183" i="1"/>
  <c r="AG181" i="1"/>
  <c r="AG180" i="1"/>
  <c r="AG179" i="1"/>
  <c r="AG184" i="1"/>
  <c r="AG176" i="1"/>
  <c r="AG235" i="1"/>
  <c r="AG254" i="1" s="1"/>
  <c r="AG274" i="1" s="1"/>
  <c r="AG177" i="1"/>
  <c r="AF274" i="1"/>
  <c r="AF185" i="1"/>
  <c r="Y93" i="2954"/>
  <c r="X94" i="2954"/>
  <c r="AG185" i="1" l="1"/>
  <c r="AG284" i="1"/>
  <c r="AF275" i="1"/>
  <c r="AF296" i="1" s="1"/>
  <c r="AF284" i="1"/>
  <c r="AG275" i="1"/>
  <c r="AG296" i="1" s="1"/>
  <c r="AF186" i="1"/>
  <c r="Z93" i="2954"/>
  <c r="Y94" i="2954"/>
  <c r="AG186" i="1" l="1"/>
  <c r="AF297" i="1"/>
  <c r="AF286" i="1"/>
  <c r="AG297" i="1"/>
  <c r="AG286" i="1"/>
  <c r="Z94" i="2954"/>
  <c r="AA93" i="2954"/>
  <c r="AF311" i="1" l="1"/>
  <c r="AG311" i="1"/>
  <c r="AA94" i="2954"/>
  <c r="AB93" i="2954"/>
  <c r="AB94" i="2954" l="1"/>
  <c r="AC93" i="2954"/>
  <c r="AC94" i="2954" l="1"/>
  <c r="AD93" i="2954"/>
  <c r="AD94" i="2954" s="1"/>
  <c r="T10" i="2930" l="1"/>
  <c r="T16" i="2930"/>
  <c r="X309" i="1" l="1"/>
  <c r="AA309" i="1"/>
  <c r="Y309" i="1"/>
  <c r="U309" i="1"/>
  <c r="V309" i="1"/>
  <c r="W309" i="1"/>
  <c r="AB309" i="1"/>
  <c r="Z309" i="1"/>
  <c r="AA282" i="1" l="1"/>
  <c r="Z282" i="1"/>
  <c r="W282" i="1"/>
  <c r="Y282" i="1"/>
  <c r="V282" i="1"/>
  <c r="X282" i="1"/>
  <c r="AB282" i="1"/>
  <c r="U282" i="1"/>
  <c r="W125" i="1" l="1"/>
  <c r="X121" i="1"/>
  <c r="W126" i="1" l="1"/>
  <c r="X125" i="1"/>
  <c r="Y121" i="1"/>
  <c r="Y125" i="1" l="1"/>
  <c r="Z121" i="1"/>
  <c r="Y126" i="1" l="1"/>
  <c r="Z125" i="1"/>
  <c r="AA121" i="1"/>
  <c r="AA125" i="1" l="1"/>
  <c r="AB121" i="1"/>
  <c r="AB125" i="1" l="1"/>
  <c r="AC125" i="1" l="1"/>
  <c r="AD121" i="1"/>
  <c r="AD125" i="1" l="1"/>
  <c r="AE121" i="1"/>
  <c r="AE125" i="1" l="1"/>
  <c r="U215" i="1"/>
  <c r="X215" i="1"/>
  <c r="W215" i="1"/>
  <c r="AD215" i="1"/>
  <c r="AB215" i="1"/>
  <c r="V215" i="1"/>
  <c r="Z215" i="1"/>
  <c r="AC215" i="1"/>
  <c r="AE215" i="1"/>
  <c r="Y215" i="1"/>
  <c r="AA215" i="1"/>
  <c r="W217" i="1" l="1"/>
  <c r="U217" i="1"/>
  <c r="W202" i="1"/>
  <c r="AC217" i="1"/>
  <c r="AC202" i="1" s="1"/>
  <c r="AA217" i="1"/>
  <c r="AA202" i="1" s="1"/>
  <c r="Z217" i="1"/>
  <c r="Z202" i="1" s="1"/>
  <c r="Y217" i="1"/>
  <c r="V217" i="1"/>
  <c r="V216" i="1" s="1"/>
  <c r="X217" i="1"/>
  <c r="AB217" i="1"/>
  <c r="AB202" i="1" s="1"/>
  <c r="AD217" i="1"/>
  <c r="AD202" i="1" s="1"/>
  <c r="AE217" i="1"/>
  <c r="AE202" i="1" s="1"/>
  <c r="V202" i="1"/>
  <c r="W216" i="1" l="1"/>
  <c r="V235" i="1"/>
  <c r="W235" i="1"/>
  <c r="Y202" i="1"/>
  <c r="Y198" i="1" s="1"/>
  <c r="X202" i="1"/>
  <c r="X196" i="1" s="1"/>
  <c r="Z194" i="1"/>
  <c r="Z198" i="1"/>
  <c r="Z199" i="1"/>
  <c r="Z197" i="1"/>
  <c r="Z195" i="1"/>
  <c r="Z191" i="1"/>
  <c r="Z192" i="1"/>
  <c r="Z196" i="1"/>
  <c r="Z189" i="1"/>
  <c r="Z193" i="1"/>
  <c r="AE193" i="1"/>
  <c r="AE197" i="1"/>
  <c r="AE198" i="1"/>
  <c r="AE196" i="1"/>
  <c r="AE194" i="1"/>
  <c r="AE195" i="1"/>
  <c r="AE199" i="1"/>
  <c r="AE191" i="1"/>
  <c r="AE192" i="1"/>
  <c r="AE189" i="1"/>
  <c r="AA193" i="1"/>
  <c r="AA197" i="1"/>
  <c r="AA198" i="1"/>
  <c r="AA194" i="1"/>
  <c r="AA196" i="1"/>
  <c r="AA189" i="1"/>
  <c r="AA195" i="1"/>
  <c r="AA199" i="1"/>
  <c r="AA191" i="1"/>
  <c r="AA192" i="1"/>
  <c r="AC195" i="1"/>
  <c r="AC199" i="1"/>
  <c r="AC191" i="1"/>
  <c r="AC189" i="1"/>
  <c r="AC192" i="1"/>
  <c r="AC196" i="1"/>
  <c r="AC198" i="1"/>
  <c r="AC193" i="1"/>
  <c r="AC197" i="1"/>
  <c r="AC194" i="1"/>
  <c r="AB192" i="1"/>
  <c r="AB196" i="1"/>
  <c r="AB189" i="1"/>
  <c r="AB193" i="1"/>
  <c r="AB197" i="1"/>
  <c r="AB194" i="1"/>
  <c r="AB198" i="1"/>
  <c r="AB195" i="1"/>
  <c r="AB199" i="1"/>
  <c r="AB191" i="1"/>
  <c r="AD194" i="1"/>
  <c r="AD198" i="1"/>
  <c r="AD199" i="1"/>
  <c r="AD191" i="1"/>
  <c r="AD195" i="1"/>
  <c r="AD192" i="1"/>
  <c r="AD196" i="1"/>
  <c r="AD189" i="1"/>
  <c r="AD193" i="1"/>
  <c r="AD197" i="1"/>
  <c r="W193" i="1"/>
  <c r="W197" i="1"/>
  <c r="W198" i="1"/>
  <c r="W189" i="1"/>
  <c r="W194" i="1"/>
  <c r="W195" i="1"/>
  <c r="W199" i="1"/>
  <c r="W191" i="1"/>
  <c r="W192" i="1"/>
  <c r="W196" i="1"/>
  <c r="U202" i="1"/>
  <c r="U216" i="1" s="1"/>
  <c r="X195" i="1" l="1"/>
  <c r="X198" i="1"/>
  <c r="X194" i="1"/>
  <c r="X197" i="1"/>
  <c r="X193" i="1"/>
  <c r="X191" i="1"/>
  <c r="X199" i="1"/>
  <c r="X189" i="1"/>
  <c r="Y194" i="1"/>
  <c r="Y197" i="1"/>
  <c r="Y189" i="1"/>
  <c r="Y196" i="1"/>
  <c r="Y192" i="1"/>
  <c r="Y191" i="1"/>
  <c r="Y193" i="1"/>
  <c r="Y195" i="1"/>
  <c r="Y199" i="1"/>
  <c r="X192" i="1"/>
  <c r="X216" i="1"/>
  <c r="Y235" i="1"/>
  <c r="Y254" i="1" s="1"/>
  <c r="Y216" i="1"/>
  <c r="U235" i="1"/>
  <c r="AC200" i="1"/>
  <c r="Z200" i="1"/>
  <c r="AB200" i="1"/>
  <c r="W200" i="1"/>
  <c r="AE200" i="1"/>
  <c r="AA200" i="1"/>
  <c r="AD200" i="1"/>
  <c r="V200" i="1"/>
  <c r="U200" i="1"/>
  <c r="Y200" i="1" l="1"/>
  <c r="Y201" i="1" s="1"/>
  <c r="X200" i="1"/>
  <c r="X201" i="1" s="1"/>
  <c r="Z201" i="1"/>
  <c r="AC201" i="1"/>
  <c r="AA201" i="1"/>
  <c r="AB201" i="1"/>
  <c r="AE201" i="1"/>
  <c r="AD201" i="1"/>
  <c r="W201" i="1"/>
  <c r="V201" i="1"/>
  <c r="U254" i="1"/>
  <c r="U201" i="1"/>
  <c r="U185" i="1"/>
  <c r="U272" i="1"/>
  <c r="W178" i="1" l="1"/>
  <c r="W177" i="1"/>
  <c r="W174" i="1"/>
  <c r="W179" i="1"/>
  <c r="W180" i="1"/>
  <c r="W181" i="1"/>
  <c r="W182" i="1"/>
  <c r="W183" i="1"/>
  <c r="W184" i="1"/>
  <c r="W176" i="1"/>
  <c r="U255" i="1"/>
  <c r="U186" i="1"/>
  <c r="U274" i="1"/>
  <c r="X178" i="1" l="1"/>
  <c r="X177" i="1"/>
  <c r="X174" i="1"/>
  <c r="X179" i="1"/>
  <c r="X180" i="1"/>
  <c r="X181" i="1"/>
  <c r="X182" i="1"/>
  <c r="X183" i="1"/>
  <c r="X184" i="1"/>
  <c r="X176" i="1"/>
  <c r="U275" i="1"/>
  <c r="Y179" i="1" l="1"/>
  <c r="Y180" i="1"/>
  <c r="Y181" i="1"/>
  <c r="Y182" i="1"/>
  <c r="Y183" i="1"/>
  <c r="Y184" i="1"/>
  <c r="Y176" i="1"/>
  <c r="Y178" i="1"/>
  <c r="Y177" i="1"/>
  <c r="Y174" i="1"/>
  <c r="U296" i="1"/>
  <c r="Z178" i="1" l="1"/>
  <c r="Z177" i="1"/>
  <c r="Z174" i="1"/>
  <c r="Z179" i="1"/>
  <c r="Z180" i="1"/>
  <c r="Z181" i="1"/>
  <c r="Z182" i="1"/>
  <c r="Z183" i="1"/>
  <c r="Z184" i="1"/>
  <c r="Z176" i="1"/>
  <c r="V185" i="1"/>
  <c r="AA178" i="1" l="1"/>
  <c r="AA177" i="1"/>
  <c r="AA174" i="1"/>
  <c r="AA179" i="1"/>
  <c r="AA180" i="1"/>
  <c r="AA181" i="1"/>
  <c r="AA182" i="1"/>
  <c r="AA183" i="1"/>
  <c r="AA184" i="1"/>
  <c r="AA176" i="1"/>
  <c r="X185" i="1"/>
  <c r="W185" i="1"/>
  <c r="V254" i="1"/>
  <c r="AB178" i="1" l="1"/>
  <c r="AB177" i="1"/>
  <c r="AB174" i="1"/>
  <c r="AB179" i="1"/>
  <c r="AB180" i="1"/>
  <c r="AB181" i="1"/>
  <c r="AB182" i="1"/>
  <c r="AB183" i="1"/>
  <c r="AB184" i="1"/>
  <c r="AB176" i="1"/>
  <c r="V255" i="1"/>
  <c r="Y185" i="1"/>
  <c r="V186" i="1"/>
  <c r="X186" i="1"/>
  <c r="W186" i="1"/>
  <c r="AC179" i="1" l="1"/>
  <c r="AC180" i="1"/>
  <c r="AC181" i="1"/>
  <c r="AC182" i="1"/>
  <c r="AC183" i="1"/>
  <c r="AC184" i="1"/>
  <c r="AC176" i="1"/>
  <c r="AC178" i="1"/>
  <c r="AC177" i="1"/>
  <c r="AC174" i="1"/>
  <c r="Y186" i="1"/>
  <c r="Z185" i="1"/>
  <c r="Z272" i="1"/>
  <c r="W272" i="1"/>
  <c r="Y272" i="1"/>
  <c r="X272" i="1"/>
  <c r="AD178" i="1" l="1"/>
  <c r="AD177" i="1"/>
  <c r="AD174" i="1"/>
  <c r="AD179" i="1"/>
  <c r="AD180" i="1"/>
  <c r="AD181" i="1"/>
  <c r="AD182" i="1"/>
  <c r="AD183" i="1"/>
  <c r="AD184" i="1"/>
  <c r="AD176" i="1"/>
  <c r="Z186" i="1"/>
  <c r="AA272" i="1"/>
  <c r="AA185" i="1"/>
  <c r="AE178" i="1" l="1"/>
  <c r="AE177" i="1"/>
  <c r="AE174" i="1"/>
  <c r="AE179" i="1"/>
  <c r="AE180" i="1"/>
  <c r="AE181" i="1"/>
  <c r="AE182" i="1"/>
  <c r="AE183" i="1"/>
  <c r="AE184" i="1"/>
  <c r="AE176" i="1"/>
  <c r="AA186" i="1"/>
  <c r="AB272" i="1"/>
  <c r="AB185" i="1"/>
  <c r="AB186" i="1" l="1"/>
  <c r="AC185" i="1"/>
  <c r="AC272" i="1"/>
  <c r="AC186" i="1" l="1"/>
  <c r="AD185" i="1"/>
  <c r="AD272" i="1"/>
  <c r="AD186" i="1" l="1"/>
  <c r="AE272" i="1"/>
  <c r="AE185" i="1"/>
  <c r="AE186" i="1" l="1"/>
  <c r="U164" i="1" l="1"/>
  <c r="U295" i="1" l="1"/>
  <c r="U301" i="1"/>
  <c r="U303" i="1" l="1"/>
  <c r="V164" i="1" l="1"/>
  <c r="V295" i="1" l="1"/>
  <c r="V301" i="1"/>
  <c r="U77" i="1"/>
  <c r="U80" i="1" s="1"/>
  <c r="V303" i="1" l="1"/>
  <c r="W164" i="1" l="1"/>
  <c r="W295" i="1" l="1"/>
  <c r="W301" i="1"/>
  <c r="V77" i="1"/>
  <c r="V80" i="1" s="1"/>
  <c r="W303" i="1" l="1"/>
  <c r="X164" i="1" l="1"/>
  <c r="X295" i="1" l="1"/>
  <c r="X301" i="1"/>
  <c r="X303" i="1" l="1"/>
  <c r="Y164" i="1" l="1"/>
  <c r="Y295" i="1" l="1"/>
  <c r="Y301" i="1"/>
  <c r="Y303" i="1" l="1"/>
  <c r="Y77" i="1" l="1"/>
  <c r="Z164" i="1"/>
  <c r="Z295" i="1" l="1"/>
  <c r="Z301" i="1"/>
  <c r="Z303" i="1" s="1"/>
  <c r="Z77" i="1" l="1"/>
  <c r="AA164" i="1"/>
  <c r="AA295" i="1" l="1"/>
  <c r="AA301" i="1"/>
  <c r="AA303" i="1" s="1"/>
  <c r="AB164" i="1" l="1"/>
  <c r="AB295" i="1" l="1"/>
  <c r="AA77" i="1" l="1"/>
  <c r="AB301" i="1" l="1"/>
  <c r="AB303" i="1" l="1"/>
  <c r="AC164" i="1"/>
  <c r="AC295" i="1" l="1"/>
  <c r="AB77" i="1"/>
  <c r="AC301" i="1" l="1"/>
  <c r="AC303" i="1" l="1"/>
  <c r="AD164" i="1"/>
  <c r="AD295" i="1" l="1"/>
  <c r="AC77" i="1" l="1"/>
  <c r="AD301" i="1" l="1"/>
  <c r="AD303" i="1" l="1"/>
  <c r="AE164" i="1"/>
  <c r="AE295" i="1" l="1"/>
  <c r="AD77" i="1" l="1"/>
  <c r="AE301" i="1" l="1"/>
  <c r="V272" i="1"/>
  <c r="AE77" i="1" l="1"/>
  <c r="AE303" i="1"/>
  <c r="V274" i="1"/>
  <c r="V275" i="1" l="1"/>
  <c r="V296" i="1" l="1"/>
  <c r="U148" i="1" l="1"/>
  <c r="V148" i="1"/>
  <c r="U149" i="1" l="1"/>
  <c r="V149" i="1"/>
  <c r="V155" i="1"/>
  <c r="U155" i="1"/>
  <c r="U297" i="1"/>
  <c r="AA148" i="1"/>
  <c r="Y148" i="1"/>
  <c r="W148" i="1"/>
  <c r="AD148" i="1"/>
  <c r="X148" i="1"/>
  <c r="AC148" i="1"/>
  <c r="Z148" i="1"/>
  <c r="AE148" i="1"/>
  <c r="AB148" i="1"/>
  <c r="W149" i="1" l="1"/>
  <c r="V166" i="1"/>
  <c r="U311" i="1"/>
  <c r="Z155" i="1"/>
  <c r="AD155" i="1"/>
  <c r="W155" i="1"/>
  <c r="AB155" i="1"/>
  <c r="AC155" i="1"/>
  <c r="Y155" i="1"/>
  <c r="AE155" i="1"/>
  <c r="X155" i="1"/>
  <c r="AA155" i="1"/>
  <c r="U166" i="1"/>
  <c r="V284" i="1" l="1"/>
  <c r="AB166" i="1"/>
  <c r="AE166" i="1"/>
  <c r="W166" i="1"/>
  <c r="AD166" i="1"/>
  <c r="X166" i="1"/>
  <c r="Y166" i="1"/>
  <c r="AA166" i="1"/>
  <c r="AC166" i="1"/>
  <c r="Z166" i="1"/>
  <c r="V167" i="1"/>
  <c r="V286" i="1" s="1"/>
  <c r="U167" i="1"/>
  <c r="U284" i="1"/>
  <c r="V297" i="1"/>
  <c r="AA167" i="1" l="1"/>
  <c r="W167" i="1"/>
  <c r="AC167" i="1"/>
  <c r="Z167" i="1"/>
  <c r="Y167" i="1"/>
  <c r="AD167" i="1"/>
  <c r="AE167" i="1"/>
  <c r="AB167" i="1"/>
  <c r="X167" i="1"/>
  <c r="V311" i="1"/>
  <c r="U286" i="1"/>
  <c r="U81" i="1" l="1"/>
  <c r="V81" i="1" l="1"/>
  <c r="V132" i="1"/>
  <c r="U132" i="1"/>
  <c r="V133" i="1" l="1"/>
  <c r="U133" i="1"/>
  <c r="V134" i="1" l="1"/>
  <c r="U134" i="1"/>
  <c r="W254" i="1" l="1"/>
  <c r="W255" i="1" s="1"/>
  <c r="W274" i="1" l="1"/>
  <c r="X235" i="1"/>
  <c r="X254" i="1" s="1"/>
  <c r="W275" i="1" l="1"/>
  <c r="W286" i="1" s="1"/>
  <c r="W284" i="1"/>
  <c r="Y274" i="1"/>
  <c r="X274" i="1"/>
  <c r="Z235" i="1"/>
  <c r="Z254" i="1" s="1"/>
  <c r="Y284" i="1" l="1"/>
  <c r="X284" i="1"/>
  <c r="W296" i="1"/>
  <c r="Z274" i="1"/>
  <c r="Y275" i="1"/>
  <c r="Y296" i="1" s="1"/>
  <c r="X275" i="1"/>
  <c r="X296" i="1" s="1"/>
  <c r="AA235" i="1"/>
  <c r="AA254" i="1" s="1"/>
  <c r="AA274" i="1" s="1"/>
  <c r="X297" i="1" l="1"/>
  <c r="W297" i="1"/>
  <c r="Z275" i="1"/>
  <c r="Z296" i="1" s="1"/>
  <c r="Y297" i="1"/>
  <c r="Z284" i="1"/>
  <c r="Y286" i="1"/>
  <c r="Y14" i="1" s="1"/>
  <c r="X286" i="1"/>
  <c r="X14" i="1" s="1"/>
  <c r="AB235" i="1"/>
  <c r="AB254" i="1" s="1"/>
  <c r="W311" i="1" l="1"/>
  <c r="Y311" i="1"/>
  <c r="X311" i="1"/>
  <c r="Z297" i="1"/>
  <c r="AA275" i="1"/>
  <c r="AA296" i="1" s="1"/>
  <c r="Z286" i="1"/>
  <c r="Z14" i="1" s="1"/>
  <c r="AA284" i="1"/>
  <c r="W131" i="1"/>
  <c r="W132" i="1" s="1"/>
  <c r="AB274" i="1"/>
  <c r="AC235" i="1"/>
  <c r="AC254" i="1" s="1"/>
  <c r="Z311" i="1" l="1"/>
  <c r="X80" i="1"/>
  <c r="W133" i="1"/>
  <c r="AA297" i="1"/>
  <c r="AB284" i="1"/>
  <c r="AB275" i="1"/>
  <c r="AB296" i="1" s="1"/>
  <c r="AA286" i="1"/>
  <c r="AA14" i="1" s="1"/>
  <c r="W81" i="1"/>
  <c r="AC274" i="1"/>
  <c r="AD235" i="1"/>
  <c r="AD254" i="1" s="1"/>
  <c r="AE235" i="1"/>
  <c r="AE254" i="1" s="1"/>
  <c r="X131" i="1" l="1"/>
  <c r="X132" i="1" s="1"/>
  <c r="X133" i="1" s="1"/>
  <c r="AA311" i="1"/>
  <c r="W134" i="1"/>
  <c r="Y80" i="1"/>
  <c r="AB297" i="1"/>
  <c r="AC284" i="1"/>
  <c r="AB286" i="1"/>
  <c r="AB14" i="1" s="1"/>
  <c r="AC275" i="1"/>
  <c r="AC296" i="1" s="1"/>
  <c r="X134" i="1"/>
  <c r="AD274" i="1"/>
  <c r="AE274" i="1"/>
  <c r="X81" i="1" l="1"/>
  <c r="AB311" i="1"/>
  <c r="Z80" i="1"/>
  <c r="AE275" i="1"/>
  <c r="AE296" i="1" s="1"/>
  <c r="AC297" i="1"/>
  <c r="Y131" i="1"/>
  <c r="Y132" i="1" s="1"/>
  <c r="Y133" i="1" s="1"/>
  <c r="AD284" i="1"/>
  <c r="AC286" i="1"/>
  <c r="AC14" i="1" s="1"/>
  <c r="AD275" i="1"/>
  <c r="AD286" i="1" s="1"/>
  <c r="AD14" i="1" s="1"/>
  <c r="AF14" i="1" s="1"/>
  <c r="AE284" i="1"/>
  <c r="Y134" i="1"/>
  <c r="AC311" i="1" l="1"/>
  <c r="Y81" i="1"/>
  <c r="AA80" i="1"/>
  <c r="AB80" i="1"/>
  <c r="Z131" i="1"/>
  <c r="Z132" i="1" s="1"/>
  <c r="Z133" i="1" s="1"/>
  <c r="AE297" i="1"/>
  <c r="AE286" i="1"/>
  <c r="AE14" i="1" s="1"/>
  <c r="AG14" i="1" s="1"/>
  <c r="AD296" i="1"/>
  <c r="AE311" i="1" l="1"/>
  <c r="AA131" i="1"/>
  <c r="AA132" i="1" s="1"/>
  <c r="AA133" i="1" s="1"/>
  <c r="AB131" i="1"/>
  <c r="AB132" i="1" s="1"/>
  <c r="AB133" i="1" s="1"/>
  <c r="AC80" i="1"/>
  <c r="Z81" i="1"/>
  <c r="AD297" i="1"/>
  <c r="AD311" i="1" l="1"/>
  <c r="AB81" i="1"/>
  <c r="AA81" i="1"/>
  <c r="AC131" i="1"/>
  <c r="AC132" i="1" s="1"/>
  <c r="AC133" i="1" s="1"/>
  <c r="AD80" i="1"/>
  <c r="AC81" i="1" l="1"/>
  <c r="AD131" i="1"/>
  <c r="AD132" i="1" s="1"/>
  <c r="AD133" i="1" s="1"/>
  <c r="AE80" i="1"/>
  <c r="AE131" i="1" l="1"/>
  <c r="AE132" i="1" s="1"/>
  <c r="AE133" i="1" s="1"/>
  <c r="AD81" i="1"/>
  <c r="AF80" i="1"/>
  <c r="AE81" i="1" l="1"/>
  <c r="AG80" i="1"/>
  <c r="AF131" i="1"/>
  <c r="AF132" i="1" s="1"/>
  <c r="AF133" i="1" s="1"/>
  <c r="AF81" i="1" l="1"/>
  <c r="AG131" i="1"/>
  <c r="AG132" i="1" s="1"/>
  <c r="AG133" i="1" s="1"/>
  <c r="AG8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Shaun Toyama</author>
  </authors>
  <commentList>
    <comment ref="BN2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Shaun Toyama:</t>
        </r>
        <r>
          <rPr>
            <sz val="9"/>
            <color indexed="81"/>
            <rFont val="Tahoma"/>
            <family val="2"/>
          </rPr>
          <t xml:space="preserve">
Maximum depreciation reached</t>
        </r>
      </text>
    </comment>
    <comment ref="BI51" authorId="0" shapeId="0" xr:uid="{7A0A0618-701E-4A19-A9D4-E142B7CD68A2}">
      <text>
        <r>
          <rPr>
            <b/>
            <sz val="9"/>
            <color indexed="81"/>
            <rFont val="Tahoma"/>
            <family val="2"/>
          </rPr>
          <t>Shaun Toyama:</t>
        </r>
        <r>
          <rPr>
            <sz val="9"/>
            <color indexed="81"/>
            <rFont val="Tahoma"/>
            <family val="2"/>
          </rPr>
          <t xml:space="preserve">
Maximum depreciation reached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Dylan Zheng</author>
  </authors>
  <commentList>
    <comment ref="H6" authorId="0" shapeId="0" xr:uid="{6FE078B1-69D2-4A77-AD95-5E1080CBADF7}">
      <text>
        <r>
          <rPr>
            <b/>
            <sz val="9"/>
            <color indexed="81"/>
            <rFont val="Tahoma"/>
            <family val="2"/>
          </rPr>
          <t>Dylan Zheng:</t>
        </r>
        <r>
          <rPr>
            <sz val="9"/>
            <color indexed="81"/>
            <rFont val="Tahoma"/>
            <family val="2"/>
          </rPr>
          <t xml:space="preserve">
From Segal Marco</t>
        </r>
      </text>
    </comment>
  </commentList>
</comments>
</file>

<file path=xl/sharedStrings.xml><?xml version="1.0" encoding="utf-8"?>
<sst xmlns="http://schemas.openxmlformats.org/spreadsheetml/2006/main" count="1827" uniqueCount="535">
  <si>
    <t>Financial Model - Financial Compilation (FC) Analysis</t>
  </si>
  <si>
    <t>Table of Contents:</t>
  </si>
  <si>
    <t>Tab</t>
  </si>
  <si>
    <t>Description</t>
  </si>
  <si>
    <t>Summary</t>
  </si>
  <si>
    <t>Table of contents, workpaper references, notes</t>
  </si>
  <si>
    <t>FC</t>
  </si>
  <si>
    <t xml:space="preserve">Financial Compilation - compilation of all analysis/data sets </t>
  </si>
  <si>
    <t>Audited Balance Sheet Input</t>
  </si>
  <si>
    <t>Data input for Balance Sheet</t>
  </si>
  <si>
    <t>Budget P&amp;L Input</t>
  </si>
  <si>
    <t>Data input for Budget P&amp;L</t>
  </si>
  <si>
    <t>Audited FS</t>
  </si>
  <si>
    <t>Audited Financial Statements</t>
  </si>
  <si>
    <t>Workpapers</t>
  </si>
  <si>
    <t xml:space="preserve">Workpaper references. See below for workpaper references.  </t>
  </si>
  <si>
    <t>Workpaper Name</t>
  </si>
  <si>
    <t>Workbook References:</t>
  </si>
  <si>
    <t>Tab Ref</t>
  </si>
  <si>
    <t>Worksheet (Tab) Name or Page Number</t>
  </si>
  <si>
    <t>Data Input=&gt;</t>
  </si>
  <si>
    <t>1000 General (click + to expand)</t>
  </si>
  <si>
    <t>To present the schedule of long-term liabilities</t>
  </si>
  <si>
    <t>To present the schedule/breakout of capital assets, as well as the forecast</t>
  </si>
  <si>
    <t>2000 Workpapers (click + to expand)</t>
  </si>
  <si>
    <t>2000 Revenue (click + to expand)</t>
  </si>
  <si>
    <t>2005-2</t>
  </si>
  <si>
    <t>Forecasts investments gain and balance forward, as well as the draw on the portfolio for the budget and fiscal reserve</t>
  </si>
  <si>
    <t>2500 Expenditures (click + to expand)</t>
  </si>
  <si>
    <t>Forecasts fringe benefit %</t>
  </si>
  <si>
    <t>4000 Liabilities (click + to expand)</t>
  </si>
  <si>
    <t>Fiscal Sustainability Model - Financial Compilation (FC) Analysis</t>
  </si>
  <si>
    <t xml:space="preserve"> Asset Category </t>
  </si>
  <si>
    <t>Target Asset Allocation</t>
  </si>
  <si>
    <t>Compound Return</t>
  </si>
  <si>
    <t>Standard Deviation</t>
  </si>
  <si>
    <t>Traditional Global Equity</t>
  </si>
  <si>
    <t>Traditional Fixed Income</t>
  </si>
  <si>
    <t>Traditional Real Assets</t>
  </si>
  <si>
    <t>Hedge funds</t>
  </si>
  <si>
    <t>Private Markets</t>
  </si>
  <si>
    <t>Enhanced Liquidity</t>
  </si>
  <si>
    <t>Hawaii Direct Investments</t>
  </si>
  <si>
    <t>Charges for services</t>
  </si>
  <si>
    <t>Operating grants</t>
  </si>
  <si>
    <t>Newspaper ads</t>
  </si>
  <si>
    <t>Donations and other</t>
  </si>
  <si>
    <t>Non-imposed fringe benefits</t>
  </si>
  <si>
    <t>Investments</t>
  </si>
  <si>
    <t>Expenditures</t>
  </si>
  <si>
    <t>Financial Statements</t>
  </si>
  <si>
    <t>Actual</t>
  </si>
  <si>
    <t>Forecast</t>
  </si>
  <si>
    <t>Fiscal Year</t>
  </si>
  <si>
    <t>Comments</t>
  </si>
  <si>
    <t>Forecasting notes</t>
  </si>
  <si>
    <t>Cash flow Classification</t>
  </si>
  <si>
    <t>Source</t>
  </si>
  <si>
    <t>FY2013</t>
  </si>
  <si>
    <t>FY 2014</t>
  </si>
  <si>
    <t>FY 2015</t>
  </si>
  <si>
    <t>FY 2016</t>
  </si>
  <si>
    <t>FY2017</t>
  </si>
  <si>
    <t>FY2018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</si>
  <si>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</si>
  <si>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</si>
  <si>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</si>
  <si>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</si>
  <si>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</si>
  <si>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</si>
  <si>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</si>
  <si>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</si>
  <si>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</si>
  <si>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</si>
  <si>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</si>
  <si>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Custom Balance Sheet</t>
  </si>
  <si>
    <t>CASH AND CASH EQUIVALENTS</t>
  </si>
  <si>
    <t>Petty cash</t>
  </si>
  <si>
    <t>Audited BS</t>
  </si>
  <si>
    <t>Cash in banks/Draw on Line of Credit</t>
  </si>
  <si>
    <t>Total Cash and Cash Equivalents</t>
  </si>
  <si>
    <t>OTHER ASSETS</t>
  </si>
  <si>
    <t>Accounts receivable</t>
  </si>
  <si>
    <t>3-year average</t>
  </si>
  <si>
    <t>Due from other fund</t>
  </si>
  <si>
    <t>Interest and dividends receivable</t>
  </si>
  <si>
    <t>Inventory, prepaid items and other assets</t>
  </si>
  <si>
    <t>Notes receivable - due within one year</t>
  </si>
  <si>
    <t>Notes receivable - due after one year</t>
  </si>
  <si>
    <t>Security Deposits</t>
  </si>
  <si>
    <t>Cash held by investment manager</t>
  </si>
  <si>
    <t>Investments:</t>
  </si>
  <si>
    <t>Mutual Funds</t>
  </si>
  <si>
    <t>Commingled funds</t>
  </si>
  <si>
    <t>Private equity</t>
  </si>
  <si>
    <t>Common trust fund</t>
  </si>
  <si>
    <t>Common &amp; preferred stock</t>
  </si>
  <si>
    <t>Private debt</t>
  </si>
  <si>
    <t>Other</t>
  </si>
  <si>
    <t>U.S. treasuries</t>
  </si>
  <si>
    <t>U.S. agencies</t>
  </si>
  <si>
    <t>See tab ref</t>
  </si>
  <si>
    <t>Capital Assets, net:</t>
  </si>
  <si>
    <t>Buildings</t>
  </si>
  <si>
    <t>Audited BS/1008</t>
  </si>
  <si>
    <t>Leasehold improvements</t>
  </si>
  <si>
    <t>Furniture, fixtures and equipment</t>
  </si>
  <si>
    <t>Less accumulated depreciation</t>
  </si>
  <si>
    <t>Net</t>
  </si>
  <si>
    <t>Land:</t>
  </si>
  <si>
    <t>Land</t>
  </si>
  <si>
    <t>Construction in Progress</t>
  </si>
  <si>
    <t>Capital Assets, net</t>
  </si>
  <si>
    <t>Restricted cash</t>
  </si>
  <si>
    <t>Total Other Assets</t>
  </si>
  <si>
    <t>Deferred outflows of resources related to pensions</t>
  </si>
  <si>
    <t>Deferred outflows of resources related to OPEB</t>
  </si>
  <si>
    <t>Total assets and deferred outflows of resources</t>
  </si>
  <si>
    <t>check</t>
  </si>
  <si>
    <t>LIABILITIES</t>
  </si>
  <si>
    <t>Accounts payable and accrued liabilities</t>
  </si>
  <si>
    <t>Due to other fund</t>
  </si>
  <si>
    <t>Long-term liabilities:</t>
  </si>
  <si>
    <t>NOTE: Forecasted amounts include principal and interest amount due. This is not in conformity with GAAP but will help management see how much cash outflow there will be.</t>
  </si>
  <si>
    <t>Long-term Liabilities - due within one year:</t>
  </si>
  <si>
    <t>Accrued vacation</t>
  </si>
  <si>
    <t>Audited BS/1007</t>
  </si>
  <si>
    <t>Workers' compensation</t>
  </si>
  <si>
    <t>Accrued lease guaranty obligation</t>
  </si>
  <si>
    <t>Capital lease obligation</t>
  </si>
  <si>
    <t>Net Pension Liability</t>
  </si>
  <si>
    <t>Line of Credit:</t>
  </si>
  <si>
    <t>Line of Credit</t>
  </si>
  <si>
    <t>This amount includes principal + interest due</t>
  </si>
  <si>
    <t>Long-term liabilities - due within one year</t>
  </si>
  <si>
    <t>Long-term Liabilities - due after one year:</t>
  </si>
  <si>
    <t xml:space="preserve">Net OPEB Liability </t>
  </si>
  <si>
    <t>Long-term liabilities - due after one year</t>
  </si>
  <si>
    <t>Total Liabilities</t>
  </si>
  <si>
    <t>Deferred inflows of resources related to pensions</t>
  </si>
  <si>
    <t>Deferred inflows of resources related to OPEB</t>
  </si>
  <si>
    <t>Total liabilities and deferred inflows of resources</t>
  </si>
  <si>
    <t>NET ASSETS</t>
  </si>
  <si>
    <t>Invested in capital assets, net of related debt</t>
  </si>
  <si>
    <t>Restricted - federal funds</t>
  </si>
  <si>
    <t>Unrestricted</t>
  </si>
  <si>
    <t>Total net assets</t>
  </si>
  <si>
    <t>Total Liabilities and Net Assets</t>
  </si>
  <si>
    <t>Custom Income Statement</t>
  </si>
  <si>
    <t>REVENUES</t>
  </si>
  <si>
    <t>Core Budget Revenues</t>
  </si>
  <si>
    <t>Cash coming out of portfolio for budgetary use, subtraction of fiscal reserve authorizations removed</t>
  </si>
  <si>
    <t>Budget Data Input/2005-2</t>
  </si>
  <si>
    <t>Budget Data Input</t>
  </si>
  <si>
    <t>specific number input - $15,100,000</t>
  </si>
  <si>
    <t>Core Operating Budget NOT Authorized</t>
  </si>
  <si>
    <t>Fiscal Stabilization Fund</t>
  </si>
  <si>
    <t>Cash coming out of portfolio for reserve use</t>
  </si>
  <si>
    <t>specific number input - $500,000</t>
  </si>
  <si>
    <t>Total Core Budget Revenues</t>
  </si>
  <si>
    <t>Program Revenues</t>
  </si>
  <si>
    <t xml:space="preserve">interest and investment earnings (program revenue) </t>
  </si>
  <si>
    <t>Total Program Revenues</t>
  </si>
  <si>
    <t>Total Revenue &amp; Program Revenues</t>
  </si>
  <si>
    <t>Other Revenues</t>
  </si>
  <si>
    <t>Interest and investment (losses) earnings</t>
  </si>
  <si>
    <t>Reparations</t>
  </si>
  <si>
    <t>Donations and other (Unrestricted Contributions)</t>
  </si>
  <si>
    <t>Total Other Revenues</t>
  </si>
  <si>
    <t>TOTAL REVENUES</t>
  </si>
  <si>
    <r>
      <t xml:space="preserve">TOTAL REVENUES </t>
    </r>
    <r>
      <rPr>
        <b/>
        <sz val="11"/>
        <color rgb="FFFF0000"/>
        <rFont val="Calibri"/>
        <family val="2"/>
        <scheme val="minor"/>
      </rPr>
      <t>(adjusted: less non-cash)</t>
    </r>
  </si>
  <si>
    <t>EXPENDITURES</t>
  </si>
  <si>
    <t>Operating Budget</t>
  </si>
  <si>
    <t>Core Budget Expenditures</t>
  </si>
  <si>
    <t>Personnel &amp; Fringe (Admin):</t>
  </si>
  <si>
    <t>Salary</t>
  </si>
  <si>
    <t>Budget Data Input/2503</t>
  </si>
  <si>
    <t>Fringe Benefits:</t>
  </si>
  <si>
    <t>Pension Accumulation</t>
  </si>
  <si>
    <t>See tab 2503 for fringe benefit allocation</t>
  </si>
  <si>
    <t>Retiree Health Insurance</t>
  </si>
  <si>
    <t>Other Post-Employment Benefits</t>
  </si>
  <si>
    <t>Employees Health Fund</t>
  </si>
  <si>
    <t>Social Security</t>
  </si>
  <si>
    <t>Medicare</t>
  </si>
  <si>
    <t>Workers Compensation</t>
  </si>
  <si>
    <t>Unemployment Compensation</t>
  </si>
  <si>
    <t>Pension Administration</t>
  </si>
  <si>
    <t>Fringe Benefits</t>
  </si>
  <si>
    <t>Personnel &amp; Fringe (Admin)</t>
  </si>
  <si>
    <t>Rolling Average</t>
  </si>
  <si>
    <t>Program</t>
  </si>
  <si>
    <t xml:space="preserve">2% annual increase </t>
  </si>
  <si>
    <t>Contracts</t>
  </si>
  <si>
    <t>Grants Budget:</t>
  </si>
  <si>
    <t>Financing expense</t>
  </si>
  <si>
    <t>Community Grants Program</t>
  </si>
  <si>
    <t>Operating expense</t>
  </si>
  <si>
    <t>Grants</t>
  </si>
  <si>
    <t>Travel</t>
  </si>
  <si>
    <t>Equipment</t>
  </si>
  <si>
    <t>Overhead</t>
  </si>
  <si>
    <t>Debt Service:</t>
  </si>
  <si>
    <t>Bank of Hawaii 9 Year Secured</t>
  </si>
  <si>
    <t>Budget Data Input/4001</t>
  </si>
  <si>
    <t>Financing revenue / expense</t>
  </si>
  <si>
    <t>Debt Service</t>
  </si>
  <si>
    <t>Financing - will be broken out</t>
  </si>
  <si>
    <t>Total Core Budget Expenditures</t>
  </si>
  <si>
    <t>Governance Planning Expenditures</t>
  </si>
  <si>
    <t>Apportionment &amp; Election</t>
  </si>
  <si>
    <t>Governance Aha</t>
  </si>
  <si>
    <t>Referendum</t>
  </si>
  <si>
    <t>Community Engagement</t>
  </si>
  <si>
    <t>* Cost Contingencies</t>
  </si>
  <si>
    <t>Total Governance Planning Expenditures</t>
  </si>
  <si>
    <t>Special Programs</t>
  </si>
  <si>
    <t>Federal Funding Income for Special Programs</t>
  </si>
  <si>
    <t>Total Special Programs</t>
  </si>
  <si>
    <t>Total Operating Budget</t>
  </si>
  <si>
    <t>check only for Actuals</t>
  </si>
  <si>
    <t>Other Expenditures</t>
  </si>
  <si>
    <t>Expenditure line items per audited financials</t>
  </si>
  <si>
    <t>Operating - other expense</t>
  </si>
  <si>
    <t>Support Services</t>
  </si>
  <si>
    <t>net of other revenues and expenditures</t>
  </si>
  <si>
    <t>Beneficiary Advocacy</t>
  </si>
  <si>
    <t>NOTE: Encumbrances represents difference between budget expenditures and expenditure line items per the audited financials</t>
  </si>
  <si>
    <t>Encumbrances</t>
  </si>
  <si>
    <t>Commercial Facilities</t>
  </si>
  <si>
    <t>Gain / (Loss) on sale of investments</t>
  </si>
  <si>
    <t>Gain / (Loss) on sale of capital</t>
  </si>
  <si>
    <t>Purchase of investments</t>
  </si>
  <si>
    <t>Investing expense</t>
  </si>
  <si>
    <t>Purchase of capital</t>
  </si>
  <si>
    <t>Disposal of assets</t>
  </si>
  <si>
    <t>Depreciation</t>
  </si>
  <si>
    <t>Audited FS, 1008</t>
  </si>
  <si>
    <t>Total Other Expenditures</t>
  </si>
  <si>
    <t>TOTAL EXPENDITURES</t>
  </si>
  <si>
    <r>
      <t xml:space="preserve">TOTAL EXPENDITURES </t>
    </r>
    <r>
      <rPr>
        <b/>
        <sz val="11"/>
        <color rgb="FFFF0000"/>
        <rFont val="Calibri"/>
        <family val="2"/>
        <scheme val="minor"/>
      </rPr>
      <t>(adjusted: less non-cash)</t>
    </r>
  </si>
  <si>
    <t>OTHER REVENUES AND (EXPENDITURES)</t>
  </si>
  <si>
    <t>Total Other Revenues and Expenditures</t>
  </si>
  <si>
    <r>
      <t xml:space="preserve">Total Other Revenues and Expenditures </t>
    </r>
    <r>
      <rPr>
        <b/>
        <sz val="11"/>
        <color rgb="FFFF0000"/>
        <rFont val="Calibri"/>
        <family val="2"/>
        <scheme val="minor"/>
      </rPr>
      <t>(adjusted: less non-cash)</t>
    </r>
  </si>
  <si>
    <t>NET CHANGE IN FUND BALANCE</t>
  </si>
  <si>
    <r>
      <t xml:space="preserve">Surplus / (Deficit) </t>
    </r>
    <r>
      <rPr>
        <b/>
        <sz val="11"/>
        <color rgb="FFFF0000"/>
        <rFont val="Calibri"/>
        <family val="2"/>
        <scheme val="minor"/>
      </rPr>
      <t>(adjusted: less non-cash)</t>
    </r>
  </si>
  <si>
    <t>Change in Net Position by Category</t>
  </si>
  <si>
    <t>OPERATING ACTIVITIES, net</t>
  </si>
  <si>
    <t>SOH Appropriation</t>
  </si>
  <si>
    <t>Land Operating Revenues</t>
  </si>
  <si>
    <t>Core Operating Expenditures</t>
  </si>
  <si>
    <t>NET CHANGE FROM OPERATIONS</t>
  </si>
  <si>
    <t>INVESTING ACTIVITIES, net</t>
  </si>
  <si>
    <t>Subsidiary Activities</t>
  </si>
  <si>
    <t>NET CHANGE FROM INVESTING</t>
  </si>
  <si>
    <t>FINANCING ACTIVITIES, net</t>
  </si>
  <si>
    <t>NET CHANGE FROM FINANCING</t>
  </si>
  <si>
    <t>TOTAL NET CHANGE</t>
  </si>
  <si>
    <t>specific percentage input - 3.7%</t>
  </si>
  <si>
    <t>Total Expenses</t>
  </si>
  <si>
    <t>input cell</t>
  </si>
  <si>
    <t>Fiscal Sustainability Model</t>
  </si>
  <si>
    <t>Sources</t>
  </si>
  <si>
    <t>Audited FS, Statement of Net Position</t>
  </si>
  <si>
    <t>Audited FS, Investment Footnote</t>
  </si>
  <si>
    <t>Audited FS, Capital Assets Footnote</t>
  </si>
  <si>
    <t xml:space="preserve">Deferred outflows of resources related to pensions </t>
  </si>
  <si>
    <t>Audited FS, Long-Term Liabilities Footnote</t>
  </si>
  <si>
    <t>Net OPEB Liability</t>
  </si>
  <si>
    <t>COMMITMENTS AND CONTINGENCIES</t>
  </si>
  <si>
    <t>NET POSITION</t>
  </si>
  <si>
    <t>Total net position</t>
  </si>
  <si>
    <t xml:space="preserve">check </t>
  </si>
  <si>
    <t>Budget Trend</t>
  </si>
  <si>
    <t xml:space="preserve">Core Operating Budget Trend </t>
  </si>
  <si>
    <t>FY2011</t>
  </si>
  <si>
    <t>FY2012</t>
  </si>
  <si>
    <t>Revenue</t>
  </si>
  <si>
    <t>Operating</t>
  </si>
  <si>
    <t>Total Revenue</t>
  </si>
  <si>
    <t>Expenses</t>
  </si>
  <si>
    <t>Personnel</t>
  </si>
  <si>
    <t xml:space="preserve">Debt Service </t>
  </si>
  <si>
    <t>Surplus (Deficit)</t>
  </si>
  <si>
    <t>FY 2011</t>
  </si>
  <si>
    <t>FY 2012</t>
  </si>
  <si>
    <t>FY 2017</t>
  </si>
  <si>
    <t>FY 2018</t>
  </si>
  <si>
    <t>FY 2019</t>
  </si>
  <si>
    <t>FY 2020</t>
  </si>
  <si>
    <t>FY 2021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</si>
  <si>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</si>
  <si>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</si>
  <si>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</si>
  <si>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</si>
  <si>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</si>
  <si>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</si>
  <si>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</si>
  <si>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</si>
  <si>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>AUDITED FINANCIAL STATEMENTS</t>
  </si>
  <si>
    <t>Government Wide Statement of Net Position</t>
  </si>
  <si>
    <t>Cash and Cash Equivalents</t>
  </si>
  <si>
    <t>Other Assets</t>
  </si>
  <si>
    <t>Liabilities</t>
  </si>
  <si>
    <t>Total Liabilities</t>
    <phoneticPr fontId="0" type="noConversion"/>
  </si>
  <si>
    <t>Net Assets</t>
  </si>
  <si>
    <t>Statement of Revenues, Expenditures, and Changes in Fund Balances/Statement of Activities</t>
  </si>
  <si>
    <t>General Revenues</t>
  </si>
  <si>
    <t>Total General Revenues</t>
  </si>
  <si>
    <t>Total Revenues</t>
  </si>
  <si>
    <t>Excess of revenues (deficiency) over expenditures/expenses</t>
  </si>
  <si>
    <t>Change in Net Assets</t>
  </si>
  <si>
    <t/>
  </si>
  <si>
    <t>Fund Balances:</t>
  </si>
  <si>
    <t>Beginning of year, as previously stated</t>
  </si>
  <si>
    <t>Restatement adjustment</t>
  </si>
  <si>
    <t>Net Position at end of year</t>
  </si>
  <si>
    <t>Raw Data Inputs</t>
    <phoneticPr fontId="0" type="noConversion"/>
  </si>
  <si>
    <t>Line Item</t>
  </si>
  <si>
    <t>Cash in banks</t>
  </si>
  <si>
    <t>Capital assets - net</t>
  </si>
  <si>
    <t>Deferred outflows of resources</t>
  </si>
  <si>
    <t>Deferred inflows of resources</t>
  </si>
  <si>
    <t>Deferred inflows of OPEB</t>
  </si>
  <si>
    <t>Inventory, prepaid items and Security Deposits</t>
  </si>
  <si>
    <t>Beneficiary advocacy</t>
  </si>
  <si>
    <t>Long-term portion of notes receivable</t>
  </si>
  <si>
    <t>Support services</t>
  </si>
  <si>
    <t>Unassigned</t>
  </si>
  <si>
    <t>Interest and investment earnings</t>
  </si>
  <si>
    <t>Appropriations, net of lapses</t>
  </si>
  <si>
    <t>Proceeds from Debt</t>
  </si>
  <si>
    <t>Proceeds from capital lease obligations</t>
  </si>
  <si>
    <t>Net transfers (to)/from other funds</t>
  </si>
  <si>
    <t>Restatement Adjustment</t>
  </si>
  <si>
    <t>Balance</t>
  </si>
  <si>
    <t>Principal</t>
  </si>
  <si>
    <t>Interest</t>
  </si>
  <si>
    <t>Total</t>
  </si>
  <si>
    <t>Actuals are being picked up by the Audited Balance Sheet Input</t>
  </si>
  <si>
    <t>Due within one year</t>
  </si>
  <si>
    <t xml:space="preserve">Actual </t>
  </si>
  <si>
    <t>Due after one year</t>
  </si>
  <si>
    <t>Additions</t>
  </si>
  <si>
    <t>Reductions</t>
  </si>
  <si>
    <t>Amount due within one year</t>
  </si>
  <si>
    <t>Amount due after one year</t>
  </si>
  <si>
    <t>Restatement</t>
  </si>
  <si>
    <t>Balance July 1, 2014 (as restated)</t>
  </si>
  <si>
    <t>Forecasting Comments</t>
  </si>
  <si>
    <t xml:space="preserve">Rolling Average </t>
  </si>
  <si>
    <t>Net pension liability</t>
  </si>
  <si>
    <t xml:space="preserve">Net OPEB liability </t>
  </si>
  <si>
    <t>Per forecast in tab &lt;4001&gt;</t>
  </si>
  <si>
    <t>Long-term liabilities</t>
  </si>
  <si>
    <t>Consolidated check</t>
  </si>
  <si>
    <t>Beginning Balance</t>
  </si>
  <si>
    <t>Deductions</t>
  </si>
  <si>
    <t>Transfers</t>
  </si>
  <si>
    <t>Ending Balance</t>
  </si>
  <si>
    <t>Capital assets not depreciated:</t>
  </si>
  <si>
    <t>Construction in progress</t>
  </si>
  <si>
    <t>No CIP</t>
  </si>
  <si>
    <t>Total capital assets not depreciated</t>
  </si>
  <si>
    <t>Capital assets being depreciated:</t>
  </si>
  <si>
    <t>Assumption, no additions or deductions</t>
  </si>
  <si>
    <t>Total capital assets being depreciated</t>
  </si>
  <si>
    <t>Assumption, straight-line based on 30, 15, 5 year assets of which none are fully depreciated - until full cost basis depreciated</t>
  </si>
  <si>
    <t>Capital assets being depreciated - net</t>
  </si>
  <si>
    <t>Capital assets, net</t>
  </si>
  <si>
    <t>Scenario 1</t>
  </si>
  <si>
    <t>Average MV</t>
  </si>
  <si>
    <t>Market Value</t>
  </si>
  <si>
    <t>Adjustment for Short Term Volatility</t>
  </si>
  <si>
    <t>Assume -0.65%</t>
  </si>
  <si>
    <t>Spend Policy</t>
  </si>
  <si>
    <t>Spend $</t>
  </si>
  <si>
    <t>Spend $ (before the change)</t>
  </si>
  <si>
    <t>Approved Fringe Benefit Rates</t>
  </si>
  <si>
    <t>FY15</t>
  </si>
  <si>
    <t>Purpose: To forecast the fringe benefit rate</t>
  </si>
  <si>
    <t>The formula to calculate fringe cost is:</t>
  </si>
  <si>
    <t>Salary * Composite Rate = Fringe Cost</t>
  </si>
  <si>
    <t>There have been three models made to determine the rate of increase of fringe costs:</t>
  </si>
  <si>
    <t>Average growth (OPEB -&gt; 17%)</t>
  </si>
  <si>
    <t>Composite - growth in all categories</t>
  </si>
  <si>
    <t>OPEB Only</t>
  </si>
  <si>
    <t xml:space="preserve">Revised Interim </t>
  </si>
  <si>
    <t xml:space="preserve">Interim </t>
  </si>
  <si>
    <t>Composite Rate</t>
  </si>
  <si>
    <t>Growth of rates from Y-t-Y</t>
  </si>
  <si>
    <t>3-year Average</t>
  </si>
  <si>
    <t>Multiplier  - Composite</t>
  </si>
  <si>
    <t>Multiplier - OPEB only</t>
  </si>
  <si>
    <t>Select Scenario</t>
  </si>
  <si>
    <t>Bank of Hawaii 5 Year Secured</t>
  </si>
  <si>
    <t>Refinance for 5 years</t>
  </si>
  <si>
    <t>Total Debt Service</t>
  </si>
  <si>
    <t>% of Core Op Budget</t>
  </si>
  <si>
    <t>Bank of Hawaii 7 Year Secured</t>
  </si>
  <si>
    <t>Refinance for 7 years</t>
  </si>
  <si>
    <t>Refinance for 9 years</t>
  </si>
  <si>
    <t>Core Op. Budget (projected)</t>
  </si>
  <si>
    <t>Income Statement Impact - Interest Expenses</t>
  </si>
  <si>
    <t>Balance Sheet Impact - Debt Service</t>
  </si>
  <si>
    <t>Cash Flow Statement Impact - Financing</t>
  </si>
  <si>
    <t>Scenario</t>
  </si>
  <si>
    <t>Period</t>
  </si>
  <si>
    <t>Total cash payment per year</t>
  </si>
  <si>
    <t>Balance due within one year</t>
  </si>
  <si>
    <t>Balance due after one year</t>
  </si>
  <si>
    <t xml:space="preserve">2018 Update: </t>
  </si>
  <si>
    <t xml:space="preserve">Payment </t>
  </si>
  <si>
    <t>Term</t>
  </si>
  <si>
    <t>years</t>
  </si>
  <si>
    <t>Proceeds</t>
  </si>
  <si>
    <t>Payment</t>
  </si>
  <si>
    <t>Coupon</t>
  </si>
  <si>
    <t xml:space="preserve">Difference </t>
  </si>
  <si>
    <t>Subtotal - Capital Assets, net</t>
  </si>
  <si>
    <t>Governance Program</t>
  </si>
  <si>
    <t>Assets</t>
  </si>
  <si>
    <t>Assumption drawn $755,500 as of FY 15 and $3,700,000 as of FY 16</t>
  </si>
  <si>
    <t>Forecast is based on feedback</t>
  </si>
  <si>
    <t>Audited Financials</t>
  </si>
  <si>
    <t>{COMPANY NAME}</t>
  </si>
  <si>
    <t>Building B LOC model with three scenarios of refinancing</t>
  </si>
  <si>
    <r>
      <t xml:space="preserve">Line of Credit - Building </t>
    </r>
    <r>
      <rPr>
        <b/>
        <sz val="11"/>
        <rFont val="Calibri"/>
        <family val="2"/>
        <scheme val="minor"/>
      </rPr>
      <t>B</t>
    </r>
  </si>
  <si>
    <t>Line of Credit - Building B</t>
  </si>
  <si>
    <t>Line of Credit - Building B:</t>
  </si>
  <si>
    <t>Building B LOC</t>
  </si>
  <si>
    <t>Capital Assets Note</t>
  </si>
  <si>
    <t xml:space="preserve">Cash </t>
  </si>
  <si>
    <t>Cash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</si>
  <si>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</si>
  <si>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</si>
  <si>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</si>
  <si>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</si>
  <si>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</si>
  <si>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</si>
  <si>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</si>
  <si>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</si>
  <si>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</si>
  <si>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</si>
  <si>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Long-Term Liabilities</t>
  </si>
  <si>
    <t xml:space="preserve">Long-Term Liabilities </t>
  </si>
  <si>
    <t>YEAR 3 ACTUALS</t>
  </si>
  <si>
    <t>YEAR 4 ACTUALS</t>
  </si>
  <si>
    <t>YEAR 5 ACTUALS</t>
  </si>
  <si>
    <t>YEAR 1 ACTUALS</t>
  </si>
  <si>
    <t>YEAR 2 ACTUALS</t>
  </si>
  <si>
    <t>Building B Line of Credit Projections</t>
  </si>
  <si>
    <t>Balance July 1</t>
  </si>
  <si>
    <t>Balance June 30</t>
  </si>
  <si>
    <t>Note - Capital Assets</t>
  </si>
  <si>
    <t xml:space="preserve">YEAR 5 ACTUALS </t>
  </si>
  <si>
    <t>YEAR 6 ACTUALS</t>
  </si>
  <si>
    <t>YEAR 7 ACTUALS</t>
  </si>
  <si>
    <t>YEAR 8 ACTUALS</t>
  </si>
  <si>
    <t>YEAR 9 ACTUALS</t>
  </si>
  <si>
    <t>Land A</t>
  </si>
  <si>
    <t>$200M was for Land A</t>
  </si>
  <si>
    <t>Land B:</t>
  </si>
  <si>
    <t>Land B</t>
  </si>
  <si>
    <t>Land B will not be sold and no new purchases</t>
  </si>
  <si>
    <t>Land A will not be sold, and no new future purchases of land</t>
  </si>
  <si>
    <t>Commission</t>
  </si>
  <si>
    <t>Loan programs</t>
  </si>
  <si>
    <t>Investment Portfolio</t>
  </si>
  <si>
    <t>5% of the Investment Portfolio</t>
  </si>
  <si>
    <t>Subtotal - Investment</t>
  </si>
  <si>
    <t>Investment Portfolio 4-8-12 Year Forecast</t>
  </si>
  <si>
    <t>General Fund</t>
  </si>
  <si>
    <t>Due to fund</t>
  </si>
  <si>
    <t>YEAR 9 Rate</t>
  </si>
  <si>
    <t>YEAR 10 Rate</t>
  </si>
  <si>
    <t xml:space="preserve">YEAR 2 </t>
  </si>
  <si>
    <t xml:space="preserve">YEAR 1 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</si>
  <si>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</si>
  <si>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</si>
  <si>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</si>
  <si>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</si>
  <si>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</si>
  <si>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</si>
  <si>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</si>
  <si>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</si>
  <si>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</si>
  <si>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</si>
  <si>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</si>
  <si>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</si>
  <si>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0</t>
  </si>
  <si>
    <t>Department pay's $3 million per year for 30 years to pay down debt service of $42.5 million</t>
  </si>
  <si>
    <t>Revenue Bonds, Series</t>
  </si>
  <si>
    <t xml:space="preserve">Revenue Bonds, Series </t>
  </si>
  <si>
    <t>MOA - Debt Service, Supplemental Agreement #1</t>
  </si>
  <si>
    <t>Amortization table of debt service commitment</t>
  </si>
  <si>
    <t>$3 million per year commitment details</t>
  </si>
  <si>
    <t>Debt service</t>
  </si>
  <si>
    <t>Subtotal - Loan Fund</t>
  </si>
  <si>
    <t>Loan Fund Program</t>
  </si>
  <si>
    <t>Lands</t>
  </si>
  <si>
    <t>Investments gain / (loss) (to show budgeted line items: less Core Budget Revenues, except for revenue from lands and state appropriations)</t>
  </si>
  <si>
    <t>Limited Liability Company A</t>
  </si>
  <si>
    <t>Limited Liability Company B</t>
  </si>
  <si>
    <t>Personnel &amp; Fringe (Admin Staff):</t>
  </si>
  <si>
    <t>Management</t>
  </si>
  <si>
    <t>Trust</t>
  </si>
  <si>
    <t>Lands / Trust</t>
  </si>
  <si>
    <t>Revenues</t>
  </si>
  <si>
    <t>Personnel &amp; Fringe (Management Staff)</t>
  </si>
  <si>
    <t>Personnel &amp; Fringe (Management):</t>
  </si>
  <si>
    <t>Accrued management retirement plan</t>
  </si>
  <si>
    <t>Special Project</t>
  </si>
  <si>
    <t>Brownfield</t>
  </si>
  <si>
    <t>Notes payable - Building A acquisition</t>
  </si>
  <si>
    <t>Line of Credit - Building A</t>
  </si>
  <si>
    <t>Vehicles</t>
  </si>
  <si>
    <t>Limited Liability Company B's Assets</t>
  </si>
  <si>
    <t>Subtotal - Limited Liability Company B's assets, net</t>
  </si>
  <si>
    <t>Personnel &amp; Fringe (Management)</t>
  </si>
  <si>
    <t>Debt-Service</t>
  </si>
  <si>
    <t>Revenue bonds</t>
  </si>
  <si>
    <t>Difference is due to revenue bond</t>
  </si>
  <si>
    <t xml:space="preserve">Forecast is based on $15,100,000 </t>
  </si>
  <si>
    <t>Revenue Bond</t>
  </si>
  <si>
    <t>Accrued retirement plan</t>
  </si>
  <si>
    <t>Personnel &amp; Fringe (Management Staff):</t>
  </si>
  <si>
    <t>Legacy lands will not be sold and no new purchases</t>
  </si>
  <si>
    <t>Limited Liability Company B's Capital Asset Activities</t>
  </si>
  <si>
    <t>Version 9.1</t>
  </si>
  <si>
    <t>This difference calc represents the accrued encumbered amounts. Amounts included are all line items that are potentially being double counted because they should have already been included in the above 3 expenditure line items</t>
  </si>
  <si>
    <t>Total Liabilities, Deferred Inflows of Resources and  Net Position</t>
  </si>
  <si>
    <t>Long-term liabilities for year ended June 30, are as follows:</t>
  </si>
  <si>
    <t>Capital Asset Activities</t>
  </si>
  <si>
    <t xml:space="preserve">Change YEAR 8: Subtract $21,000,000 to forecast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</si>
</sst>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/mm/dd;@"/>
    <numFmt numFmtId="165" formatCode="_(* #,##0_);_(* \(#,##0\);_(* &quot;-&quot;??_);_(@_)"/>
    <numFmt numFmtId="166" formatCode="_-[$$-409]* #,##0.00_ ;_-[$$-409]* \-#,##0.00\ ;_-[$$-409]* &quot;-&quot;??_ ;_-@_ "/>
    <numFmt numFmtId="167" formatCode="0.0000%"/>
    <numFmt numFmtId="168" formatCode="0.000000%"/>
    <numFmt numFmtId="169" formatCode="0.000%"/>
    <numFmt numFmtId="170" formatCode="_(* #,##0.000000_);_(* \(#,##0.000000\);_(* &quot;-&quot;??????_);_(@_)"/>
  </numFmts>
  <fonts count="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ＭＳ Ｐゴシック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66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874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i/>
      <u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1"/>
      <color rgb="FF0066FF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color indexed="17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indexed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i/>
      <sz val="11"/>
      <color indexed="12"/>
      <name val="Calibri"/>
      <family val="2"/>
      <scheme val="minor"/>
    </font>
    <font>
      <b/>
      <i/>
      <sz val="11"/>
      <color rgb="FF0066FF"/>
      <name val="Calibri"/>
      <family val="2"/>
      <scheme val="minor"/>
    </font>
    <font>
      <i/>
      <sz val="11"/>
      <color rgb="FF0066FF"/>
      <name val="Calibri"/>
      <family val="2"/>
      <scheme val="minor"/>
    </font>
    <font>
      <b/>
      <sz val="10"/>
      <name val="Arial"/>
      <family val="2"/>
    </font>
    <font>
      <b/>
      <u/>
      <sz val="11"/>
      <color rgb="FF0000FF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 tint="0.24994659260841701"/>
      <name val="Cambria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42"/>
      <color theme="7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ambria"/>
      <family val="2"/>
      <scheme val="major"/>
    </font>
    <font>
      <b/>
      <sz val="11"/>
      <color rgb="FF00B050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i/>
      <u/>
      <sz val="11"/>
      <color rgb="FF0000FF"/>
      <name val="Calibri"/>
      <family val="2"/>
      <scheme val="minor"/>
    </font>
    <font>
      <i/>
      <sz val="10"/>
      <color rgb="FF0000FF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113">
    <xf numFmtId="0" fontId="0" fillId="0" borderId="0"/>
    <xf numFmtId="43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9" fontId="23" fillId="0" borderId="0" applyFont="0" applyFill="0" applyBorder="0" applyAlignment="0" applyProtection="0"/>
    <xf numFmtId="0" fontId="23" fillId="0" borderId="0"/>
    <xf numFmtId="43" fontId="22" fillId="0" borderId="0" applyFont="0" applyFill="0" applyBorder="0" applyAlignment="0" applyProtection="0"/>
    <xf numFmtId="0" fontId="25" fillId="0" borderId="0"/>
    <xf numFmtId="0" fontId="22" fillId="0" borderId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/>
    <xf numFmtId="166" fontId="19" fillId="0" borderId="0"/>
    <xf numFmtId="43" fontId="19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6" fillId="0" borderId="0"/>
    <xf numFmtId="0" fontId="15" fillId="0" borderId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4" fillId="0" borderId="0"/>
    <xf numFmtId="0" fontId="23" fillId="0" borderId="0"/>
    <xf numFmtId="0" fontId="13" fillId="0" borderId="0"/>
    <xf numFmtId="0" fontId="12" fillId="0" borderId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166" fontId="5" fillId="0" borderId="0"/>
    <xf numFmtId="43" fontId="5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3" fillId="0" borderId="0" applyNumberFormat="0" applyFill="0" applyBorder="0" applyProtection="0">
      <alignment horizontal="center" vertical="center"/>
    </xf>
    <xf numFmtId="0" fontId="67" fillId="0" borderId="0" applyNumberFormat="0" applyFill="0" applyBorder="0" applyAlignment="0" applyProtection="0"/>
    <xf numFmtId="0" fontId="65" fillId="0" borderId="0" applyFill="0" applyBorder="0" applyProtection="0">
      <alignment horizontal="left" wrapText="1"/>
    </xf>
    <xf numFmtId="3" fontId="69" fillId="0" borderId="32" applyFill="0" applyProtection="0">
      <alignment horizontal="center"/>
    </xf>
    <xf numFmtId="0" fontId="69" fillId="0" borderId="0" applyFill="0" applyBorder="0" applyProtection="0">
      <alignment horizontal="center" wrapText="1"/>
    </xf>
    <xf numFmtId="0" fontId="64" fillId="0" borderId="0" applyNumberFormat="0" applyFill="0" applyBorder="0" applyProtection="0">
      <alignment horizontal="left" vertical="center"/>
    </xf>
    <xf numFmtId="9" fontId="66" fillId="0" borderId="0" applyFill="0" applyBorder="0" applyProtection="0">
      <alignment horizontal="center" vertical="center"/>
    </xf>
    <xf numFmtId="0" fontId="68" fillId="25" borderId="31" applyNumberFormat="0" applyProtection="0">
      <alignment horizontal="left" vertical="center"/>
    </xf>
    <xf numFmtId="0" fontId="67" fillId="0" borderId="0" applyNumberFormat="0" applyFill="0" applyBorder="0" applyProtection="0">
      <alignment vertical="center"/>
    </xf>
    <xf numFmtId="0" fontId="69" fillId="0" borderId="0" applyFill="0" applyProtection="0">
      <alignment vertical="center"/>
    </xf>
    <xf numFmtId="0" fontId="69" fillId="0" borderId="0" applyFill="0" applyProtection="0">
      <alignment horizontal="center" vertical="center" wrapText="1"/>
    </xf>
    <xf numFmtId="0" fontId="69" fillId="0" borderId="0" applyFill="0" applyProtection="0">
      <alignment horizontal="left"/>
    </xf>
    <xf numFmtId="0" fontId="70" fillId="0" borderId="0" applyNumberFormat="0" applyFill="0" applyBorder="0" applyProtection="0">
      <alignment vertical="center"/>
    </xf>
    <xf numFmtId="1" fontId="71" fillId="25" borderId="31">
      <alignment horizontal="center" vertical="center"/>
    </xf>
    <xf numFmtId="0" fontId="63" fillId="21" borderId="34" applyNumberFormat="0" applyFont="0" applyAlignment="0">
      <alignment horizontal="center"/>
    </xf>
    <xf numFmtId="0" fontId="63" fillId="22" borderId="33" applyNumberFormat="0" applyFont="0" applyAlignment="0">
      <alignment horizontal="center"/>
    </xf>
    <xf numFmtId="0" fontId="63" fillId="23" borderId="33" applyNumberFormat="0" applyFont="0" applyAlignment="0">
      <alignment horizontal="center"/>
    </xf>
    <xf numFmtId="0" fontId="63" fillId="24" borderId="33" applyNumberFormat="0" applyFont="0" applyAlignment="0">
      <alignment horizontal="center"/>
    </xf>
    <xf numFmtId="0" fontId="63" fillId="26" borderId="33" applyNumberFormat="0" applyFont="0" applyAlignment="0">
      <alignment horizontal="center"/>
    </xf>
    <xf numFmtId="44" fontId="63" fillId="0" borderId="0" applyFont="0" applyFill="0" applyBorder="0" applyAlignment="0" applyProtection="0"/>
  </cellStyleXfs>
  <cellXfs count="661">
    <xf numFmtId="0" fontId="0" fillId="0" borderId="0" xfId="0"/>
    <xf numFmtId="0" fontId="28" fillId="0" borderId="17" xfId="4" applyFont="1" applyBorder="1"/>
    <xf numFmtId="168" fontId="28" fillId="0" borderId="0" xfId="4" applyNumberFormat="1" applyFont="1"/>
    <xf numFmtId="0" fontId="28" fillId="0" borderId="6" xfId="4" applyFont="1" applyBorder="1" applyAlignment="1">
      <alignment horizontal="center"/>
    </xf>
    <xf numFmtId="0" fontId="28" fillId="0" borderId="25" xfId="4" applyFont="1" applyBorder="1" applyAlignment="1">
      <alignment horizontal="center"/>
    </xf>
    <xf numFmtId="0" fontId="36" fillId="0" borderId="0" xfId="0" applyFont="1"/>
    <xf numFmtId="0" fontId="29" fillId="0" borderId="0" xfId="4" applyFont="1"/>
    <xf numFmtId="0" fontId="37" fillId="0" borderId="0" xfId="4" applyFont="1"/>
    <xf numFmtId="0" fontId="38" fillId="0" borderId="0" xfId="4" applyFont="1"/>
    <xf numFmtId="0" fontId="29" fillId="0" borderId="6" xfId="4" applyFont="1" applyBorder="1"/>
    <xf numFmtId="0" fontId="29" fillId="0" borderId="0" xfId="4" applyFont="1" applyAlignment="1">
      <alignment horizontal="right"/>
    </xf>
    <xf numFmtId="0" fontId="37" fillId="0" borderId="0" xfId="2" applyFont="1" applyFill="1" applyAlignment="1" applyProtection="1"/>
    <xf numFmtId="0" fontId="37" fillId="0" borderId="6" xfId="4" applyFont="1" applyBorder="1"/>
    <xf numFmtId="0" fontId="28" fillId="0" borderId="0" xfId="43" applyFont="1"/>
    <xf numFmtId="0" fontId="40" fillId="0" borderId="0" xfId="4" applyFont="1"/>
    <xf numFmtId="15" fontId="37" fillId="0" borderId="0" xfId="4" applyNumberFormat="1" applyFont="1"/>
    <xf numFmtId="0" fontId="29" fillId="0" borderId="0" xfId="4" applyFont="1" applyAlignment="1">
      <alignment horizontal="center"/>
    </xf>
    <xf numFmtId="0" fontId="29" fillId="8" borderId="0" xfId="4" applyFont="1" applyFill="1" applyAlignment="1">
      <alignment horizontal="center"/>
    </xf>
    <xf numFmtId="0" fontId="29" fillId="0" borderId="6" xfId="4" applyFont="1" applyBorder="1" applyAlignment="1">
      <alignment horizontal="center"/>
    </xf>
    <xf numFmtId="0" fontId="29" fillId="8" borderId="6" xfId="4" applyFont="1" applyFill="1" applyBorder="1" applyAlignment="1">
      <alignment horizontal="center"/>
    </xf>
    <xf numFmtId="6" fontId="37" fillId="0" borderId="0" xfId="4" applyNumberFormat="1" applyFont="1"/>
    <xf numFmtId="165" fontId="37" fillId="0" borderId="0" xfId="1" applyNumberFormat="1" applyFont="1" applyFill="1"/>
    <xf numFmtId="0" fontId="37" fillId="0" borderId="18" xfId="4" applyFont="1" applyBorder="1"/>
    <xf numFmtId="0" fontId="37" fillId="0" borderId="19" xfId="4" applyFont="1" applyBorder="1"/>
    <xf numFmtId="0" fontId="29" fillId="0" borderId="17" xfId="4" applyFont="1" applyBorder="1"/>
    <xf numFmtId="0" fontId="37" fillId="0" borderId="20" xfId="4" applyFont="1" applyBorder="1"/>
    <xf numFmtId="0" fontId="37" fillId="0" borderId="21" xfId="4" applyFont="1" applyBorder="1"/>
    <xf numFmtId="165" fontId="37" fillId="0" borderId="0" xfId="1" applyNumberFormat="1" applyFont="1" applyBorder="1"/>
    <xf numFmtId="169" fontId="37" fillId="0" borderId="0" xfId="4" applyNumberFormat="1" applyFont="1"/>
    <xf numFmtId="0" fontId="29" fillId="0" borderId="20" xfId="4" applyFont="1" applyBorder="1" applyAlignment="1">
      <alignment horizontal="center"/>
    </xf>
    <xf numFmtId="0" fontId="29" fillId="0" borderId="21" xfId="4" applyFont="1" applyBorder="1" applyAlignment="1">
      <alignment horizontal="center"/>
    </xf>
    <xf numFmtId="14" fontId="29" fillId="0" borderId="0" xfId="4" applyNumberFormat="1" applyFont="1" applyAlignment="1">
      <alignment horizontal="center"/>
    </xf>
    <xf numFmtId="14" fontId="29" fillId="0" borderId="20" xfId="4" applyNumberFormat="1" applyFont="1" applyBorder="1" applyAlignment="1">
      <alignment horizontal="center"/>
    </xf>
    <xf numFmtId="14" fontId="29" fillId="0" borderId="27" xfId="4" applyNumberFormat="1" applyFont="1" applyBorder="1" applyAlignment="1">
      <alignment horizontal="center"/>
    </xf>
    <xf numFmtId="0" fontId="37" fillId="0" borderId="0" xfId="4" applyFont="1" applyAlignment="1">
      <alignment horizontal="center"/>
    </xf>
    <xf numFmtId="0" fontId="37" fillId="0" borderId="21" xfId="4" applyFont="1" applyBorder="1" applyAlignment="1">
      <alignment horizontal="center"/>
    </xf>
    <xf numFmtId="0" fontId="36" fillId="0" borderId="0" xfId="4" applyFont="1"/>
    <xf numFmtId="14" fontId="37" fillId="0" borderId="20" xfId="4" applyNumberFormat="1" applyFont="1" applyBorder="1"/>
    <xf numFmtId="43" fontId="37" fillId="0" borderId="0" xfId="1" applyFont="1" applyBorder="1"/>
    <xf numFmtId="43" fontId="37" fillId="0" borderId="21" xfId="1" applyFont="1" applyBorder="1"/>
    <xf numFmtId="165" fontId="36" fillId="0" borderId="0" xfId="1" applyNumberFormat="1" applyFont="1"/>
    <xf numFmtId="43" fontId="37" fillId="0" borderId="0" xfId="4" applyNumberFormat="1" applyFont="1"/>
    <xf numFmtId="170" fontId="37" fillId="0" borderId="0" xfId="4" applyNumberFormat="1" applyFont="1"/>
    <xf numFmtId="169" fontId="37" fillId="0" borderId="0" xfId="3" applyNumberFormat="1" applyFont="1" applyBorder="1" applyAlignment="1">
      <alignment horizontal="center"/>
    </xf>
    <xf numFmtId="0" fontId="37" fillId="0" borderId="25" xfId="4" applyFont="1" applyBorder="1"/>
    <xf numFmtId="43" fontId="37" fillId="0" borderId="21" xfId="4" applyNumberFormat="1" applyFont="1" applyBorder="1"/>
    <xf numFmtId="0" fontId="37" fillId="0" borderId="22" xfId="4" applyFont="1" applyBorder="1"/>
    <xf numFmtId="0" fontId="37" fillId="0" borderId="1" xfId="4" applyFont="1" applyBorder="1"/>
    <xf numFmtId="0" fontId="37" fillId="0" borderId="23" xfId="4" applyFont="1" applyBorder="1"/>
    <xf numFmtId="0" fontId="28" fillId="0" borderId="0" xfId="18" applyFont="1"/>
    <xf numFmtId="0" fontId="37" fillId="0" borderId="0" xfId="0" applyFont="1"/>
    <xf numFmtId="0" fontId="35" fillId="0" borderId="0" xfId="0" applyFont="1"/>
    <xf numFmtId="0" fontId="33" fillId="0" borderId="0" xfId="0" applyFont="1"/>
    <xf numFmtId="0" fontId="41" fillId="0" borderId="0" xfId="18" applyFont="1"/>
    <xf numFmtId="0" fontId="29" fillId="0" borderId="6" xfId="0" applyFont="1" applyBorder="1" applyAlignment="1">
      <alignment horizontal="center"/>
    </xf>
    <xf numFmtId="0" fontId="29" fillId="8" borderId="6" xfId="0" applyFont="1" applyFill="1" applyBorder="1" applyAlignment="1">
      <alignment horizontal="center"/>
    </xf>
    <xf numFmtId="0" fontId="41" fillId="0" borderId="0" xfId="0" applyFont="1"/>
    <xf numFmtId="0" fontId="29" fillId="0" borderId="0" xfId="0" applyFont="1"/>
    <xf numFmtId="165" fontId="37" fillId="0" borderId="0" xfId="1" applyNumberFormat="1" applyFont="1"/>
    <xf numFmtId="165" fontId="37" fillId="0" borderId="0" xfId="1" applyNumberFormat="1" applyFont="1" applyFill="1" applyBorder="1"/>
    <xf numFmtId="9" fontId="41" fillId="0" borderId="0" xfId="0" applyNumberFormat="1" applyFont="1"/>
    <xf numFmtId="165" fontId="29" fillId="0" borderId="7" xfId="1" applyNumberFormat="1" applyFont="1" applyBorder="1"/>
    <xf numFmtId="165" fontId="29" fillId="0" borderId="0" xfId="1" applyNumberFormat="1" applyFont="1"/>
    <xf numFmtId="165" fontId="29" fillId="0" borderId="0" xfId="1" applyNumberFormat="1" applyFont="1" applyFill="1" applyBorder="1"/>
    <xf numFmtId="165" fontId="37" fillId="0" borderId="7" xfId="1" applyNumberFormat="1" applyFont="1" applyBorder="1"/>
    <xf numFmtId="9" fontId="36" fillId="0" borderId="0" xfId="0" applyNumberFormat="1" applyFont="1"/>
    <xf numFmtId="10" fontId="37" fillId="0" borderId="0" xfId="3" applyNumberFormat="1" applyFont="1"/>
    <xf numFmtId="165" fontId="37" fillId="0" borderId="0" xfId="0" applyNumberFormat="1" applyFont="1"/>
    <xf numFmtId="165" fontId="37" fillId="0" borderId="7" xfId="0" applyNumberFormat="1" applyFont="1" applyBorder="1"/>
    <xf numFmtId="10" fontId="37" fillId="0" borderId="0" xfId="3" applyNumberFormat="1" applyFont="1" applyFill="1" applyBorder="1"/>
    <xf numFmtId="0" fontId="42" fillId="0" borderId="0" xfId="0" applyFont="1"/>
    <xf numFmtId="0" fontId="29" fillId="0" borderId="0" xfId="0" applyFont="1" applyAlignment="1">
      <alignment horizontal="center"/>
    </xf>
    <xf numFmtId="0" fontId="28" fillId="0" borderId="2" xfId="0" applyFont="1" applyBorder="1"/>
    <xf numFmtId="0" fontId="29" fillId="0" borderId="6" xfId="0" applyFont="1" applyBorder="1"/>
    <xf numFmtId="165" fontId="29" fillId="0" borderId="0" xfId="0" applyNumberFormat="1" applyFont="1"/>
    <xf numFmtId="165" fontId="29" fillId="0" borderId="2" xfId="0" applyNumberFormat="1" applyFont="1" applyBorder="1"/>
    <xf numFmtId="0" fontId="40" fillId="0" borderId="0" xfId="0" applyFont="1"/>
    <xf numFmtId="0" fontId="29" fillId="0" borderId="0" xfId="0" applyFont="1" applyAlignment="1">
      <alignment horizontal="left"/>
    </xf>
    <xf numFmtId="0" fontId="29" fillId="0" borderId="7" xfId="0" applyFont="1" applyBorder="1" applyAlignment="1">
      <alignment horizontal="right"/>
    </xf>
    <xf numFmtId="165" fontId="29" fillId="0" borderId="0" xfId="1" applyNumberFormat="1" applyFont="1" applyFill="1"/>
    <xf numFmtId="0" fontId="28" fillId="0" borderId="0" xfId="38" applyFont="1"/>
    <xf numFmtId="0" fontId="28" fillId="0" borderId="0" xfId="38" applyFont="1" applyAlignment="1">
      <alignment horizontal="center"/>
    </xf>
    <xf numFmtId="0" fontId="29" fillId="0" borderId="0" xfId="38" applyFont="1"/>
    <xf numFmtId="0" fontId="43" fillId="0" borderId="0" xfId="38" applyFont="1" applyAlignment="1">
      <alignment horizontal="center"/>
    </xf>
    <xf numFmtId="0" fontId="41" fillId="0" borderId="0" xfId="38" applyFont="1"/>
    <xf numFmtId="0" fontId="36" fillId="0" borderId="0" xfId="38" applyFont="1"/>
    <xf numFmtId="0" fontId="32" fillId="10" borderId="6" xfId="38" applyFont="1" applyFill="1" applyBorder="1"/>
    <xf numFmtId="0" fontId="32" fillId="10" borderId="6" xfId="38" applyFont="1" applyFill="1" applyBorder="1" applyAlignment="1">
      <alignment horizontal="center"/>
    </xf>
    <xf numFmtId="0" fontId="32" fillId="12" borderId="6" xfId="0" applyFont="1" applyFill="1" applyBorder="1" applyAlignment="1">
      <alignment horizontal="center"/>
    </xf>
    <xf numFmtId="10" fontId="36" fillId="0" borderId="0" xfId="38" applyNumberFormat="1" applyFont="1"/>
    <xf numFmtId="0" fontId="28" fillId="0" borderId="2" xfId="38" applyFont="1" applyBorder="1"/>
    <xf numFmtId="0" fontId="36" fillId="0" borderId="0" xfId="38" applyFont="1" applyAlignment="1">
      <alignment horizontal="center"/>
    </xf>
    <xf numFmtId="10" fontId="36" fillId="0" borderId="0" xfId="38" applyNumberFormat="1" applyFont="1" applyAlignment="1">
      <alignment horizontal="center"/>
    </xf>
    <xf numFmtId="0" fontId="32" fillId="10" borderId="6" xfId="0" applyFont="1" applyFill="1" applyBorder="1"/>
    <xf numFmtId="43" fontId="37" fillId="0" borderId="0" xfId="0" applyNumberFormat="1" applyFont="1"/>
    <xf numFmtId="0" fontId="29" fillId="0" borderId="0" xfId="0" applyFont="1" applyAlignment="1">
      <alignment horizontal="right"/>
    </xf>
    <xf numFmtId="165" fontId="36" fillId="0" borderId="0" xfId="1" applyNumberFormat="1" applyFont="1" applyFill="1"/>
    <xf numFmtId="0" fontId="47" fillId="0" borderId="0" xfId="4" applyFont="1"/>
    <xf numFmtId="0" fontId="29" fillId="8" borderId="16" xfId="0" applyFont="1" applyFill="1" applyBorder="1" applyAlignment="1">
      <alignment horizontal="center"/>
    </xf>
    <xf numFmtId="0" fontId="41" fillId="0" borderId="0" xfId="4" applyFont="1"/>
    <xf numFmtId="164" fontId="29" fillId="0" borderId="6" xfId="0" applyNumberFormat="1" applyFont="1" applyBorder="1" applyAlignment="1" applyProtection="1">
      <alignment horizontal="center"/>
      <protection locked="0"/>
    </xf>
    <xf numFmtId="165" fontId="37" fillId="0" borderId="0" xfId="4" applyNumberFormat="1" applyFont="1"/>
    <xf numFmtId="165" fontId="37" fillId="0" borderId="7" xfId="1" applyNumberFormat="1" applyFont="1" applyFill="1" applyBorder="1"/>
    <xf numFmtId="165" fontId="36" fillId="0" borderId="0" xfId="1" applyNumberFormat="1" applyFont="1" applyBorder="1"/>
    <xf numFmtId="165" fontId="37" fillId="0" borderId="2" xfId="1" applyNumberFormat="1" applyFont="1" applyBorder="1"/>
    <xf numFmtId="165" fontId="33" fillId="0" borderId="0" xfId="4" applyNumberFormat="1" applyFont="1"/>
    <xf numFmtId="165" fontId="33" fillId="0" borderId="0" xfId="1" applyNumberFormat="1" applyFont="1" applyFill="1" applyBorder="1"/>
    <xf numFmtId="0" fontId="37" fillId="0" borderId="6" xfId="4" applyFont="1" applyBorder="1" applyAlignment="1">
      <alignment wrapText="1"/>
    </xf>
    <xf numFmtId="6" fontId="36" fillId="0" borderId="0" xfId="0" applyNumberFormat="1" applyFont="1"/>
    <xf numFmtId="165" fontId="36" fillId="0" borderId="0" xfId="4" applyNumberFormat="1" applyFont="1"/>
    <xf numFmtId="0" fontId="33" fillId="0" borderId="0" xfId="4" applyFont="1"/>
    <xf numFmtId="0" fontId="45" fillId="4" borderId="0" xfId="4" applyFont="1" applyFill="1" applyProtection="1">
      <protection locked="0"/>
    </xf>
    <xf numFmtId="0" fontId="37" fillId="4" borderId="0" xfId="4" applyFont="1" applyFill="1" applyProtection="1">
      <protection locked="0"/>
    </xf>
    <xf numFmtId="3" fontId="37" fillId="4" borderId="0" xfId="4" applyNumberFormat="1" applyFont="1" applyFill="1" applyProtection="1">
      <protection locked="0"/>
    </xf>
    <xf numFmtId="0" fontId="29" fillId="4" borderId="0" xfId="4" applyFont="1" applyFill="1" applyProtection="1">
      <protection locked="0"/>
    </xf>
    <xf numFmtId="3" fontId="37" fillId="4" borderId="0" xfId="4" applyNumberFormat="1" applyFont="1" applyFill="1" applyAlignment="1" applyProtection="1">
      <alignment horizontal="center"/>
      <protection locked="0"/>
    </xf>
    <xf numFmtId="0" fontId="31" fillId="4" borderId="0" xfId="4" applyFont="1" applyFill="1" applyProtection="1">
      <protection locked="0"/>
    </xf>
    <xf numFmtId="0" fontId="37" fillId="0" borderId="0" xfId="4" applyFont="1" applyProtection="1">
      <protection locked="0"/>
    </xf>
    <xf numFmtId="3" fontId="46" fillId="4" borderId="0" xfId="4" applyNumberFormat="1" applyFont="1" applyFill="1" applyProtection="1">
      <protection locked="0"/>
    </xf>
    <xf numFmtId="0" fontId="37" fillId="4" borderId="0" xfId="4" applyFont="1" applyFill="1"/>
    <xf numFmtId="0" fontId="29" fillId="2" borderId="5" xfId="0" applyFont="1" applyFill="1" applyBorder="1" applyAlignment="1">
      <alignment horizontal="left"/>
    </xf>
    <xf numFmtId="0" fontId="29" fillId="2" borderId="7" xfId="2" applyFont="1" applyFill="1" applyBorder="1" applyAlignment="1" applyProtection="1"/>
    <xf numFmtId="0" fontId="41" fillId="2" borderId="7" xfId="2" applyFont="1" applyFill="1" applyBorder="1" applyAlignment="1" applyProtection="1"/>
    <xf numFmtId="0" fontId="50" fillId="2" borderId="7" xfId="2" applyFont="1" applyFill="1" applyBorder="1" applyAlignment="1" applyProtection="1">
      <alignment horizontal="right"/>
    </xf>
    <xf numFmtId="0" fontId="29" fillId="2" borderId="7" xfId="0" applyFont="1" applyFill="1" applyBorder="1"/>
    <xf numFmtId="0" fontId="29" fillId="2" borderId="7" xfId="0" applyFont="1" applyFill="1" applyBorder="1" applyAlignment="1">
      <alignment wrapText="1"/>
    </xf>
    <xf numFmtId="2" fontId="29" fillId="0" borderId="0" xfId="0" applyNumberFormat="1" applyFont="1" applyAlignment="1">
      <alignment wrapText="1"/>
    </xf>
    <xf numFmtId="0" fontId="29" fillId="2" borderId="0" xfId="0" applyFont="1" applyFill="1" applyAlignment="1">
      <alignment horizontal="left"/>
    </xf>
    <xf numFmtId="0" fontId="41" fillId="2" borderId="0" xfId="0" applyFont="1" applyFill="1" applyAlignment="1">
      <alignment horizontal="left"/>
    </xf>
    <xf numFmtId="0" fontId="29" fillId="2" borderId="0" xfId="0" applyFont="1" applyFill="1" applyAlignment="1">
      <alignment horizontal="right"/>
    </xf>
    <xf numFmtId="0" fontId="29" fillId="2" borderId="0" xfId="0" applyFont="1" applyFill="1"/>
    <xf numFmtId="0" fontId="29" fillId="2" borderId="0" xfId="0" applyFont="1" applyFill="1" applyAlignment="1">
      <alignment wrapText="1"/>
    </xf>
    <xf numFmtId="0" fontId="38" fillId="2" borderId="4" xfId="0" applyFont="1" applyFill="1" applyBorder="1" applyAlignment="1">
      <alignment horizontal="left"/>
    </xf>
    <xf numFmtId="0" fontId="29" fillId="2" borderId="6" xfId="0" applyFont="1" applyFill="1" applyBorder="1"/>
    <xf numFmtId="0" fontId="41" fillId="2" borderId="6" xfId="0" applyFont="1" applyFill="1" applyBorder="1"/>
    <xf numFmtId="0" fontId="29" fillId="2" borderId="6" xfId="0" applyFont="1" applyFill="1" applyBorder="1" applyAlignment="1">
      <alignment horizontal="right"/>
    </xf>
    <xf numFmtId="0" fontId="51" fillId="2" borderId="6" xfId="2" applyFont="1" applyFill="1" applyBorder="1" applyAlignment="1" applyProtection="1">
      <alignment horizontal="left"/>
    </xf>
    <xf numFmtId="0" fontId="29" fillId="2" borderId="6" xfId="0" applyFont="1" applyFill="1" applyBorder="1" applyAlignment="1">
      <alignment horizontal="center"/>
    </xf>
    <xf numFmtId="2" fontId="29" fillId="0" borderId="0" xfId="0" applyNumberFormat="1" applyFont="1" applyAlignment="1">
      <alignment horizontal="center"/>
    </xf>
    <xf numFmtId="0" fontId="29" fillId="0" borderId="0" xfId="2" applyFont="1" applyFill="1" applyBorder="1" applyAlignment="1" applyProtection="1">
      <alignment horizontal="left"/>
    </xf>
    <xf numFmtId="0" fontId="29" fillId="0" borderId="0" xfId="2" applyFont="1" applyFill="1" applyBorder="1" applyAlignment="1" applyProtection="1"/>
    <xf numFmtId="0" fontId="41" fillId="0" borderId="0" xfId="2" applyFont="1" applyFill="1" applyBorder="1" applyAlignment="1" applyProtection="1"/>
    <xf numFmtId="0" fontId="29" fillId="0" borderId="0" xfId="2" applyFont="1" applyFill="1" applyBorder="1" applyAlignment="1" applyProtection="1">
      <alignment horizontal="right"/>
    </xf>
    <xf numFmtId="37" fontId="52" fillId="0" borderId="0" xfId="0" applyNumberFormat="1" applyFont="1" applyAlignment="1" applyProtection="1">
      <alignment horizontal="left"/>
      <protection locked="0"/>
    </xf>
    <xf numFmtId="0" fontId="29" fillId="0" borderId="0" xfId="0" applyFont="1" applyAlignment="1" applyProtection="1">
      <alignment horizontal="left"/>
      <protection locked="0"/>
    </xf>
    <xf numFmtId="37" fontId="52" fillId="0" borderId="0" xfId="1" applyNumberFormat="1" applyFont="1" applyFill="1" applyBorder="1" applyAlignment="1" applyProtection="1">
      <alignment horizontal="center"/>
      <protection locked="0"/>
    </xf>
    <xf numFmtId="0" fontId="50" fillId="0" borderId="0" xfId="0" applyFont="1"/>
    <xf numFmtId="2" fontId="29" fillId="0" borderId="0" xfId="0" applyNumberFormat="1" applyFont="1"/>
    <xf numFmtId="0" fontId="29" fillId="2" borderId="15" xfId="0" applyFont="1" applyFill="1" applyBorder="1" applyAlignment="1">
      <alignment horizontal="center"/>
    </xf>
    <xf numFmtId="0" fontId="29" fillId="2" borderId="16" xfId="0" applyFont="1" applyFill="1" applyBorder="1" applyAlignment="1">
      <alignment horizontal="center"/>
    </xf>
    <xf numFmtId="0" fontId="29" fillId="0" borderId="0" xfId="2" applyFont="1" applyFill="1" applyAlignment="1" applyProtection="1">
      <alignment horizontal="left"/>
    </xf>
    <xf numFmtId="0" fontId="29" fillId="0" borderId="0" xfId="2" applyFont="1" applyFill="1" applyAlignment="1" applyProtection="1"/>
    <xf numFmtId="0" fontId="41" fillId="0" borderId="0" xfId="2" applyFont="1" applyFill="1" applyAlignment="1" applyProtection="1"/>
    <xf numFmtId="0" fontId="41" fillId="0" borderId="0" xfId="2" applyFont="1" applyFill="1" applyAlignment="1" applyProtection="1">
      <alignment horizontal="right"/>
    </xf>
    <xf numFmtId="0" fontId="36" fillId="0" borderId="0" xfId="2" applyFont="1" applyFill="1" applyAlignment="1" applyProtection="1">
      <alignment horizontal="right"/>
    </xf>
    <xf numFmtId="2" fontId="29" fillId="0" borderId="0" xfId="0" applyNumberFormat="1" applyFont="1" applyAlignment="1" applyProtection="1">
      <alignment horizontal="center"/>
      <protection locked="0"/>
    </xf>
    <xf numFmtId="2" fontId="53" fillId="0" borderId="0" xfId="0" applyNumberFormat="1" applyFont="1"/>
    <xf numFmtId="0" fontId="29" fillId="3" borderId="0" xfId="0" applyFont="1" applyFill="1"/>
    <xf numFmtId="37" fontId="37" fillId="0" borderId="0" xfId="0" applyNumberFormat="1" applyFont="1"/>
    <xf numFmtId="37" fontId="52" fillId="0" borderId="0" xfId="0" applyNumberFormat="1" applyFont="1"/>
    <xf numFmtId="37" fontId="53" fillId="0" borderId="0" xfId="0" applyNumberFormat="1" applyFont="1"/>
    <xf numFmtId="2" fontId="53" fillId="0" borderId="0" xfId="0" applyNumberFormat="1" applyFont="1" applyAlignment="1">
      <alignment wrapText="1"/>
    </xf>
    <xf numFmtId="0" fontId="37" fillId="0" borderId="0" xfId="0" applyFont="1" applyAlignment="1">
      <alignment horizontal="left"/>
    </xf>
    <xf numFmtId="0" fontId="37" fillId="0" borderId="0" xfId="2" applyFont="1" applyAlignment="1" applyProtection="1"/>
    <xf numFmtId="0" fontId="36" fillId="0" borderId="0" xfId="2" applyFont="1" applyAlignment="1" applyProtection="1"/>
    <xf numFmtId="0" fontId="36" fillId="0" borderId="0" xfId="2" applyFont="1" applyAlignment="1" applyProtection="1">
      <alignment horizontal="right"/>
    </xf>
    <xf numFmtId="165" fontId="37" fillId="2" borderId="0" xfId="1" applyNumberFormat="1" applyFont="1" applyFill="1" applyBorder="1" applyProtection="1">
      <protection locked="0"/>
    </xf>
    <xf numFmtId="165" fontId="37" fillId="0" borderId="0" xfId="1" applyNumberFormat="1" applyFont="1" applyFill="1" applyBorder="1" applyProtection="1"/>
    <xf numFmtId="0" fontId="37" fillId="0" borderId="0" xfId="2" applyFont="1" applyBorder="1" applyAlignment="1" applyProtection="1"/>
    <xf numFmtId="0" fontId="36" fillId="0" borderId="0" xfId="2" applyFont="1" applyBorder="1" applyAlignment="1" applyProtection="1"/>
    <xf numFmtId="0" fontId="36" fillId="0" borderId="0" xfId="2" applyFont="1" applyBorder="1" applyAlignment="1" applyProtection="1">
      <alignment horizontal="right"/>
    </xf>
    <xf numFmtId="0" fontId="36" fillId="0" borderId="0" xfId="2" applyFont="1" applyFill="1" applyAlignment="1" applyProtection="1"/>
    <xf numFmtId="165" fontId="37" fillId="0" borderId="0" xfId="1" applyNumberFormat="1" applyFont="1" applyFill="1" applyBorder="1" applyProtection="1">
      <protection locked="0"/>
    </xf>
    <xf numFmtId="0" fontId="29" fillId="0" borderId="7" xfId="2" applyFont="1" applyFill="1" applyBorder="1" applyAlignment="1" applyProtection="1">
      <alignment horizontal="right"/>
    </xf>
    <xf numFmtId="0" fontId="29" fillId="0" borderId="7" xfId="2" applyFont="1" applyFill="1" applyBorder="1" applyAlignment="1" applyProtection="1">
      <alignment horizontal="left"/>
    </xf>
    <xf numFmtId="0" fontId="41" fillId="0" borderId="7" xfId="2" applyFont="1" applyFill="1" applyBorder="1" applyAlignment="1" applyProtection="1"/>
    <xf numFmtId="165" fontId="29" fillId="0" borderId="7" xfId="1" applyNumberFormat="1" applyFont="1" applyFill="1" applyBorder="1"/>
    <xf numFmtId="2" fontId="29" fillId="0" borderId="0" xfId="1" applyNumberFormat="1" applyFont="1" applyFill="1" applyBorder="1"/>
    <xf numFmtId="0" fontId="37" fillId="0" borderId="6" xfId="2" applyFont="1" applyBorder="1" applyAlignment="1" applyProtection="1"/>
    <xf numFmtId="41" fontId="37" fillId="0" borderId="0" xfId="0" applyNumberFormat="1" applyFont="1"/>
    <xf numFmtId="0" fontId="29" fillId="0" borderId="2" xfId="0" applyFont="1" applyBorder="1"/>
    <xf numFmtId="0" fontId="29" fillId="0" borderId="2" xfId="2" applyFont="1" applyBorder="1" applyAlignment="1" applyProtection="1">
      <alignment horizontal="right"/>
    </xf>
    <xf numFmtId="0" fontId="29" fillId="0" borderId="2" xfId="2" applyFont="1" applyBorder="1" applyAlignment="1" applyProtection="1">
      <alignment horizontal="left"/>
    </xf>
    <xf numFmtId="0" fontId="41" fillId="0" borderId="2" xfId="2" applyFont="1" applyBorder="1" applyAlignment="1" applyProtection="1"/>
    <xf numFmtId="165" fontId="29" fillId="0" borderId="2" xfId="1" applyNumberFormat="1" applyFont="1" applyFill="1" applyBorder="1"/>
    <xf numFmtId="0" fontId="51" fillId="0" borderId="0" xfId="2" applyFont="1" applyBorder="1" applyAlignment="1" applyProtection="1">
      <alignment horizontal="left"/>
    </xf>
    <xf numFmtId="0" fontId="51" fillId="0" borderId="0" xfId="2" applyFont="1" applyBorder="1" applyAlignment="1" applyProtection="1"/>
    <xf numFmtId="0" fontId="51" fillId="0" borderId="0" xfId="2" applyFont="1" applyBorder="1" applyAlignment="1" applyProtection="1">
      <alignment horizontal="right"/>
    </xf>
    <xf numFmtId="2" fontId="37" fillId="0" borderId="0" xfId="1" applyNumberFormat="1" applyFont="1" applyFill="1" applyBorder="1"/>
    <xf numFmtId="0" fontId="29" fillId="0" borderId="0" xfId="2" applyFont="1" applyBorder="1" applyAlignment="1" applyProtection="1">
      <alignment horizontal="left"/>
    </xf>
    <xf numFmtId="0" fontId="29" fillId="0" borderId="0" xfId="2" applyFont="1" applyBorder="1" applyAlignment="1" applyProtection="1"/>
    <xf numFmtId="0" fontId="37" fillId="0" borderId="6" xfId="0" applyFont="1" applyBorder="1" applyAlignment="1">
      <alignment horizontal="left"/>
    </xf>
    <xf numFmtId="0" fontId="29" fillId="0" borderId="7" xfId="2" applyFont="1" applyBorder="1" applyAlignment="1" applyProtection="1">
      <alignment horizontal="right"/>
    </xf>
    <xf numFmtId="0" fontId="29" fillId="0" borderId="7" xfId="2" applyFont="1" applyBorder="1" applyAlignment="1" applyProtection="1">
      <alignment horizontal="left"/>
    </xf>
    <xf numFmtId="0" fontId="41" fillId="0" borderId="7" xfId="2" applyFont="1" applyBorder="1" applyAlignment="1" applyProtection="1"/>
    <xf numFmtId="0" fontId="29" fillId="0" borderId="0" xfId="2" applyFont="1" applyAlignment="1" applyProtection="1">
      <alignment horizontal="left"/>
    </xf>
    <xf numFmtId="0" fontId="29" fillId="0" borderId="0" xfId="2" applyFont="1" applyAlignment="1" applyProtection="1"/>
    <xf numFmtId="0" fontId="41" fillId="0" borderId="0" xfId="2" applyFont="1" applyAlignment="1" applyProtection="1"/>
    <xf numFmtId="0" fontId="29" fillId="0" borderId="0" xfId="2" applyFont="1" applyAlignment="1" applyProtection="1">
      <alignment horizontal="right"/>
    </xf>
    <xf numFmtId="0" fontId="29" fillId="0" borderId="7" xfId="2" applyFont="1" applyFill="1" applyBorder="1" applyAlignment="1" applyProtection="1"/>
    <xf numFmtId="165" fontId="29" fillId="0" borderId="0" xfId="1" applyNumberFormat="1" applyFont="1" applyFill="1" applyBorder="1" applyProtection="1">
      <protection locked="0"/>
    </xf>
    <xf numFmtId="0" fontId="35" fillId="0" borderId="0" xfId="2" applyFont="1" applyAlignment="1" applyProtection="1">
      <alignment horizontal="right"/>
    </xf>
    <xf numFmtId="0" fontId="41" fillId="0" borderId="0" xfId="2" applyFont="1" applyAlignment="1" applyProtection="1">
      <alignment horizontal="right"/>
    </xf>
    <xf numFmtId="165" fontId="35" fillId="0" borderId="0" xfId="1" applyNumberFormat="1" applyFont="1" applyFill="1" applyBorder="1"/>
    <xf numFmtId="0" fontId="37" fillId="0" borderId="0" xfId="2" applyFont="1" applyFill="1" applyAlignment="1" applyProtection="1">
      <alignment horizontal="left"/>
    </xf>
    <xf numFmtId="0" fontId="37" fillId="0" borderId="0" xfId="2" applyFont="1" applyFill="1" applyAlignment="1" applyProtection="1">
      <alignment horizontal="right"/>
    </xf>
    <xf numFmtId="165" fontId="53" fillId="0" borderId="0" xfId="1" applyNumberFormat="1" applyFont="1" applyFill="1" applyBorder="1"/>
    <xf numFmtId="9" fontId="53" fillId="0" borderId="0" xfId="3" applyFont="1" applyFill="1" applyBorder="1"/>
    <xf numFmtId="0" fontId="36" fillId="0" borderId="7" xfId="2" applyFont="1" applyBorder="1" applyAlignment="1" applyProtection="1">
      <alignment horizontal="right"/>
    </xf>
    <xf numFmtId="9" fontId="29" fillId="0" borderId="0" xfId="3" applyFont="1" applyFill="1" applyBorder="1"/>
    <xf numFmtId="0" fontId="29" fillId="0" borderId="2" xfId="2" applyFont="1" applyFill="1" applyBorder="1" applyAlignment="1" applyProtection="1">
      <alignment horizontal="left"/>
    </xf>
    <xf numFmtId="0" fontId="41" fillId="0" borderId="2" xfId="2" applyFont="1" applyFill="1" applyBorder="1" applyAlignment="1" applyProtection="1"/>
    <xf numFmtId="0" fontId="29" fillId="0" borderId="2" xfId="2" applyFont="1" applyFill="1" applyBorder="1" applyAlignment="1" applyProtection="1">
      <alignment horizontal="right"/>
    </xf>
    <xf numFmtId="37" fontId="54" fillId="0" borderId="0" xfId="0" applyNumberFormat="1" applyFont="1"/>
    <xf numFmtId="0" fontId="37" fillId="0" borderId="0" xfId="0" applyFont="1" applyAlignment="1">
      <alignment horizontal="right"/>
    </xf>
    <xf numFmtId="2" fontId="37" fillId="0" borderId="0" xfId="0" applyNumberFormat="1" applyFont="1"/>
    <xf numFmtId="41" fontId="37" fillId="2" borderId="0" xfId="0" applyNumberFormat="1" applyFont="1" applyFill="1"/>
    <xf numFmtId="165" fontId="37" fillId="2" borderId="0" xfId="0" applyNumberFormat="1" applyFont="1" applyFill="1"/>
    <xf numFmtId="9" fontId="37" fillId="0" borderId="0" xfId="3" applyFont="1" applyBorder="1"/>
    <xf numFmtId="0" fontId="29" fillId="0" borderId="6" xfId="0" applyFont="1" applyBorder="1" applyAlignment="1">
      <alignment horizontal="left"/>
    </xf>
    <xf numFmtId="0" fontId="41" fillId="0" borderId="0" xfId="2" applyFont="1" applyFill="1" applyBorder="1" applyAlignment="1" applyProtection="1">
      <alignment horizontal="right"/>
    </xf>
    <xf numFmtId="0" fontId="37" fillId="0" borderId="0" xfId="2" applyFont="1" applyAlignment="1" applyProtection="1">
      <alignment horizontal="left"/>
    </xf>
    <xf numFmtId="0" fontId="36" fillId="0" borderId="0" xfId="0" applyFont="1" applyAlignment="1">
      <alignment horizontal="left"/>
    </xf>
    <xf numFmtId="0" fontId="37" fillId="4" borderId="5" xfId="4" applyFont="1" applyFill="1" applyBorder="1" applyAlignment="1">
      <alignment horizontal="left"/>
    </xf>
    <xf numFmtId="0" fontId="36" fillId="0" borderId="0" xfId="0" applyFont="1" applyAlignment="1">
      <alignment horizontal="right"/>
    </xf>
    <xf numFmtId="0" fontId="41" fillId="0" borderId="0" xfId="0" applyFont="1" applyAlignment="1">
      <alignment horizontal="left"/>
    </xf>
    <xf numFmtId="0" fontId="50" fillId="0" borderId="0" xfId="2" applyFont="1" applyFill="1" applyBorder="1" applyAlignment="1" applyProtection="1"/>
    <xf numFmtId="0" fontId="41" fillId="0" borderId="0" xfId="2" applyFont="1" applyFill="1" applyBorder="1" applyAlignment="1" applyProtection="1">
      <alignment horizontal="center" wrapText="1"/>
    </xf>
    <xf numFmtId="0" fontId="29" fillId="0" borderId="6" xfId="0" applyFont="1" applyBorder="1" applyAlignment="1" applyProtection="1">
      <alignment horizontal="center"/>
      <protection locked="0"/>
    </xf>
    <xf numFmtId="0" fontId="36" fillId="0" borderId="0" xfId="0" applyFont="1" applyAlignment="1">
      <alignment horizontal="center"/>
    </xf>
    <xf numFmtId="0" fontId="53" fillId="0" borderId="0" xfId="0" applyFont="1"/>
    <xf numFmtId="0" fontId="41" fillId="0" borderId="0" xfId="0" applyFont="1" applyAlignment="1">
      <alignment horizontal="center"/>
    </xf>
    <xf numFmtId="9" fontId="29" fillId="0" borderId="0" xfId="0" applyNumberFormat="1" applyFont="1"/>
    <xf numFmtId="9" fontId="37" fillId="0" borderId="0" xfId="0" applyNumberFormat="1" applyFont="1"/>
    <xf numFmtId="9" fontId="29" fillId="0" borderId="7" xfId="0" applyNumberFormat="1" applyFont="1" applyBorder="1" applyAlignment="1">
      <alignment horizontal="right"/>
    </xf>
    <xf numFmtId="9" fontId="29" fillId="0" borderId="7" xfId="0" applyNumberFormat="1" applyFont="1" applyBorder="1"/>
    <xf numFmtId="0" fontId="36" fillId="0" borderId="7" xfId="0" applyFont="1" applyBorder="1"/>
    <xf numFmtId="0" fontId="37" fillId="0" borderId="7" xfId="0" applyFont="1" applyBorder="1" applyAlignment="1">
      <alignment horizontal="right"/>
    </xf>
    <xf numFmtId="0" fontId="36" fillId="0" borderId="7" xfId="0" applyFont="1" applyBorder="1" applyAlignment="1">
      <alignment horizontal="center"/>
    </xf>
    <xf numFmtId="165" fontId="37" fillId="2" borderId="7" xfId="1" applyNumberFormat="1" applyFont="1" applyFill="1" applyBorder="1"/>
    <xf numFmtId="9" fontId="29" fillId="0" borderId="0" xfId="2" applyNumberFormat="1" applyFont="1" applyFill="1" applyBorder="1" applyAlignment="1" applyProtection="1"/>
    <xf numFmtId="9" fontId="37" fillId="0" borderId="0" xfId="2" applyNumberFormat="1" applyFont="1" applyFill="1" applyBorder="1" applyAlignment="1" applyProtection="1"/>
    <xf numFmtId="165" fontId="37" fillId="2" borderId="0" xfId="1" applyNumberFormat="1" applyFont="1" applyFill="1" applyBorder="1"/>
    <xf numFmtId="9" fontId="37" fillId="0" borderId="0" xfId="2" applyNumberFormat="1" applyFont="1" applyFill="1" applyAlignment="1" applyProtection="1"/>
    <xf numFmtId="9" fontId="37" fillId="0" borderId="0" xfId="2" applyNumberFormat="1" applyFont="1" applyAlignment="1" applyProtection="1"/>
    <xf numFmtId="9" fontId="29" fillId="0" borderId="0" xfId="2" applyNumberFormat="1" applyFont="1" applyAlignment="1" applyProtection="1">
      <alignment horizontal="left"/>
    </xf>
    <xf numFmtId="9" fontId="29" fillId="0" borderId="0" xfId="2" applyNumberFormat="1" applyFont="1" applyAlignment="1" applyProtection="1"/>
    <xf numFmtId="9" fontId="44" fillId="0" borderId="0" xfId="2" applyNumberFormat="1" applyFont="1" applyAlignment="1" applyProtection="1">
      <alignment horizontal="left"/>
    </xf>
    <xf numFmtId="9" fontId="37" fillId="0" borderId="0" xfId="2" applyNumberFormat="1" applyFont="1" applyAlignment="1" applyProtection="1">
      <alignment horizontal="left"/>
    </xf>
    <xf numFmtId="9" fontId="29" fillId="0" borderId="7" xfId="2" applyNumberFormat="1" applyFont="1" applyBorder="1" applyAlignment="1" applyProtection="1">
      <alignment horizontal="right"/>
    </xf>
    <xf numFmtId="9" fontId="29" fillId="0" borderId="7" xfId="2" applyNumberFormat="1" applyFont="1" applyBorder="1" applyAlignment="1" applyProtection="1">
      <alignment horizontal="left"/>
    </xf>
    <xf numFmtId="9" fontId="33" fillId="0" borderId="0" xfId="0" applyNumberFormat="1" applyFont="1"/>
    <xf numFmtId="9" fontId="35" fillId="0" borderId="0" xfId="2" applyNumberFormat="1" applyFont="1" applyBorder="1" applyAlignment="1" applyProtection="1">
      <alignment horizontal="right"/>
    </xf>
    <xf numFmtId="9" fontId="35" fillId="0" borderId="0" xfId="2" applyNumberFormat="1" applyFont="1" applyBorder="1" applyAlignment="1" applyProtection="1">
      <alignment horizontal="left"/>
    </xf>
    <xf numFmtId="0" fontId="33" fillId="0" borderId="0" xfId="0" applyFont="1" applyAlignment="1">
      <alignment horizontal="right"/>
    </xf>
    <xf numFmtId="0" fontId="33" fillId="0" borderId="0" xfId="0" applyFont="1" applyAlignment="1">
      <alignment horizontal="center"/>
    </xf>
    <xf numFmtId="165" fontId="33" fillId="0" borderId="0" xfId="1" applyNumberFormat="1" applyFont="1" applyBorder="1"/>
    <xf numFmtId="2" fontId="33" fillId="0" borderId="0" xfId="1" applyNumberFormat="1" applyFont="1" applyFill="1" applyBorder="1"/>
    <xf numFmtId="9" fontId="29" fillId="0" borderId="0" xfId="2" applyNumberFormat="1" applyFont="1" applyFill="1" applyAlignment="1" applyProtection="1">
      <alignment horizontal="left"/>
    </xf>
    <xf numFmtId="9" fontId="29" fillId="0" borderId="0" xfId="2" applyNumberFormat="1" applyFont="1" applyFill="1" applyAlignment="1" applyProtection="1">
      <alignment horizontal="right"/>
    </xf>
    <xf numFmtId="9" fontId="49" fillId="0" borderId="0" xfId="2" applyNumberFormat="1" applyFont="1" applyAlignment="1" applyProtection="1">
      <alignment horizontal="left"/>
    </xf>
    <xf numFmtId="9" fontId="46" fillId="0" borderId="0" xfId="2" applyNumberFormat="1" applyFont="1" applyAlignment="1" applyProtection="1"/>
    <xf numFmtId="9" fontId="29" fillId="0" borderId="0" xfId="2" applyNumberFormat="1" applyFont="1" applyAlignment="1" applyProtection="1">
      <alignment horizontal="right"/>
    </xf>
    <xf numFmtId="9" fontId="29" fillId="0" borderId="0" xfId="2" applyNumberFormat="1" applyFont="1" applyBorder="1" applyAlignment="1" applyProtection="1">
      <alignment horizontal="left"/>
    </xf>
    <xf numFmtId="9" fontId="37" fillId="0" borderId="0" xfId="2" applyNumberFormat="1" applyFont="1" applyFill="1" applyAlignment="1" applyProtection="1">
      <alignment horizontal="left"/>
    </xf>
    <xf numFmtId="9" fontId="35" fillId="0" borderId="0" xfId="2" applyNumberFormat="1" applyFont="1" applyAlignment="1" applyProtection="1">
      <alignment horizontal="right"/>
    </xf>
    <xf numFmtId="165" fontId="33" fillId="0" borderId="0" xfId="0" applyNumberFormat="1" applyFont="1" applyAlignment="1">
      <alignment horizontal="center"/>
    </xf>
    <xf numFmtId="9" fontId="29" fillId="0" borderId="0" xfId="2" applyNumberFormat="1" applyFont="1" applyFill="1" applyBorder="1" applyAlignment="1" applyProtection="1">
      <alignment horizontal="left"/>
    </xf>
    <xf numFmtId="9" fontId="37" fillId="0" borderId="0" xfId="2" applyNumberFormat="1" applyFont="1" applyFill="1" applyBorder="1" applyAlignment="1" applyProtection="1">
      <alignment horizontal="left"/>
    </xf>
    <xf numFmtId="9" fontId="29" fillId="0" borderId="7" xfId="2" applyNumberFormat="1" applyFont="1" applyFill="1" applyBorder="1" applyAlignment="1" applyProtection="1">
      <alignment horizontal="right"/>
    </xf>
    <xf numFmtId="9" fontId="29" fillId="0" borderId="7" xfId="2" applyNumberFormat="1" applyFont="1" applyFill="1" applyBorder="1" applyAlignment="1" applyProtection="1">
      <alignment horizontal="left"/>
    </xf>
    <xf numFmtId="9" fontId="29" fillId="0" borderId="2" xfId="2" applyNumberFormat="1" applyFont="1" applyBorder="1" applyAlignment="1" applyProtection="1">
      <alignment horizontal="right"/>
    </xf>
    <xf numFmtId="9" fontId="29" fillId="0" borderId="2" xfId="2" applyNumberFormat="1" applyFont="1" applyBorder="1" applyAlignment="1" applyProtection="1">
      <alignment horizontal="left"/>
    </xf>
    <xf numFmtId="0" fontId="36" fillId="0" borderId="2" xfId="0" applyFont="1" applyBorder="1"/>
    <xf numFmtId="0" fontId="37" fillId="0" borderId="2" xfId="0" applyFont="1" applyBorder="1" applyAlignment="1">
      <alignment horizontal="right"/>
    </xf>
    <xf numFmtId="0" fontId="36" fillId="0" borderId="2" xfId="0" applyFont="1" applyBorder="1" applyAlignment="1">
      <alignment horizontal="center"/>
    </xf>
    <xf numFmtId="9" fontId="37" fillId="0" borderId="0" xfId="0" applyNumberFormat="1" applyFont="1" applyAlignment="1">
      <alignment horizontal="left"/>
    </xf>
    <xf numFmtId="165" fontId="33" fillId="0" borderId="0" xfId="0" applyNumberFormat="1" applyFont="1"/>
    <xf numFmtId="9" fontId="29" fillId="0" borderId="0" xfId="2" applyNumberFormat="1" applyFont="1" applyBorder="1" applyAlignment="1" applyProtection="1"/>
    <xf numFmtId="9" fontId="44" fillId="0" borderId="0" xfId="2" applyNumberFormat="1" applyFont="1" applyFill="1" applyBorder="1" applyAlignment="1" applyProtection="1"/>
    <xf numFmtId="9" fontId="44" fillId="0" borderId="0" xfId="2" applyNumberFormat="1" applyFont="1" applyFill="1" applyBorder="1" applyAlignment="1" applyProtection="1">
      <alignment horizontal="left"/>
    </xf>
    <xf numFmtId="9" fontId="29" fillId="0" borderId="0" xfId="0" applyNumberFormat="1" applyFont="1" applyAlignment="1">
      <alignment horizontal="left"/>
    </xf>
    <xf numFmtId="165" fontId="37" fillId="0" borderId="6" xfId="1" applyNumberFormat="1" applyFont="1" applyBorder="1"/>
    <xf numFmtId="165" fontId="37" fillId="2" borderId="6" xfId="1" applyNumberFormat="1" applyFont="1" applyFill="1" applyBorder="1"/>
    <xf numFmtId="9" fontId="33" fillId="0" borderId="0" xfId="0" applyNumberFormat="1" applyFont="1" applyAlignment="1">
      <alignment horizontal="left"/>
    </xf>
    <xf numFmtId="9" fontId="35" fillId="0" borderId="0" xfId="0" applyNumberFormat="1" applyFont="1"/>
    <xf numFmtId="0" fontId="33" fillId="0" borderId="0" xfId="2" applyFont="1" applyFill="1" applyBorder="1" applyAlignment="1" applyProtection="1">
      <alignment horizontal="right"/>
    </xf>
    <xf numFmtId="165" fontId="36" fillId="0" borderId="0" xfId="0" applyNumberFormat="1" applyFont="1"/>
    <xf numFmtId="2" fontId="37" fillId="0" borderId="0" xfId="0" applyNumberFormat="1" applyFont="1" applyAlignment="1">
      <alignment horizontal="center"/>
    </xf>
    <xf numFmtId="9" fontId="29" fillId="0" borderId="7" xfId="2" applyNumberFormat="1" applyFont="1" applyFill="1" applyBorder="1" applyAlignment="1" applyProtection="1"/>
    <xf numFmtId="9" fontId="35" fillId="0" borderId="0" xfId="0" applyNumberFormat="1" applyFont="1" applyAlignment="1">
      <alignment horizontal="left"/>
    </xf>
    <xf numFmtId="9" fontId="35" fillId="0" borderId="0" xfId="0" applyNumberFormat="1" applyFont="1" applyAlignment="1">
      <alignment horizontal="right"/>
    </xf>
    <xf numFmtId="2" fontId="33" fillId="0" borderId="0" xfId="0" applyNumberFormat="1" applyFont="1"/>
    <xf numFmtId="9" fontId="29" fillId="0" borderId="0" xfId="0" applyNumberFormat="1" applyFont="1" applyAlignment="1">
      <alignment horizontal="right"/>
    </xf>
    <xf numFmtId="9" fontId="29" fillId="0" borderId="13" xfId="2" applyNumberFormat="1" applyFont="1" applyBorder="1" applyAlignment="1" applyProtection="1">
      <alignment horizontal="right"/>
    </xf>
    <xf numFmtId="0" fontId="32" fillId="13" borderId="0" xfId="0" applyFont="1" applyFill="1" applyAlignment="1">
      <alignment horizontal="left"/>
    </xf>
    <xf numFmtId="0" fontId="32" fillId="13" borderId="0" xfId="0" applyFont="1" applyFill="1"/>
    <xf numFmtId="0" fontId="34" fillId="13" borderId="0" xfId="0" applyFont="1" applyFill="1"/>
    <xf numFmtId="0" fontId="34" fillId="13" borderId="0" xfId="0" applyFont="1" applyFill="1" applyAlignment="1">
      <alignment horizontal="right"/>
    </xf>
    <xf numFmtId="0" fontId="34" fillId="13" borderId="0" xfId="0" applyFont="1" applyFill="1" applyAlignment="1">
      <alignment horizontal="center"/>
    </xf>
    <xf numFmtId="0" fontId="34" fillId="0" borderId="0" xfId="0" applyFont="1" applyAlignment="1">
      <alignment horizontal="center"/>
    </xf>
    <xf numFmtId="2" fontId="34" fillId="0" borderId="0" xfId="0" applyNumberFormat="1" applyFont="1"/>
    <xf numFmtId="0" fontId="34" fillId="0" borderId="0" xfId="0" applyFont="1"/>
    <xf numFmtId="0" fontId="36" fillId="0" borderId="0" xfId="2" applyFont="1" applyBorder="1" applyAlignment="1" applyProtection="1">
      <alignment horizontal="center"/>
    </xf>
    <xf numFmtId="0" fontId="36" fillId="0" borderId="0" xfId="2" applyFont="1" applyFill="1" applyBorder="1" applyAlignment="1" applyProtection="1">
      <alignment horizontal="center"/>
    </xf>
    <xf numFmtId="0" fontId="29" fillId="0" borderId="7" xfId="0" applyFont="1" applyBorder="1" applyAlignment="1">
      <alignment horizontal="left"/>
    </xf>
    <xf numFmtId="0" fontId="41" fillId="0" borderId="7" xfId="0" applyFont="1" applyBorder="1"/>
    <xf numFmtId="0" fontId="50" fillId="0" borderId="7" xfId="2" applyFont="1" applyFill="1" applyBorder="1" applyAlignment="1" applyProtection="1">
      <alignment horizontal="right"/>
    </xf>
    <xf numFmtId="0" fontId="41" fillId="0" borderId="7" xfId="2" applyFont="1" applyFill="1" applyBorder="1" applyAlignment="1" applyProtection="1">
      <alignment horizontal="center"/>
    </xf>
    <xf numFmtId="0" fontId="41" fillId="0" borderId="0" xfId="2" applyFont="1" applyFill="1" applyBorder="1" applyAlignment="1" applyProtection="1">
      <alignment horizontal="center"/>
    </xf>
    <xf numFmtId="0" fontId="50" fillId="0" borderId="0" xfId="2" applyFont="1" applyFill="1" applyBorder="1" applyAlignment="1" applyProtection="1">
      <alignment horizontal="right"/>
    </xf>
    <xf numFmtId="0" fontId="51" fillId="0" borderId="0" xfId="2" applyFont="1" applyFill="1" applyBorder="1" applyAlignment="1" applyProtection="1">
      <alignment horizontal="right"/>
    </xf>
    <xf numFmtId="9" fontId="37" fillId="0" borderId="0" xfId="3" applyFont="1" applyFill="1" applyBorder="1"/>
    <xf numFmtId="0" fontId="51" fillId="0" borderId="7" xfId="2" applyFont="1" applyFill="1" applyBorder="1" applyAlignment="1" applyProtection="1">
      <alignment horizontal="right"/>
    </xf>
    <xf numFmtId="0" fontId="36" fillId="0" borderId="7" xfId="2" applyFont="1" applyFill="1" applyBorder="1" applyAlignment="1" applyProtection="1">
      <alignment horizontal="center"/>
    </xf>
    <xf numFmtId="0" fontId="41" fillId="0" borderId="7" xfId="0" applyFont="1" applyBorder="1" applyAlignment="1">
      <alignment horizontal="center"/>
    </xf>
    <xf numFmtId="165" fontId="29" fillId="0" borderId="7" xfId="0" applyNumberFormat="1" applyFont="1" applyBorder="1"/>
    <xf numFmtId="43" fontId="33" fillId="0" borderId="0" xfId="1" applyFont="1" applyFill="1" applyBorder="1"/>
    <xf numFmtId="0" fontId="51" fillId="0" borderId="0" xfId="2" applyFont="1" applyFill="1" applyBorder="1" applyAlignment="1" applyProtection="1">
      <alignment horizontal="left"/>
    </xf>
    <xf numFmtId="0" fontId="37" fillId="0" borderId="0" xfId="2" applyFont="1" applyFill="1" applyBorder="1" applyAlignment="1" applyProtection="1">
      <alignment horizontal="right"/>
    </xf>
    <xf numFmtId="43" fontId="36" fillId="0" borderId="0" xfId="0" applyNumberFormat="1" applyFont="1"/>
    <xf numFmtId="0" fontId="35" fillId="0" borderId="0" xfId="0" applyFont="1" applyAlignment="1">
      <alignment horizontal="left"/>
    </xf>
    <xf numFmtId="0" fontId="33" fillId="0" borderId="0" xfId="2" applyFont="1" applyFill="1" applyBorder="1" applyAlignment="1" applyProtection="1">
      <alignment horizontal="left"/>
    </xf>
    <xf numFmtId="0" fontId="33" fillId="0" borderId="0" xfId="2" applyFont="1" applyFill="1" applyBorder="1" applyAlignment="1" applyProtection="1">
      <alignment horizontal="center"/>
    </xf>
    <xf numFmtId="41" fontId="33" fillId="0" borderId="0" xfId="0" applyNumberFormat="1" applyFont="1"/>
    <xf numFmtId="0" fontId="37" fillId="0" borderId="7" xfId="0" applyFont="1" applyBorder="1"/>
    <xf numFmtId="0" fontId="29" fillId="0" borderId="7" xfId="0" applyFont="1" applyBorder="1"/>
    <xf numFmtId="165" fontId="37" fillId="16" borderId="0" xfId="1" applyNumberFormat="1" applyFont="1" applyFill="1" applyBorder="1"/>
    <xf numFmtId="0" fontId="33" fillId="0" borderId="0" xfId="0" applyFont="1" applyAlignment="1">
      <alignment horizontal="left"/>
    </xf>
    <xf numFmtId="0" fontId="29" fillId="0" borderId="2" xfId="0" applyFont="1" applyBorder="1" applyAlignment="1">
      <alignment horizontal="right"/>
    </xf>
    <xf numFmtId="0" fontId="29" fillId="0" borderId="2" xfId="0" applyFont="1" applyBorder="1" applyAlignment="1">
      <alignment horizontal="left"/>
    </xf>
    <xf numFmtId="0" fontId="41" fillId="0" borderId="2" xfId="0" applyFont="1" applyBorder="1"/>
    <xf numFmtId="0" fontId="41" fillId="0" borderId="2" xfId="0" applyFont="1" applyBorder="1" applyAlignment="1">
      <alignment horizontal="center"/>
    </xf>
    <xf numFmtId="41" fontId="29" fillId="0" borderId="7" xfId="0" applyNumberFormat="1" applyFont="1" applyBorder="1"/>
    <xf numFmtId="0" fontId="29" fillId="0" borderId="5" xfId="0" applyFont="1" applyBorder="1" applyAlignment="1">
      <alignment horizontal="left"/>
    </xf>
    <xf numFmtId="165" fontId="37" fillId="0" borderId="6" xfId="1" applyNumberFormat="1" applyFont="1" applyFill="1" applyBorder="1"/>
    <xf numFmtId="0" fontId="29" fillId="0" borderId="0" xfId="0" applyFont="1" applyAlignment="1">
      <alignment horizontal="left" indent="1"/>
    </xf>
    <xf numFmtId="165" fontId="46" fillId="4" borderId="0" xfId="1" applyNumberFormat="1" applyFont="1" applyFill="1" applyProtection="1">
      <protection locked="0"/>
    </xf>
    <xf numFmtId="0" fontId="44" fillId="0" borderId="0" xfId="0" applyFont="1" applyAlignment="1">
      <alignment horizontal="right"/>
    </xf>
    <xf numFmtId="0" fontId="55" fillId="0" borderId="0" xfId="49" applyFont="1"/>
    <xf numFmtId="0" fontId="34" fillId="17" borderId="8" xfId="49" applyFont="1" applyFill="1" applyBorder="1" applyAlignment="1">
      <alignment horizontal="center" vertical="center"/>
    </xf>
    <xf numFmtId="0" fontId="28" fillId="0" borderId="3" xfId="49" applyFont="1" applyBorder="1"/>
    <xf numFmtId="165" fontId="37" fillId="2" borderId="6" xfId="0" applyNumberFormat="1" applyFont="1" applyFill="1" applyBorder="1"/>
    <xf numFmtId="0" fontId="37" fillId="0" borderId="0" xfId="4" applyFont="1" applyAlignment="1">
      <alignment wrapText="1"/>
    </xf>
    <xf numFmtId="0" fontId="47" fillId="0" borderId="7" xfId="2" applyFont="1" applyFill="1" applyBorder="1" applyAlignment="1" applyProtection="1">
      <alignment horizontal="center"/>
    </xf>
    <xf numFmtId="0" fontId="29" fillId="0" borderId="7" xfId="0" applyFont="1" applyBorder="1" applyAlignment="1">
      <alignment wrapText="1"/>
    </xf>
    <xf numFmtId="0" fontId="47" fillId="0" borderId="0" xfId="0" applyFont="1" applyAlignment="1">
      <alignment horizontal="center"/>
    </xf>
    <xf numFmtId="0" fontId="29" fillId="0" borderId="0" xfId="0" applyFont="1" applyAlignment="1">
      <alignment wrapText="1"/>
    </xf>
    <xf numFmtId="0" fontId="49" fillId="0" borderId="0" xfId="0" applyFont="1" applyAlignment="1">
      <alignment horizontal="center"/>
    </xf>
    <xf numFmtId="0" fontId="47" fillId="0" borderId="0" xfId="2" applyFont="1" applyFill="1" applyAlignment="1" applyProtection="1">
      <alignment horizontal="center"/>
    </xf>
    <xf numFmtId="0" fontId="46" fillId="0" borderId="0" xfId="0" applyFont="1" applyAlignment="1">
      <alignment horizontal="center"/>
    </xf>
    <xf numFmtId="9" fontId="37" fillId="0" borderId="0" xfId="2" applyNumberFormat="1" applyFont="1" applyBorder="1" applyAlignment="1" applyProtection="1"/>
    <xf numFmtId="9" fontId="37" fillId="0" borderId="0" xfId="2" applyNumberFormat="1" applyFont="1" applyBorder="1" applyAlignment="1" applyProtection="1">
      <alignment horizontal="left"/>
    </xf>
    <xf numFmtId="9" fontId="29" fillId="0" borderId="0" xfId="2" applyNumberFormat="1" applyFont="1" applyFill="1" applyBorder="1" applyAlignment="1" applyProtection="1">
      <alignment horizontal="right"/>
    </xf>
    <xf numFmtId="9" fontId="49" fillId="0" borderId="0" xfId="2" applyNumberFormat="1" applyFont="1" applyBorder="1" applyAlignment="1" applyProtection="1">
      <alignment horizontal="left"/>
    </xf>
    <xf numFmtId="9" fontId="46" fillId="0" borderId="0" xfId="2" applyNumberFormat="1" applyFont="1" applyBorder="1" applyAlignment="1" applyProtection="1"/>
    <xf numFmtId="9" fontId="29" fillId="0" borderId="0" xfId="2" applyNumberFormat="1" applyFont="1" applyBorder="1" applyAlignment="1" applyProtection="1">
      <alignment horizontal="right"/>
    </xf>
    <xf numFmtId="9" fontId="29" fillId="0" borderId="13" xfId="2" applyNumberFormat="1" applyFont="1" applyBorder="1" applyAlignment="1" applyProtection="1">
      <alignment horizontal="left"/>
    </xf>
    <xf numFmtId="0" fontId="44" fillId="0" borderId="0" xfId="0" applyFont="1" applyAlignment="1">
      <alignment horizontal="center"/>
    </xf>
    <xf numFmtId="0" fontId="6" fillId="0" borderId="0" xfId="38" applyFont="1" applyAlignment="1">
      <alignment horizontal="center"/>
    </xf>
    <xf numFmtId="0" fontId="6" fillId="0" borderId="0" xfId="38" applyFont="1"/>
    <xf numFmtId="0" fontId="6" fillId="0" borderId="0" xfId="49" applyFont="1"/>
    <xf numFmtId="0" fontId="33" fillId="0" borderId="0" xfId="49" applyFont="1"/>
    <xf numFmtId="165" fontId="37" fillId="0" borderId="0" xfId="50" applyNumberFormat="1" applyFont="1"/>
    <xf numFmtId="10" fontId="37" fillId="0" borderId="0" xfId="51" applyNumberFormat="1" applyFont="1"/>
    <xf numFmtId="0" fontId="44" fillId="0" borderId="0" xfId="0" applyFont="1"/>
    <xf numFmtId="165" fontId="29" fillId="0" borderId="24" xfId="1" applyNumberFormat="1" applyFont="1" applyBorder="1"/>
    <xf numFmtId="165" fontId="29" fillId="0" borderId="2" xfId="1" applyNumberFormat="1" applyFont="1" applyBorder="1"/>
    <xf numFmtId="165" fontId="37" fillId="18" borderId="26" xfId="1" applyNumberFormat="1" applyFont="1" applyFill="1" applyBorder="1"/>
    <xf numFmtId="0" fontId="50" fillId="18" borderId="26" xfId="2" applyFont="1" applyFill="1" applyBorder="1" applyAlignment="1" applyProtection="1">
      <alignment horizontal="right"/>
    </xf>
    <xf numFmtId="0" fontId="50" fillId="0" borderId="7" xfId="2" applyFont="1" applyFill="1" applyBorder="1" applyAlignment="1" applyProtection="1">
      <alignment horizontal="left"/>
    </xf>
    <xf numFmtId="165" fontId="29" fillId="0" borderId="0" xfId="1" applyNumberFormat="1" applyFont="1" applyBorder="1"/>
    <xf numFmtId="165" fontId="29" fillId="0" borderId="13" xfId="1" applyNumberFormat="1" applyFont="1" applyBorder="1"/>
    <xf numFmtId="165" fontId="29" fillId="0" borderId="6" xfId="1" applyNumberFormat="1" applyFont="1" applyBorder="1"/>
    <xf numFmtId="9" fontId="37" fillId="0" borderId="6" xfId="2" applyNumberFormat="1" applyFont="1" applyBorder="1" applyAlignment="1" applyProtection="1">
      <alignment horizontal="left"/>
    </xf>
    <xf numFmtId="9" fontId="37" fillId="0" borderId="6" xfId="2" applyNumberFormat="1" applyFont="1" applyBorder="1" applyAlignment="1" applyProtection="1"/>
    <xf numFmtId="9" fontId="37" fillId="0" borderId="6" xfId="0" applyNumberFormat="1" applyFont="1" applyBorder="1"/>
    <xf numFmtId="9" fontId="29" fillId="0" borderId="6" xfId="2" applyNumberFormat="1" applyFont="1" applyBorder="1" applyAlignment="1" applyProtection="1">
      <alignment horizontal="right"/>
    </xf>
    <xf numFmtId="9" fontId="29" fillId="0" borderId="6" xfId="2" applyNumberFormat="1" applyFont="1" applyBorder="1" applyAlignment="1" applyProtection="1">
      <alignment horizontal="left"/>
    </xf>
    <xf numFmtId="165" fontId="44" fillId="0" borderId="0" xfId="0" applyNumberFormat="1" applyFont="1"/>
    <xf numFmtId="9" fontId="40" fillId="0" borderId="0" xfId="2" applyNumberFormat="1" applyFont="1" applyBorder="1" applyAlignment="1" applyProtection="1">
      <alignment horizontal="left"/>
    </xf>
    <xf numFmtId="0" fontId="44" fillId="0" borderId="0" xfId="0" applyFont="1" applyAlignment="1">
      <alignment horizontal="left"/>
    </xf>
    <xf numFmtId="9" fontId="40" fillId="0" borderId="0" xfId="0" applyNumberFormat="1" applyFont="1"/>
    <xf numFmtId="0" fontId="40" fillId="0" borderId="0" xfId="0" applyFont="1" applyAlignment="1">
      <alignment horizontal="right"/>
    </xf>
    <xf numFmtId="165" fontId="46" fillId="0" borderId="0" xfId="1" applyNumberFormat="1" applyFont="1" applyFill="1" applyBorder="1" applyProtection="1">
      <protection locked="0"/>
    </xf>
    <xf numFmtId="165" fontId="46" fillId="4" borderId="0" xfId="1" applyNumberFormat="1" applyFont="1" applyFill="1" applyBorder="1" applyProtection="1">
      <protection locked="0"/>
    </xf>
    <xf numFmtId="0" fontId="48" fillId="4" borderId="0" xfId="4" applyFont="1" applyFill="1" applyAlignment="1" applyProtection="1">
      <alignment horizontal="center"/>
      <protection locked="0"/>
    </xf>
    <xf numFmtId="0" fontId="48" fillId="0" borderId="0" xfId="2" applyFont="1" applyFill="1" applyBorder="1" applyAlignment="1" applyProtection="1">
      <alignment horizontal="center"/>
    </xf>
    <xf numFmtId="0" fontId="31" fillId="4" borderId="0" xfId="4" applyFont="1" applyFill="1" applyAlignment="1" applyProtection="1">
      <alignment horizontal="center"/>
      <protection locked="0"/>
    </xf>
    <xf numFmtId="0" fontId="31" fillId="0" borderId="0" xfId="0" applyFont="1" applyAlignment="1">
      <alignment horizontal="center"/>
    </xf>
    <xf numFmtId="0" fontId="49" fillId="3" borderId="0" xfId="0" applyFont="1" applyFill="1" applyAlignment="1">
      <alignment horizontal="center"/>
    </xf>
    <xf numFmtId="0" fontId="56" fillId="0" borderId="0" xfId="2" applyFont="1" applyBorder="1" applyAlignment="1" applyProtection="1">
      <alignment horizontal="center"/>
    </xf>
    <xf numFmtId="0" fontId="49" fillId="0" borderId="7" xfId="0" applyFont="1" applyBorder="1" applyAlignment="1">
      <alignment horizontal="center"/>
    </xf>
    <xf numFmtId="0" fontId="47" fillId="0" borderId="0" xfId="2" applyFont="1" applyBorder="1" applyAlignment="1" applyProtection="1">
      <alignment horizontal="center"/>
    </xf>
    <xf numFmtId="0" fontId="46" fillId="0" borderId="2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44" fillId="0" borderId="0" xfId="2" applyFont="1" applyFill="1" applyBorder="1" applyAlignment="1" applyProtection="1">
      <alignment horizontal="center"/>
    </xf>
    <xf numFmtId="0" fontId="57" fillId="0" borderId="0" xfId="2" applyFont="1" applyBorder="1" applyAlignment="1" applyProtection="1">
      <alignment horizontal="center"/>
    </xf>
    <xf numFmtId="0" fontId="49" fillId="0" borderId="13" xfId="0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47" fillId="0" borderId="0" xfId="2" applyFont="1" applyFill="1" applyBorder="1" applyAlignment="1" applyProtection="1">
      <alignment horizontal="center"/>
    </xf>
    <xf numFmtId="0" fontId="46" fillId="0" borderId="24" xfId="0" applyFont="1" applyBorder="1" applyAlignment="1">
      <alignment horizontal="center"/>
    </xf>
    <xf numFmtId="0" fontId="49" fillId="0" borderId="6" xfId="0" applyFont="1" applyBorder="1" applyAlignment="1">
      <alignment horizontal="center"/>
    </xf>
    <xf numFmtId="0" fontId="29" fillId="0" borderId="0" xfId="0" applyFont="1" applyAlignment="1" applyProtection="1">
      <alignment horizontal="center"/>
      <protection locked="0"/>
    </xf>
    <xf numFmtId="0" fontId="58" fillId="0" borderId="0" xfId="2" applyFont="1" applyFill="1" applyAlignment="1" applyProtection="1">
      <alignment horizontal="center"/>
    </xf>
    <xf numFmtId="3" fontId="37" fillId="4" borderId="0" xfId="4" applyNumberFormat="1" applyFont="1" applyFill="1" applyAlignment="1" applyProtection="1">
      <alignment vertical="center"/>
      <protection locked="0"/>
    </xf>
    <xf numFmtId="3" fontId="37" fillId="4" borderId="1" xfId="4" applyNumberFormat="1" applyFont="1" applyFill="1" applyBorder="1" applyAlignment="1" applyProtection="1">
      <alignment vertical="center"/>
      <protection locked="0"/>
    </xf>
    <xf numFmtId="0" fontId="48" fillId="0" borderId="0" xfId="4" applyFont="1" applyAlignment="1" applyProtection="1">
      <alignment horizontal="center"/>
      <protection locked="0"/>
    </xf>
    <xf numFmtId="37" fontId="37" fillId="0" borderId="0" xfId="4" applyNumberFormat="1" applyFont="1"/>
    <xf numFmtId="0" fontId="37" fillId="0" borderId="0" xfId="0" applyFont="1" applyAlignment="1">
      <alignment horizontal="left" indent="1"/>
    </xf>
    <xf numFmtId="0" fontId="37" fillId="0" borderId="0" xfId="0" applyFont="1" applyAlignment="1">
      <alignment horizontal="left" indent="2"/>
    </xf>
    <xf numFmtId="0" fontId="48" fillId="0" borderId="0" xfId="0" applyFont="1" applyAlignment="1">
      <alignment horizontal="center"/>
    </xf>
    <xf numFmtId="0" fontId="29" fillId="0" borderId="0" xfId="4" applyFont="1" applyProtection="1">
      <protection locked="0"/>
    </xf>
    <xf numFmtId="165" fontId="29" fillId="0" borderId="0" xfId="1" applyNumberFormat="1" applyFont="1" applyFill="1" applyBorder="1" applyProtection="1"/>
    <xf numFmtId="0" fontId="31" fillId="0" borderId="0" xfId="4" applyFont="1" applyAlignment="1" applyProtection="1">
      <alignment horizontal="center"/>
      <protection locked="0"/>
    </xf>
    <xf numFmtId="3" fontId="48" fillId="0" borderId="0" xfId="4" applyNumberFormat="1" applyFont="1" applyAlignment="1" applyProtection="1">
      <alignment horizontal="center"/>
      <protection locked="0"/>
    </xf>
    <xf numFmtId="165" fontId="37" fillId="18" borderId="26" xfId="1" applyNumberFormat="1" applyFont="1" applyFill="1" applyBorder="1" applyProtection="1"/>
    <xf numFmtId="0" fontId="49" fillId="0" borderId="0" xfId="4" applyFont="1" applyProtection="1">
      <protection locked="0"/>
    </xf>
    <xf numFmtId="0" fontId="46" fillId="0" borderId="0" xfId="4" applyFont="1" applyProtection="1">
      <protection locked="0"/>
    </xf>
    <xf numFmtId="0" fontId="58" fillId="0" borderId="0" xfId="0" applyFont="1" applyAlignment="1">
      <alignment horizontal="center"/>
    </xf>
    <xf numFmtId="165" fontId="44" fillId="0" borderId="0" xfId="1" applyNumberFormat="1" applyFont="1" applyFill="1" applyBorder="1"/>
    <xf numFmtId="0" fontId="46" fillId="4" borderId="0" xfId="4" applyFont="1" applyFill="1" applyProtection="1">
      <protection locked="0"/>
    </xf>
    <xf numFmtId="0" fontId="40" fillId="0" borderId="0" xfId="4" applyFont="1" applyProtection="1">
      <protection locked="0"/>
    </xf>
    <xf numFmtId="0" fontId="40" fillId="0" borderId="0" xfId="0" applyFont="1" applyAlignment="1">
      <alignment horizontal="left"/>
    </xf>
    <xf numFmtId="0" fontId="44" fillId="4" borderId="0" xfId="4" applyFont="1" applyFill="1" applyProtection="1">
      <protection locked="0"/>
    </xf>
    <xf numFmtId="165" fontId="44" fillId="0" borderId="0" xfId="1" applyNumberFormat="1" applyFont="1" applyFill="1" applyBorder="1" applyProtection="1"/>
    <xf numFmtId="0" fontId="59" fillId="0" borderId="0" xfId="4" applyFont="1" applyAlignment="1" applyProtection="1">
      <alignment horizontal="center"/>
      <protection locked="0"/>
    </xf>
    <xf numFmtId="41" fontId="29" fillId="0" borderId="0" xfId="0" applyNumberFormat="1" applyFont="1"/>
    <xf numFmtId="165" fontId="37" fillId="18" borderId="26" xfId="1" applyNumberFormat="1" applyFont="1" applyFill="1" applyBorder="1" applyProtection="1">
      <protection locked="0"/>
    </xf>
    <xf numFmtId="165" fontId="29" fillId="4" borderId="0" xfId="1" applyNumberFormat="1" applyFont="1" applyFill="1" applyProtection="1">
      <protection locked="0"/>
    </xf>
    <xf numFmtId="165" fontId="29" fillId="0" borderId="0" xfId="0" applyNumberFormat="1" applyFont="1" applyAlignment="1">
      <alignment horizontal="left"/>
    </xf>
    <xf numFmtId="0" fontId="50" fillId="0" borderId="0" xfId="2" applyFont="1" applyBorder="1" applyAlignment="1" applyProtection="1">
      <alignment horizontal="right"/>
    </xf>
    <xf numFmtId="0" fontId="41" fillId="0" borderId="0" xfId="2" applyFont="1" applyBorder="1" applyAlignment="1" applyProtection="1">
      <alignment horizontal="center"/>
    </xf>
    <xf numFmtId="41" fontId="29" fillId="2" borderId="0" xfId="0" applyNumberFormat="1" applyFont="1" applyFill="1"/>
    <xf numFmtId="43" fontId="29" fillId="0" borderId="0" xfId="1" applyFont="1" applyFill="1" applyBorder="1"/>
    <xf numFmtId="0" fontId="46" fillId="0" borderId="0" xfId="0" applyFont="1"/>
    <xf numFmtId="0" fontId="56" fillId="0" borderId="0" xfId="0" applyFont="1"/>
    <xf numFmtId="0" fontId="46" fillId="0" borderId="0" xfId="0" applyFont="1" applyAlignment="1">
      <alignment horizontal="left"/>
    </xf>
    <xf numFmtId="0" fontId="46" fillId="0" borderId="0" xfId="0" applyFont="1" applyAlignment="1">
      <alignment horizontal="right"/>
    </xf>
    <xf numFmtId="0" fontId="37" fillId="2" borderId="0" xfId="0" applyFont="1" applyFill="1"/>
    <xf numFmtId="0" fontId="29" fillId="5" borderId="0" xfId="0" applyFont="1" applyFill="1" applyAlignment="1">
      <alignment horizontal="left"/>
    </xf>
    <xf numFmtId="0" fontId="29" fillId="5" borderId="0" xfId="0" applyFont="1" applyFill="1"/>
    <xf numFmtId="0" fontId="36" fillId="5" borderId="0" xfId="0" applyFont="1" applyFill="1"/>
    <xf numFmtId="0" fontId="37" fillId="5" borderId="0" xfId="0" applyFont="1" applyFill="1" applyAlignment="1">
      <alignment horizontal="right"/>
    </xf>
    <xf numFmtId="41" fontId="37" fillId="5" borderId="0" xfId="0" applyNumberFormat="1" applyFont="1" applyFill="1"/>
    <xf numFmtId="0" fontId="29" fillId="18" borderId="0" xfId="0" applyFont="1" applyFill="1" applyAlignment="1">
      <alignment horizontal="left"/>
    </xf>
    <xf numFmtId="0" fontId="29" fillId="18" borderId="0" xfId="0" applyFont="1" applyFill="1"/>
    <xf numFmtId="0" fontId="41" fillId="18" borderId="0" xfId="0" applyFont="1" applyFill="1"/>
    <xf numFmtId="0" fontId="29" fillId="18" borderId="0" xfId="0" applyFont="1" applyFill="1" applyAlignment="1">
      <alignment horizontal="right"/>
    </xf>
    <xf numFmtId="0" fontId="37" fillId="18" borderId="0" xfId="0" applyFont="1" applyFill="1"/>
    <xf numFmtId="0" fontId="41" fillId="0" borderId="2" xfId="2" applyFont="1" applyBorder="1" applyAlignment="1" applyProtection="1">
      <alignment horizontal="right"/>
    </xf>
    <xf numFmtId="0" fontId="47" fillId="0" borderId="0" xfId="0" applyFont="1" applyAlignment="1">
      <alignment horizontal="right"/>
    </xf>
    <xf numFmtId="9" fontId="46" fillId="0" borderId="0" xfId="3" applyFont="1" applyBorder="1"/>
    <xf numFmtId="2" fontId="46" fillId="0" borderId="0" xfId="3" applyNumberFormat="1" applyFont="1" applyFill="1" applyBorder="1"/>
    <xf numFmtId="0" fontId="40" fillId="0" borderId="0" xfId="2" applyFont="1" applyAlignment="1" applyProtection="1">
      <alignment horizontal="left"/>
    </xf>
    <xf numFmtId="0" fontId="29" fillId="19" borderId="0" xfId="0" applyFont="1" applyFill="1" applyAlignment="1">
      <alignment horizontal="left"/>
    </xf>
    <xf numFmtId="0" fontId="29" fillId="19" borderId="0" xfId="0" applyFont="1" applyFill="1"/>
    <xf numFmtId="0" fontId="41" fillId="19" borderId="0" xfId="0" applyFont="1" applyFill="1"/>
    <xf numFmtId="0" fontId="29" fillId="19" borderId="0" xfId="0" applyFont="1" applyFill="1" applyAlignment="1">
      <alignment horizontal="right"/>
    </xf>
    <xf numFmtId="165" fontId="29" fillId="19" borderId="0" xfId="1" applyNumberFormat="1" applyFont="1" applyFill="1" applyBorder="1"/>
    <xf numFmtId="165" fontId="53" fillId="19" borderId="0" xfId="1" applyNumberFormat="1" applyFont="1" applyFill="1" applyBorder="1"/>
    <xf numFmtId="37" fontId="52" fillId="19" borderId="0" xfId="0" applyNumberFormat="1" applyFont="1" applyFill="1"/>
    <xf numFmtId="37" fontId="53" fillId="19" borderId="0" xfId="0" applyNumberFormat="1" applyFont="1" applyFill="1"/>
    <xf numFmtId="0" fontId="29" fillId="20" borderId="0" xfId="0" applyFont="1" applyFill="1" applyAlignment="1">
      <alignment horizontal="left"/>
    </xf>
    <xf numFmtId="0" fontId="29" fillId="20" borderId="0" xfId="0" applyFont="1" applyFill="1"/>
    <xf numFmtId="0" fontId="36" fillId="20" borderId="0" xfId="0" applyFont="1" applyFill="1"/>
    <xf numFmtId="0" fontId="37" fillId="20" borderId="0" xfId="0" applyFont="1" applyFill="1" applyAlignment="1">
      <alignment horizontal="right"/>
    </xf>
    <xf numFmtId="0" fontId="37" fillId="20" borderId="0" xfId="0" applyFont="1" applyFill="1"/>
    <xf numFmtId="0" fontId="53" fillId="20" borderId="0" xfId="0" applyFont="1" applyFill="1"/>
    <xf numFmtId="165" fontId="37" fillId="18" borderId="29" xfId="1" applyNumberFormat="1" applyFont="1" applyFill="1" applyBorder="1"/>
    <xf numFmtId="165" fontId="37" fillId="0" borderId="30" xfId="1" applyNumberFormat="1" applyFont="1" applyFill="1" applyBorder="1"/>
    <xf numFmtId="164" fontId="29" fillId="0" borderId="28" xfId="0" applyNumberFormat="1" applyFont="1" applyBorder="1" applyAlignment="1" applyProtection="1">
      <alignment horizontal="center"/>
      <protection locked="0"/>
    </xf>
    <xf numFmtId="9" fontId="44" fillId="0" borderId="0" xfId="3" applyFont="1" applyBorder="1"/>
    <xf numFmtId="165" fontId="37" fillId="2" borderId="0" xfId="0" applyNumberFormat="1" applyFont="1" applyFill="1" applyAlignment="1">
      <alignment horizontal="center"/>
    </xf>
    <xf numFmtId="37" fontId="52" fillId="13" borderId="0" xfId="0" applyNumberFormat="1" applyFont="1" applyFill="1"/>
    <xf numFmtId="37" fontId="53" fillId="13" borderId="0" xfId="0" applyNumberFormat="1" applyFont="1" applyFill="1"/>
    <xf numFmtId="0" fontId="32" fillId="13" borderId="0" xfId="0" applyFont="1" applyFill="1" applyAlignment="1">
      <alignment horizontal="right"/>
    </xf>
    <xf numFmtId="0" fontId="32" fillId="13" borderId="0" xfId="0" applyFont="1" applyFill="1" applyAlignment="1">
      <alignment horizontal="center"/>
    </xf>
    <xf numFmtId="165" fontId="0" fillId="0" borderId="0" xfId="50" applyNumberFormat="1" applyFont="1"/>
    <xf numFmtId="3" fontId="36" fillId="0" borderId="7" xfId="49" applyNumberFormat="1" applyFont="1" applyBorder="1"/>
    <xf numFmtId="3" fontId="36" fillId="0" borderId="0" xfId="49" applyNumberFormat="1" applyFont="1"/>
    <xf numFmtId="0" fontId="28" fillId="0" borderId="0" xfId="49" applyFont="1"/>
    <xf numFmtId="165" fontId="28" fillId="0" borderId="0" xfId="49" applyNumberFormat="1" applyFont="1"/>
    <xf numFmtId="15" fontId="35" fillId="0" borderId="0" xfId="49" applyNumberFormat="1" applyFont="1" applyAlignment="1">
      <alignment horizontal="center"/>
    </xf>
    <xf numFmtId="10" fontId="28" fillId="0" borderId="2" xfId="49" applyNumberFormat="1" applyFont="1" applyBorder="1"/>
    <xf numFmtId="10" fontId="7" fillId="0" borderId="0" xfId="49" applyNumberFormat="1"/>
    <xf numFmtId="165" fontId="60" fillId="0" borderId="6" xfId="50" applyNumberFormat="1" applyFont="1" applyBorder="1"/>
    <xf numFmtId="0" fontId="32" fillId="17" borderId="13" xfId="49" applyFont="1" applyFill="1" applyBorder="1" applyAlignment="1">
      <alignment horizontal="center" vertical="center" wrapText="1"/>
    </xf>
    <xf numFmtId="10" fontId="33" fillId="0" borderId="0" xfId="38" applyNumberFormat="1" applyFont="1"/>
    <xf numFmtId="0" fontId="33" fillId="0" borderId="0" xfId="38" applyFont="1"/>
    <xf numFmtId="167" fontId="36" fillId="0" borderId="0" xfId="38" applyNumberFormat="1" applyFont="1"/>
    <xf numFmtId="10" fontId="37" fillId="0" borderId="7" xfId="38" applyNumberFormat="1" applyFont="1" applyBorder="1"/>
    <xf numFmtId="10" fontId="37" fillId="0" borderId="0" xfId="38" applyNumberFormat="1" applyFont="1"/>
    <xf numFmtId="10" fontId="37" fillId="0" borderId="6" xfId="38" applyNumberFormat="1" applyFont="1" applyBorder="1"/>
    <xf numFmtId="2" fontId="28" fillId="0" borderId="9" xfId="0" applyNumberFormat="1" applyFont="1" applyBorder="1" applyAlignment="1">
      <alignment horizontal="center"/>
    </xf>
    <xf numFmtId="10" fontId="41" fillId="0" borderId="0" xfId="38" applyNumberFormat="1" applyFont="1" applyAlignment="1">
      <alignment horizontal="center"/>
    </xf>
    <xf numFmtId="10" fontId="61" fillId="0" borderId="0" xfId="38" applyNumberFormat="1" applyFont="1" applyAlignment="1">
      <alignment horizontal="center"/>
    </xf>
    <xf numFmtId="43" fontId="36" fillId="0" borderId="0" xfId="1" applyFont="1" applyBorder="1" applyAlignment="1" applyProtection="1">
      <alignment horizontal="center"/>
    </xf>
    <xf numFmtId="0" fontId="39" fillId="0" borderId="26" xfId="2" applyFont="1" applyFill="1" applyBorder="1" applyAlignment="1" applyProtection="1"/>
    <xf numFmtId="0" fontId="37" fillId="0" borderId="26" xfId="4" applyFont="1" applyBorder="1" applyAlignment="1">
      <alignment wrapText="1"/>
    </xf>
    <xf numFmtId="0" fontId="37" fillId="0" borderId="26" xfId="2" applyFont="1" applyFill="1" applyBorder="1" applyAlignment="1" applyProtection="1"/>
    <xf numFmtId="0" fontId="29" fillId="0" borderId="26" xfId="4" applyFont="1" applyBorder="1"/>
    <xf numFmtId="165" fontId="41" fillId="0" borderId="0" xfId="1" applyNumberFormat="1" applyFont="1"/>
    <xf numFmtId="3" fontId="29" fillId="4" borderId="1" xfId="4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>
      <alignment horizontal="center"/>
    </xf>
    <xf numFmtId="165" fontId="35" fillId="0" borderId="0" xfId="1" applyNumberFormat="1" applyFont="1" applyBorder="1"/>
    <xf numFmtId="165" fontId="40" fillId="0" borderId="0" xfId="1" applyNumberFormat="1" applyFont="1" applyBorder="1"/>
    <xf numFmtId="165" fontId="40" fillId="0" borderId="0" xfId="0" applyNumberFormat="1" applyFont="1"/>
    <xf numFmtId="165" fontId="40" fillId="0" borderId="0" xfId="1" applyNumberFormat="1" applyFont="1" applyFill="1" applyBorder="1"/>
    <xf numFmtId="10" fontId="36" fillId="0" borderId="0" xfId="3" applyNumberFormat="1" applyFont="1" applyAlignment="1">
      <alignment horizontal="center"/>
    </xf>
    <xf numFmtId="10" fontId="36" fillId="0" borderId="0" xfId="3" applyNumberFormat="1" applyFont="1" applyFill="1" applyAlignment="1">
      <alignment horizontal="center"/>
    </xf>
    <xf numFmtId="0" fontId="44" fillId="0" borderId="0" xfId="38" applyFont="1"/>
    <xf numFmtId="0" fontId="62" fillId="0" borderId="0" xfId="18" applyFont="1"/>
    <xf numFmtId="0" fontId="44" fillId="0" borderId="0" xfId="4" applyFont="1"/>
    <xf numFmtId="3" fontId="36" fillId="0" borderId="10" xfId="49" applyNumberFormat="1" applyFont="1" applyBorder="1"/>
    <xf numFmtId="3" fontId="36" fillId="0" borderId="11" xfId="49" applyNumberFormat="1" applyFont="1" applyBorder="1"/>
    <xf numFmtId="3" fontId="37" fillId="0" borderId="7" xfId="49" applyNumberFormat="1" applyFont="1" applyBorder="1"/>
    <xf numFmtId="3" fontId="37" fillId="0" borderId="0" xfId="49" applyNumberFormat="1" applyFont="1"/>
    <xf numFmtId="0" fontId="44" fillId="0" borderId="0" xfId="49" applyFont="1"/>
    <xf numFmtId="165" fontId="35" fillId="0" borderId="0" xfId="1" applyNumberFormat="1" applyFont="1" applyFill="1"/>
    <xf numFmtId="165" fontId="35" fillId="0" borderId="0" xfId="4" applyNumberFormat="1" applyFont="1"/>
    <xf numFmtId="165" fontId="29" fillId="0" borderId="0" xfId="4" applyNumberFormat="1" applyFont="1"/>
    <xf numFmtId="0" fontId="62" fillId="0" borderId="0" xfId="49" applyFont="1"/>
    <xf numFmtId="10" fontId="28" fillId="0" borderId="2" xfId="39" applyNumberFormat="1" applyFont="1" applyFill="1" applyBorder="1" applyAlignment="1">
      <alignment horizontal="center"/>
    </xf>
    <xf numFmtId="10" fontId="28" fillId="0" borderId="2" xfId="3" applyNumberFormat="1" applyFont="1" applyFill="1" applyBorder="1" applyAlignment="1">
      <alignment horizontal="center"/>
    </xf>
    <xf numFmtId="3" fontId="29" fillId="0" borderId="13" xfId="49" applyNumberFormat="1" applyFont="1" applyBorder="1"/>
    <xf numFmtId="3" fontId="29" fillId="0" borderId="9" xfId="49" applyNumberFormat="1" applyFont="1" applyBorder="1"/>
    <xf numFmtId="165" fontId="40" fillId="0" borderId="0" xfId="1" applyNumberFormat="1" applyFont="1" applyAlignment="1">
      <alignment horizontal="right"/>
    </xf>
    <xf numFmtId="165" fontId="40" fillId="0" borderId="0" xfId="1" applyNumberFormat="1" applyFont="1"/>
    <xf numFmtId="0" fontId="4" fillId="0" borderId="0" xfId="49" applyFont="1"/>
    <xf numFmtId="9" fontId="46" fillId="0" borderId="0" xfId="2" applyNumberFormat="1" applyFont="1" applyFill="1" applyBorder="1" applyAlignment="1" applyProtection="1"/>
    <xf numFmtId="9" fontId="49" fillId="0" borderId="0" xfId="0" applyNumberFormat="1" applyFont="1"/>
    <xf numFmtId="0" fontId="37" fillId="0" borderId="0" xfId="0" applyFont="1" applyAlignment="1">
      <alignment horizontal="center"/>
    </xf>
    <xf numFmtId="0" fontId="41" fillId="9" borderId="0" xfId="0" applyFont="1" applyFill="1" applyAlignment="1">
      <alignment horizontal="center"/>
    </xf>
    <xf numFmtId="0" fontId="0" fillId="14" borderId="0" xfId="0" applyFill="1"/>
    <xf numFmtId="0" fontId="0" fillId="7" borderId="0" xfId="0" applyFill="1"/>
    <xf numFmtId="2" fontId="40" fillId="0" borderId="0" xfId="1" applyNumberFormat="1" applyFont="1" applyFill="1" applyBorder="1" applyAlignment="1">
      <alignment horizontal="right"/>
    </xf>
    <xf numFmtId="0" fontId="37" fillId="0" borderId="0" xfId="4" applyFont="1" applyAlignment="1" applyProtection="1">
      <alignment horizontal="center"/>
      <protection locked="0"/>
    </xf>
    <xf numFmtId="0" fontId="41" fillId="0" borderId="0" xfId="1" applyNumberFormat="1" applyFont="1" applyFill="1" applyBorder="1"/>
    <xf numFmtId="0" fontId="37" fillId="0" borderId="0" xfId="1" applyNumberFormat="1" applyFont="1" applyFill="1" applyBorder="1"/>
    <xf numFmtId="9" fontId="33" fillId="0" borderId="0" xfId="0" applyNumberFormat="1" applyFont="1" applyAlignment="1">
      <alignment horizontal="right"/>
    </xf>
    <xf numFmtId="9" fontId="44" fillId="0" borderId="0" xfId="0" applyNumberFormat="1" applyFont="1"/>
    <xf numFmtId="165" fontId="44" fillId="0" borderId="0" xfId="1" applyNumberFormat="1" applyFont="1" applyBorder="1"/>
    <xf numFmtId="9" fontId="37" fillId="0" borderId="0" xfId="0" applyNumberFormat="1" applyFont="1" applyAlignment="1">
      <alignment horizontal="right"/>
    </xf>
    <xf numFmtId="9" fontId="40" fillId="0" borderId="0" xfId="2" applyNumberFormat="1" applyFont="1" applyAlignment="1" applyProtection="1">
      <alignment horizontal="right"/>
    </xf>
    <xf numFmtId="2" fontId="44" fillId="0" borderId="0" xfId="0" applyNumberFormat="1" applyFont="1"/>
    <xf numFmtId="0" fontId="49" fillId="0" borderId="0" xfId="0" applyFont="1" applyAlignment="1">
      <alignment horizontal="left"/>
    </xf>
    <xf numFmtId="9" fontId="40" fillId="0" borderId="0" xfId="2" applyNumberFormat="1" applyFont="1" applyAlignment="1" applyProtection="1">
      <alignment horizontal="left"/>
    </xf>
    <xf numFmtId="0" fontId="60" fillId="0" borderId="0" xfId="0" applyFont="1" applyAlignment="1">
      <alignment horizontal="center"/>
    </xf>
    <xf numFmtId="0" fontId="3" fillId="0" borderId="0" xfId="49" applyFont="1"/>
    <xf numFmtId="0" fontId="3" fillId="0" borderId="0" xfId="21" applyFont="1"/>
    <xf numFmtId="165" fontId="3" fillId="18" borderId="26" xfId="1" applyNumberFormat="1" applyFont="1" applyFill="1" applyBorder="1"/>
    <xf numFmtId="165" fontId="3" fillId="18" borderId="29" xfId="1" applyNumberFormat="1" applyFont="1" applyFill="1" applyBorder="1"/>
    <xf numFmtId="165" fontId="3" fillId="0" borderId="0" xfId="1" applyNumberFormat="1" applyFont="1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0" fontId="3" fillId="0" borderId="0" xfId="49" applyNumberFormat="1" applyFont="1"/>
    <xf numFmtId="0" fontId="3" fillId="0" borderId="12" xfId="49" applyFont="1" applyBorder="1"/>
    <xf numFmtId="0" fontId="3" fillId="0" borderId="14" xfId="49" applyFont="1" applyBorder="1"/>
    <xf numFmtId="3" fontId="3" fillId="0" borderId="0" xfId="49" applyNumberFormat="1" applyFont="1"/>
    <xf numFmtId="0" fontId="3" fillId="0" borderId="0" xfId="49" applyFont="1" applyAlignment="1">
      <alignment horizontal="right"/>
    </xf>
    <xf numFmtId="9" fontId="3" fillId="0" borderId="0" xfId="49" applyNumberFormat="1" applyFont="1"/>
    <xf numFmtId="43" fontId="3" fillId="0" borderId="0" xfId="49" applyNumberFormat="1" applyFont="1"/>
    <xf numFmtId="0" fontId="3" fillId="0" borderId="0" xfId="38" applyFont="1" applyAlignment="1">
      <alignment horizontal="center"/>
    </xf>
    <xf numFmtId="0" fontId="3" fillId="0" borderId="18" xfId="38" applyFont="1" applyBorder="1"/>
    <xf numFmtId="0" fontId="3" fillId="0" borderId="0" xfId="38" applyFont="1"/>
    <xf numFmtId="10" fontId="3" fillId="0" borderId="0" xfId="39" applyNumberFormat="1" applyFont="1" applyFill="1" applyAlignment="1">
      <alignment horizontal="center"/>
    </xf>
    <xf numFmtId="10" fontId="3" fillId="0" borderId="0" xfId="39" applyNumberFormat="1" applyFont="1" applyFill="1" applyBorder="1" applyAlignment="1">
      <alignment horizontal="center"/>
    </xf>
    <xf numFmtId="10" fontId="3" fillId="0" borderId="0" xfId="3" applyNumberFormat="1" applyFont="1" applyAlignment="1">
      <alignment horizontal="center"/>
    </xf>
    <xf numFmtId="10" fontId="3" fillId="0" borderId="7" xfId="39" applyNumberFormat="1" applyFont="1" applyFill="1" applyBorder="1" applyAlignment="1">
      <alignment horizontal="center"/>
    </xf>
    <xf numFmtId="10" fontId="3" fillId="0" borderId="6" xfId="39" applyNumberFormat="1" applyFont="1" applyFill="1" applyBorder="1" applyAlignment="1">
      <alignment horizontal="center"/>
    </xf>
    <xf numFmtId="10" fontId="3" fillId="0" borderId="0" xfId="3" applyNumberFormat="1" applyFont="1" applyFill="1" applyAlignment="1">
      <alignment horizontal="center"/>
    </xf>
    <xf numFmtId="165" fontId="3" fillId="0" borderId="0" xfId="1" applyNumberFormat="1" applyFont="1" applyFill="1" applyBorder="1"/>
    <xf numFmtId="165" fontId="72" fillId="0" borderId="0" xfId="0" applyNumberFormat="1" applyFont="1"/>
    <xf numFmtId="2" fontId="72" fillId="0" borderId="0" xfId="0" applyNumberFormat="1" applyFont="1"/>
    <xf numFmtId="0" fontId="29" fillId="0" borderId="0" xfId="4" quotePrefix="1" applyFont="1"/>
    <xf numFmtId="0" fontId="37" fillId="0" borderId="26" xfId="4" applyFont="1" applyBorder="1"/>
    <xf numFmtId="0" fontId="33" fillId="0" borderId="0" xfId="4" applyFont="1" applyProtection="1">
      <protection locked="0"/>
    </xf>
    <xf numFmtId="0" fontId="58" fillId="0" borderId="6" xfId="2" applyFont="1" applyFill="1" applyBorder="1" applyAlignment="1" applyProtection="1">
      <alignment horizontal="center"/>
    </xf>
    <xf numFmtId="9" fontId="33" fillId="0" borderId="0" xfId="2" applyNumberFormat="1" applyFont="1" applyFill="1" applyBorder="1" applyAlignment="1" applyProtection="1">
      <alignment horizontal="left"/>
    </xf>
    <xf numFmtId="10" fontId="37" fillId="0" borderId="0" xfId="51" applyNumberFormat="1" applyFont="1" applyFill="1"/>
    <xf numFmtId="0" fontId="29" fillId="27" borderId="0" xfId="4" applyFont="1" applyFill="1"/>
    <xf numFmtId="0" fontId="40" fillId="7" borderId="0" xfId="4" applyFont="1" applyFill="1"/>
    <xf numFmtId="0" fontId="49" fillId="14" borderId="0" xfId="4" applyFont="1" applyFill="1"/>
    <xf numFmtId="0" fontId="47" fillId="0" borderId="0" xfId="4" applyFont="1" applyAlignment="1">
      <alignment vertical="center"/>
    </xf>
    <xf numFmtId="164" fontId="29" fillId="0" borderId="6" xfId="0" applyNumberFormat="1" applyFont="1" applyBorder="1" applyAlignment="1" applyProtection="1">
      <alignment horizontal="center" vertical="center"/>
      <protection locked="0"/>
    </xf>
    <xf numFmtId="0" fontId="37" fillId="0" borderId="0" xfId="4" applyFont="1" applyAlignment="1">
      <alignment vertical="center"/>
    </xf>
    <xf numFmtId="0" fontId="29" fillId="0" borderId="0" xfId="18" applyFont="1"/>
    <xf numFmtId="43" fontId="36" fillId="0" borderId="0" xfId="1" applyFont="1" applyFill="1"/>
    <xf numFmtId="43" fontId="37" fillId="0" borderId="0" xfId="1" applyFont="1" applyFill="1"/>
    <xf numFmtId="0" fontId="29" fillId="0" borderId="0" xfId="43" applyFont="1"/>
    <xf numFmtId="0" fontId="29" fillId="28" borderId="6" xfId="0" applyFont="1" applyFill="1" applyBorder="1" applyAlignment="1">
      <alignment horizontal="center"/>
    </xf>
    <xf numFmtId="9" fontId="33" fillId="0" borderId="0" xfId="2" applyNumberFormat="1" applyFont="1" applyFill="1" applyAlignment="1" applyProtection="1">
      <alignment horizontal="left"/>
    </xf>
    <xf numFmtId="0" fontId="37" fillId="0" borderId="0" xfId="49" applyFont="1"/>
    <xf numFmtId="0" fontId="29" fillId="0" borderId="0" xfId="49" applyFont="1"/>
    <xf numFmtId="0" fontId="35" fillId="2" borderId="7" xfId="2" applyFont="1" applyFill="1" applyBorder="1" applyAlignment="1" applyProtection="1"/>
    <xf numFmtId="0" fontId="35" fillId="2" borderId="0" xfId="0" applyFont="1" applyFill="1" applyAlignment="1">
      <alignment horizontal="left"/>
    </xf>
    <xf numFmtId="0" fontId="35" fillId="2" borderId="6" xfId="0" applyFont="1" applyFill="1" applyBorder="1"/>
    <xf numFmtId="0" fontId="35" fillId="0" borderId="0" xfId="2" applyFont="1" applyFill="1" applyBorder="1" applyAlignment="1" applyProtection="1"/>
    <xf numFmtId="0" fontId="35" fillId="13" borderId="0" xfId="0" applyFont="1" applyFill="1"/>
    <xf numFmtId="0" fontId="35" fillId="0" borderId="7" xfId="0" applyFont="1" applyBorder="1"/>
    <xf numFmtId="6" fontId="33" fillId="0" borderId="0" xfId="0" applyNumberFormat="1" applyFont="1"/>
    <xf numFmtId="0" fontId="35" fillId="0" borderId="2" xfId="0" applyFont="1" applyBorder="1"/>
    <xf numFmtId="0" fontId="33" fillId="13" borderId="0" xfId="0" applyFont="1" applyFill="1"/>
    <xf numFmtId="0" fontId="33" fillId="0" borderId="7" xfId="0" applyFont="1" applyBorder="1"/>
    <xf numFmtId="6" fontId="35" fillId="0" borderId="0" xfId="0" applyNumberFormat="1" applyFont="1"/>
    <xf numFmtId="165" fontId="33" fillId="0" borderId="7" xfId="0" applyNumberFormat="1" applyFont="1" applyBorder="1"/>
    <xf numFmtId="0" fontId="33" fillId="0" borderId="2" xfId="0" applyFont="1" applyBorder="1"/>
    <xf numFmtId="0" fontId="33" fillId="5" borderId="0" xfId="0" applyFont="1" applyFill="1"/>
    <xf numFmtId="0" fontId="47" fillId="2" borderId="7" xfId="2" applyFont="1" applyFill="1" applyBorder="1" applyAlignment="1" applyProtection="1">
      <alignment horizontal="right"/>
    </xf>
    <xf numFmtId="0" fontId="47" fillId="2" borderId="0" xfId="0" applyFont="1" applyFill="1" applyAlignment="1">
      <alignment horizontal="right"/>
    </xf>
    <xf numFmtId="0" fontId="47" fillId="2" borderId="6" xfId="0" applyFont="1" applyFill="1" applyBorder="1" applyAlignment="1">
      <alignment horizontal="right"/>
    </xf>
    <xf numFmtId="0" fontId="47" fillId="0" borderId="0" xfId="2" applyFont="1" applyFill="1" applyBorder="1" applyAlignment="1" applyProtection="1">
      <alignment horizontal="right"/>
    </xf>
    <xf numFmtId="0" fontId="47" fillId="0" borderId="0" xfId="2" applyFont="1" applyFill="1" applyAlignment="1" applyProtection="1">
      <alignment horizontal="right"/>
    </xf>
    <xf numFmtId="0" fontId="56" fillId="0" borderId="0" xfId="0" applyFont="1" applyAlignment="1">
      <alignment horizontal="right"/>
    </xf>
    <xf numFmtId="0" fontId="47" fillId="13" borderId="0" xfId="0" applyFont="1" applyFill="1" applyAlignment="1">
      <alignment horizontal="right"/>
    </xf>
    <xf numFmtId="0" fontId="56" fillId="0" borderId="0" xfId="2" applyFont="1" applyAlignment="1" applyProtection="1">
      <alignment horizontal="right"/>
    </xf>
    <xf numFmtId="0" fontId="47" fillId="0" borderId="7" xfId="0" applyFont="1" applyBorder="1" applyAlignment="1">
      <alignment horizontal="right"/>
    </xf>
    <xf numFmtId="0" fontId="47" fillId="0" borderId="2" xfId="0" applyFont="1" applyBorder="1" applyAlignment="1">
      <alignment horizontal="right"/>
    </xf>
    <xf numFmtId="0" fontId="56" fillId="0" borderId="0" xfId="2" applyFont="1" applyFill="1" applyAlignment="1" applyProtection="1">
      <alignment horizontal="right"/>
    </xf>
    <xf numFmtId="0" fontId="56" fillId="0" borderId="0" xfId="2" applyFont="1" applyBorder="1" applyAlignment="1" applyProtection="1">
      <alignment horizontal="right"/>
    </xf>
    <xf numFmtId="0" fontId="56" fillId="0" borderId="0" xfId="2" applyFont="1" applyFill="1" applyBorder="1" applyAlignment="1" applyProtection="1">
      <alignment horizontal="right"/>
    </xf>
    <xf numFmtId="0" fontId="56" fillId="13" borderId="0" xfId="0" applyFont="1" applyFill="1" applyAlignment="1">
      <alignment horizontal="right"/>
    </xf>
    <xf numFmtId="0" fontId="47" fillId="0" borderId="7" xfId="2" applyFont="1" applyFill="1" applyBorder="1" applyAlignment="1" applyProtection="1">
      <alignment horizontal="right"/>
    </xf>
    <xf numFmtId="0" fontId="56" fillId="0" borderId="7" xfId="2" applyFont="1" applyFill="1" applyBorder="1" applyAlignment="1" applyProtection="1">
      <alignment horizontal="right"/>
    </xf>
    <xf numFmtId="0" fontId="47" fillId="0" borderId="0" xfId="0" applyFont="1"/>
    <xf numFmtId="0" fontId="75" fillId="0" borderId="0" xfId="2" applyFont="1" applyBorder="1" applyAlignment="1" applyProtection="1">
      <alignment horizontal="right"/>
    </xf>
    <xf numFmtId="0" fontId="76" fillId="0" borderId="0" xfId="0" applyFont="1"/>
    <xf numFmtId="0" fontId="76" fillId="0" borderId="0" xfId="0" applyFont="1" applyAlignment="1">
      <alignment horizontal="right"/>
    </xf>
    <xf numFmtId="165" fontId="56" fillId="0" borderId="0" xfId="0" applyNumberFormat="1" applyFont="1"/>
    <xf numFmtId="165" fontId="56" fillId="0" borderId="7" xfId="0" applyNumberFormat="1" applyFont="1" applyBorder="1"/>
    <xf numFmtId="0" fontId="56" fillId="0" borderId="7" xfId="0" applyFont="1" applyBorder="1" applyAlignment="1">
      <alignment horizontal="right"/>
    </xf>
    <xf numFmtId="0" fontId="56" fillId="0" borderId="2" xfId="0" applyFont="1" applyBorder="1" applyAlignment="1">
      <alignment horizontal="right"/>
    </xf>
    <xf numFmtId="0" fontId="56" fillId="5" borderId="0" xfId="0" applyFont="1" applyFill="1" applyAlignment="1">
      <alignment horizontal="right"/>
    </xf>
    <xf numFmtId="0" fontId="32" fillId="17" borderId="13" xfId="49" applyFont="1" applyFill="1" applyBorder="1" applyAlignment="1">
      <alignment horizontal="center" vertical="center"/>
    </xf>
    <xf numFmtId="0" fontId="2" fillId="0" borderId="0" xfId="49" applyFont="1" applyAlignment="1">
      <alignment horizontal="right"/>
    </xf>
    <xf numFmtId="0" fontId="34" fillId="29" borderId="0" xfId="49" applyFont="1" applyFill="1" applyAlignment="1">
      <alignment horizontal="right"/>
    </xf>
    <xf numFmtId="2" fontId="35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>
      <alignment horizontal="left"/>
    </xf>
    <xf numFmtId="0" fontId="44" fillId="0" borderId="0" xfId="2" applyFont="1" applyBorder="1" applyAlignment="1" applyProtection="1">
      <alignment horizontal="center"/>
    </xf>
    <xf numFmtId="0" fontId="46" fillId="0" borderId="0" xfId="2" applyFont="1" applyBorder="1" applyAlignment="1" applyProtection="1">
      <alignment horizontal="center"/>
    </xf>
    <xf numFmtId="0" fontId="33" fillId="0" borderId="0" xfId="2" applyFont="1" applyBorder="1" applyAlignment="1" applyProtection="1">
      <alignment horizontal="right"/>
    </xf>
    <xf numFmtId="0" fontId="33" fillId="0" borderId="0" xfId="2" applyFont="1" applyBorder="1" applyAlignment="1" applyProtection="1">
      <alignment horizontal="center"/>
    </xf>
    <xf numFmtId="0" fontId="44" fillId="0" borderId="0" xfId="2" applyFont="1" applyAlignment="1" applyProtection="1">
      <alignment horizontal="right"/>
    </xf>
    <xf numFmtId="0" fontId="40" fillId="0" borderId="7" xfId="0" applyFont="1" applyBorder="1" applyAlignment="1">
      <alignment horizontal="right"/>
    </xf>
    <xf numFmtId="0" fontId="0" fillId="27" borderId="0" xfId="0" applyFill="1"/>
    <xf numFmtId="0" fontId="34" fillId="30" borderId="0" xfId="4" applyFont="1" applyFill="1"/>
    <xf numFmtId="0" fontId="39" fillId="0" borderId="26" xfId="2" applyFont="1" applyFill="1" applyBorder="1" applyAlignment="1" applyProtection="1">
      <alignment vertical="top"/>
    </xf>
    <xf numFmtId="0" fontId="41" fillId="0" borderId="0" xfId="2" applyFont="1" applyFill="1" applyAlignment="1" applyProtection="1">
      <alignment horizontal="center" wrapText="1"/>
    </xf>
    <xf numFmtId="0" fontId="49" fillId="6" borderId="0" xfId="4" applyFont="1" applyFill="1"/>
    <xf numFmtId="0" fontId="49" fillId="7" borderId="0" xfId="4" applyFont="1" applyFill="1"/>
    <xf numFmtId="0" fontId="49" fillId="3" borderId="0" xfId="4" applyFont="1" applyFill="1"/>
    <xf numFmtId="0" fontId="49" fillId="5" borderId="0" xfId="4" applyFont="1" applyFill="1"/>
    <xf numFmtId="0" fontId="40" fillId="15" borderId="0" xfId="4" applyFont="1" applyFill="1"/>
    <xf numFmtId="0" fontId="40" fillId="5" borderId="0" xfId="4" applyFont="1" applyFill="1"/>
    <xf numFmtId="0" fontId="40" fillId="3" borderId="0" xfId="4" applyFont="1" applyFill="1"/>
    <xf numFmtId="0" fontId="40" fillId="6" borderId="0" xfId="4" applyFont="1" applyFill="1"/>
    <xf numFmtId="0" fontId="40" fillId="7" borderId="0" xfId="4" applyFont="1" applyFill="1"/>
    <xf numFmtId="0" fontId="32" fillId="11" borderId="3" xfId="0" applyFont="1" applyFill="1" applyBorder="1" applyAlignment="1">
      <alignment horizontal="center"/>
    </xf>
    <xf numFmtId="0" fontId="35" fillId="0" borderId="0" xfId="4" applyFont="1" applyAlignment="1">
      <alignment horizontal="left"/>
    </xf>
  </cellXfs>
  <cellStyles count="113">
    <cellStyle name="% complete" xfId="109" xr:uid="{D26FC9B1-DED3-4EB5-98AB-FAFEBFB4AC7E}"/>
    <cellStyle name="% complete (beyond plan) legend" xfId="111" xr:uid="{AF3C3AFA-92CA-43AA-938C-63F9941DBDB3}"/>
    <cellStyle name="Activity" xfId="95" xr:uid="{1550FD7E-6827-494A-AEDC-66B9DC2E92A0}"/>
    <cellStyle name="Actual (beyond plan) legend" xfId="110" xr:uid="{6842B7BA-2562-4A68-8803-4AD83992FB78}"/>
    <cellStyle name="Actual legend" xfId="108" xr:uid="{C141581E-90C2-4356-B102-B5C90A649B8B}"/>
    <cellStyle name="Comma" xfId="1" builtinId="3"/>
    <cellStyle name="Comma 10" xfId="41" xr:uid="{00000000-0005-0000-0000-000001000000}"/>
    <cellStyle name="Comma 10 2" xfId="82" xr:uid="{E85E59BF-4469-4B93-834D-BB3B11445842}"/>
    <cellStyle name="Comma 11" xfId="50" xr:uid="{00000000-0005-0000-0000-000002000000}"/>
    <cellStyle name="Comma 11 2" xfId="91" xr:uid="{E9541768-97DA-489D-A3B0-DB5F36F92CEF}"/>
    <cellStyle name="Comma 2" xfId="5" xr:uid="{00000000-0005-0000-0000-000003000000}"/>
    <cellStyle name="Comma 2 2" xfId="10" xr:uid="{00000000-0005-0000-0000-000004000000}"/>
    <cellStyle name="Comma 2 3" xfId="52" xr:uid="{4B74A62D-66AB-4EB9-957A-CE902BF6805F}"/>
    <cellStyle name="Comma 3" xfId="14" xr:uid="{00000000-0005-0000-0000-000005000000}"/>
    <cellStyle name="Comma 3 2" xfId="57" xr:uid="{279097AA-28B1-4D8D-B3F5-45F004566B75}"/>
    <cellStyle name="Comma 4" xfId="16" xr:uid="{00000000-0005-0000-0000-000006000000}"/>
    <cellStyle name="Comma 4 2" xfId="59" xr:uid="{88CBC46C-C73F-4265-9717-B6C98BD0CD96}"/>
    <cellStyle name="Comma 5" xfId="20" xr:uid="{00000000-0005-0000-0000-000007000000}"/>
    <cellStyle name="Comma 5 2" xfId="62" xr:uid="{87977431-D68C-4DE9-A3C9-3F7BE828039C}"/>
    <cellStyle name="Comma 6" xfId="24" xr:uid="{00000000-0005-0000-0000-000008000000}"/>
    <cellStyle name="Comma 6 2" xfId="66" xr:uid="{845C05AB-F195-42F3-A22E-59229FF674EE}"/>
    <cellStyle name="Comma 7" xfId="26" xr:uid="{00000000-0005-0000-0000-000009000000}"/>
    <cellStyle name="Comma 7 2" xfId="68" xr:uid="{F40D5558-384A-456A-B169-1E12E9F82DE9}"/>
    <cellStyle name="Comma 8" xfId="30" xr:uid="{00000000-0005-0000-0000-00000A000000}"/>
    <cellStyle name="Comma 8 2" xfId="72" xr:uid="{03E4DBD2-3069-4712-A6DC-EE61B99A68A8}"/>
    <cellStyle name="Comma 9" xfId="35" xr:uid="{00000000-0005-0000-0000-00000B000000}"/>
    <cellStyle name="Comma 9 2" xfId="44" xr:uid="{00000000-0005-0000-0000-00000C000000}"/>
    <cellStyle name="Comma 9 2 2" xfId="85" xr:uid="{1E758957-50D0-4402-B10D-1FBD5A756B3D}"/>
    <cellStyle name="Comma 9 3" xfId="76" xr:uid="{FCFA475F-0A32-405C-AF1F-14A8C8E70218}"/>
    <cellStyle name="Currency 2" xfId="8" xr:uid="{00000000-0005-0000-0000-00000E000000}"/>
    <cellStyle name="Currency 2 2" xfId="11" xr:uid="{00000000-0005-0000-0000-00000F000000}"/>
    <cellStyle name="Currency 2 3" xfId="54" xr:uid="{99CD72DC-6C8B-46B0-97D7-87F7FE067CBD}"/>
    <cellStyle name="Currency 3" xfId="22" xr:uid="{00000000-0005-0000-0000-000010000000}"/>
    <cellStyle name="Currency 3 2" xfId="64" xr:uid="{1008B141-F317-4CF2-90B9-9F1F5E8FDEDE}"/>
    <cellStyle name="Currency 4" xfId="36" xr:uid="{00000000-0005-0000-0000-000011000000}"/>
    <cellStyle name="Currency 4 2" xfId="47" xr:uid="{00000000-0005-0000-0000-000012000000}"/>
    <cellStyle name="Currency 4 2 2" xfId="88" xr:uid="{04809F75-8C37-42D5-8285-A3DE10FE5ABC}"/>
    <cellStyle name="Currency 4 3" xfId="77" xr:uid="{ACEDB46B-DBF4-4FC5-9D6C-84B3AA11BF51}"/>
    <cellStyle name="Currency 5" xfId="112" xr:uid="{B95B229F-0DA2-4614-BE87-3B0E87E14CFF}"/>
    <cellStyle name="Explanatory Text 2" xfId="105" xr:uid="{3E99FFD8-C4B1-417B-9A55-044470D34207}"/>
    <cellStyle name="Heading 1 2" xfId="94" xr:uid="{DA5BBD01-FF65-4D7B-B3F8-A9F25CCA16C5}"/>
    <cellStyle name="Heading 2 2" xfId="102" xr:uid="{C7EC8DD6-0A6C-41EA-BFBB-CAFF56D06810}"/>
    <cellStyle name="Heading 3 2" xfId="103" xr:uid="{F67B4BD5-1FC5-4F91-953C-39BB0E8960DC}"/>
    <cellStyle name="Heading 4 2" xfId="104" xr:uid="{6E00B928-7A00-4B60-BC6C-5C6F789161F5}"/>
    <cellStyle name="Hyperlink" xfId="2" builtinId="8"/>
    <cellStyle name="Hyperlink 2" xfId="17" xr:uid="{00000000-0005-0000-0000-000014000000}"/>
    <cellStyle name="Label" xfId="98" xr:uid="{EFA389F7-32EF-40D6-A301-D483EB44CCCB}"/>
    <cellStyle name="Normal" xfId="0" builtinId="0"/>
    <cellStyle name="Normal 10" xfId="27" xr:uid="{00000000-0005-0000-0000-000016000000}"/>
    <cellStyle name="Normal 10 2" xfId="69" xr:uid="{8396B4BC-7915-447D-8998-F763A6BC635F}"/>
    <cellStyle name="Normal 11" xfId="28" xr:uid="{00000000-0005-0000-0000-000017000000}"/>
    <cellStyle name="Normal 11 2" xfId="70" xr:uid="{C97508DE-05A7-4194-8B25-9E019D05A613}"/>
    <cellStyle name="Normal 12" xfId="31" xr:uid="{00000000-0005-0000-0000-000018000000}"/>
    <cellStyle name="Normal 12 2" xfId="73" xr:uid="{FD846ECD-D8AA-4831-9354-BBD58B57ED9F}"/>
    <cellStyle name="Normal 13" xfId="33" xr:uid="{00000000-0005-0000-0000-000019000000}"/>
    <cellStyle name="Normal 13 2" xfId="74" xr:uid="{0B39FC60-5D35-4FE2-BBA4-A32AA0C848D5}"/>
    <cellStyle name="Normal 14" xfId="34" xr:uid="{00000000-0005-0000-0000-00001A000000}"/>
    <cellStyle name="Normal 14 2" xfId="45" xr:uid="{00000000-0005-0000-0000-00001B000000}"/>
    <cellStyle name="Normal 14 2 2" xfId="86" xr:uid="{89B058E8-D111-4D34-AF10-B84D4E323A05}"/>
    <cellStyle name="Normal 14 3" xfId="75" xr:uid="{F147210E-651A-4864-AEE0-C422DC4076C8}"/>
    <cellStyle name="Normal 15" xfId="38" xr:uid="{00000000-0005-0000-0000-00001C000000}"/>
    <cellStyle name="Normal 15 2" xfId="79" xr:uid="{17F3728A-31FF-494E-90A2-432189B065DE}"/>
    <cellStyle name="Normal 16" xfId="40" xr:uid="{00000000-0005-0000-0000-00001D000000}"/>
    <cellStyle name="Normal 16 2" xfId="81" xr:uid="{0B3DF45A-5C1C-495E-9E5D-AAAD65BC8EAF}"/>
    <cellStyle name="Normal 17" xfId="48" xr:uid="{00000000-0005-0000-0000-00001E000000}"/>
    <cellStyle name="Normal 17 2" xfId="89" xr:uid="{E77D0773-D736-4FC0-A1F0-559398B373FC}"/>
    <cellStyle name="Normal 18" xfId="49" xr:uid="{00000000-0005-0000-0000-00001F000000}"/>
    <cellStyle name="Normal 18 2" xfId="90" xr:uid="{3B70AD5A-9B03-416A-9BEC-56E89DC1E3E3}"/>
    <cellStyle name="Normal 19" xfId="93" xr:uid="{0797886F-63C6-4955-B953-CE0DA69DE77E}"/>
    <cellStyle name="Normal 2" xfId="4" xr:uid="{00000000-0005-0000-0000-000020000000}"/>
    <cellStyle name="Normal 2 2" xfId="19" xr:uid="{00000000-0005-0000-0000-000021000000}"/>
    <cellStyle name="Normal 2 2 2" xfId="61" xr:uid="{BC6B2C76-23B1-4FAF-9FE5-D68D111D8E37}"/>
    <cellStyle name="Normal 3" xfId="7" xr:uid="{00000000-0005-0000-0000-000022000000}"/>
    <cellStyle name="Normal 3 2" xfId="32" xr:uid="{00000000-0005-0000-0000-000023000000}"/>
    <cellStyle name="Normal 3 3" xfId="53" xr:uid="{8C897CB8-5B15-44E6-AB48-EE585F2A9FDB}"/>
    <cellStyle name="Normal 4" xfId="6" xr:uid="{00000000-0005-0000-0000-000024000000}"/>
    <cellStyle name="Normal 5" xfId="13" xr:uid="{00000000-0005-0000-0000-000025000000}"/>
    <cellStyle name="Normal 5 2" xfId="56" xr:uid="{DCF189EA-4DB3-4DB9-A1E4-9EC7D8E4FF88}"/>
    <cellStyle name="Normal 6" xfId="15" xr:uid="{00000000-0005-0000-0000-000026000000}"/>
    <cellStyle name="Normal 6 2" xfId="58" xr:uid="{2F41B713-C8E7-4DB3-8F42-050B1F9C5A4E}"/>
    <cellStyle name="Normal 7" xfId="18" xr:uid="{00000000-0005-0000-0000-000027000000}"/>
    <cellStyle name="Normal 7 2" xfId="43" xr:uid="{00000000-0005-0000-0000-000028000000}"/>
    <cellStyle name="Normal 7 2 2" xfId="84" xr:uid="{872D4F16-3472-463A-AE9A-308FC2A3BDE9}"/>
    <cellStyle name="Normal 7 3" xfId="60" xr:uid="{C6BEFB5D-B5D3-48C6-8FBF-90F2B27658CD}"/>
    <cellStyle name="Normal 8" xfId="21" xr:uid="{00000000-0005-0000-0000-000029000000}"/>
    <cellStyle name="Normal 8 2" xfId="63" xr:uid="{9C0FEAE8-88DA-4DE5-A735-E4DEB3AE5B34}"/>
    <cellStyle name="Normal 9" xfId="25" xr:uid="{00000000-0005-0000-0000-00002A000000}"/>
    <cellStyle name="Normal 9 2" xfId="67" xr:uid="{F99AB923-CD46-48DE-8EEB-F93A4CF9AB7F}"/>
    <cellStyle name="Percent" xfId="3" builtinId="5"/>
    <cellStyle name="Percent 2" xfId="9" xr:uid="{00000000-0005-0000-0000-00002C000000}"/>
    <cellStyle name="Percent 2 2" xfId="12" xr:uid="{00000000-0005-0000-0000-00002D000000}"/>
    <cellStyle name="Percent 2 3" xfId="55" xr:uid="{58DFD41D-47EB-4793-B037-A7F25D8390E5}"/>
    <cellStyle name="Percent 3" xfId="23" xr:uid="{00000000-0005-0000-0000-00002E000000}"/>
    <cellStyle name="Percent 3 2" xfId="65" xr:uid="{62A829E5-6466-4074-AEEA-A03BD6FA190D}"/>
    <cellStyle name="Percent 4" xfId="29" xr:uid="{00000000-0005-0000-0000-00002F000000}"/>
    <cellStyle name="Percent 4 2" xfId="71" xr:uid="{FE5EB115-6DA7-43A3-847F-23F360BCD713}"/>
    <cellStyle name="Percent 5" xfId="37" xr:uid="{00000000-0005-0000-0000-000030000000}"/>
    <cellStyle name="Percent 5 2" xfId="46" xr:uid="{00000000-0005-0000-0000-000031000000}"/>
    <cellStyle name="Percent 5 2 2" xfId="87" xr:uid="{B14E5C4C-6F2A-4D2B-940D-ACE80F882C8A}"/>
    <cellStyle name="Percent 5 3" xfId="78" xr:uid="{46C278BC-573B-4F9D-9B73-711B87B34380}"/>
    <cellStyle name="Percent 6" xfId="39" xr:uid="{00000000-0005-0000-0000-000032000000}"/>
    <cellStyle name="Percent 6 2" xfId="80" xr:uid="{8EC97496-1D30-496A-83FB-B9324BC1A261}"/>
    <cellStyle name="Percent 7" xfId="42" xr:uid="{00000000-0005-0000-0000-000033000000}"/>
    <cellStyle name="Percent 7 2" xfId="83" xr:uid="{58FFEFAE-B5A3-4E22-A13F-88A3C260FBBF}"/>
    <cellStyle name="Percent 8" xfId="51" xr:uid="{00000000-0005-0000-0000-000034000000}"/>
    <cellStyle name="Percent 8 2" xfId="92" xr:uid="{7EEF47A1-83EE-48E8-8851-5E6A9D02D0D0}"/>
    <cellStyle name="Percent Complete" xfId="99" xr:uid="{35D19DB1-116C-431C-B54B-CD9F78FC6970}"/>
    <cellStyle name="Period Headers" xfId="96" xr:uid="{C07349EA-4B69-4ECA-B177-4DEA4F6A013A}"/>
    <cellStyle name="Period Highlight Control" xfId="100" xr:uid="{D78E945A-1B81-4C2C-A577-0964DB613654}"/>
    <cellStyle name="Period Value" xfId="106" xr:uid="{C56149A9-0CC7-4638-9D11-41E2B549D9CE}"/>
    <cellStyle name="Plan legend" xfId="107" xr:uid="{8E13C407-EB62-4A93-9132-F5575E94FED0}"/>
    <cellStyle name="Project Headers" xfId="97" xr:uid="{BC1B4399-C916-4CA1-BA00-9AB3E860DA0F}"/>
    <cellStyle name="Title 2" xfId="101" xr:uid="{33603CAB-98AA-453F-93C8-695DF98A8E39}"/>
  </cellStyles>
  <dxfs count="4"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009900"/>
      <color rgb="FF3F8741"/>
      <color rgb="FFFF9966"/>
      <color rgb="FF33CC33"/>
      <color rgb="FF0066FF"/>
      <color rgb="FFFFCC66"/>
      <color rgb="FF347C2C"/>
      <color rgb="FF41873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Chart!$A$5</c:f>
              <c:strCache>
                <c:ptCount val="1"/>
                <c:pt idx="0">
                  <c:v>5% of the Investment Portfolio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Chart!$B$4:$O$4</c:f>
              <c:strCache>
                <c:ptCount val="14"/>
                <c:pt idx="0">
                  <c:v>YEAR 6</c:v>
                </c:pt>
                <c:pt idx="1">
                  <c:v>YEAR 7</c:v>
                </c:pt>
                <c:pt idx="2">
                  <c:v>YEAR 8</c:v>
                </c:pt>
                <c:pt idx="3">
                  <c:v>YEAR 9</c:v>
                </c:pt>
                <c:pt idx="4">
                  <c:v>YEAR 1</c:v>
                </c:pt>
                <c:pt idx="5">
                  <c:v>YEAR 2</c:v>
                </c:pt>
                <c:pt idx="6">
                  <c:v>YEAR 3</c:v>
                </c:pt>
                <c:pt idx="7">
                  <c:v>YEAR 4</c:v>
                </c:pt>
                <c:pt idx="8">
                  <c:v>YEAR 5</c:v>
                </c:pt>
                <c:pt idx="9">
                  <c:v>YEAR 6</c:v>
                </c:pt>
                <c:pt idx="10">
                  <c:v>YEAR 7</c:v>
                </c:pt>
                <c:pt idx="11">
                  <c:v>YEAR 8</c:v>
                </c:pt>
                <c:pt idx="12">
                  <c:v>YEAR 9</c:v>
                </c:pt>
                <c:pt idx="13">
                  <c:v>YEAR 10</c:v>
                </c:pt>
              </c:strCache>
            </c:strRef>
          </c:cat>
          <c:val>
            <c:numRef>
              <c:f>Chart!$B$5:$O$5</c:f>
              <c:numCache>
                <c:formatCode>_(* #,##0_);_(* \(#,##0\);_(* "-"??_);_(@_)</c:formatCode>
                <c:ptCount val="14"/>
                <c:pt idx="0">
                  <c:v>17298636</c:v>
                </c:pt>
                <c:pt idx="1">
                  <c:v>17745949</c:v>
                </c:pt>
                <c:pt idx="2">
                  <c:v>17555826</c:v>
                </c:pt>
                <c:pt idx="3">
                  <c:v>17448120</c:v>
                </c:pt>
                <c:pt idx="4">
                  <c:v>17548282.09008</c:v>
                </c:pt>
                <c:pt idx="5">
                  <c:v>18228341.036019087</c:v>
                </c:pt>
                <c:pt idx="6">
                  <c:v>18925516.62677272</c:v>
                </c:pt>
                <c:pt idx="7">
                  <c:v>19730064.557456236</c:v>
                </c:pt>
                <c:pt idx="8">
                  <c:v>20623851.316989228</c:v>
                </c:pt>
                <c:pt idx="9">
                  <c:v>21568148.678609848</c:v>
                </c:pt>
                <c:pt idx="10">
                  <c:v>21983674.101957023</c:v>
                </c:pt>
                <c:pt idx="11">
                  <c:v>22387477.282281153</c:v>
                </c:pt>
                <c:pt idx="12">
                  <c:v>22781891.325263161</c:v>
                </c:pt>
                <c:pt idx="13">
                  <c:v>23170656.194990247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0-4DC3-9A32-C28E852EA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662944"/>
        <c:axId val="1894666992"/>
      </c:barChart>
      <c:catAx>
        <c:axId val="18006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66992"/>
        <c:crosses val="autoZero"/>
        <c:auto val="1"/>
        <c:lblAlgn val="ctr"/>
        <c:lblOffset val="100"/>
        <c:noMultiLvlLbl val="0"/>
      </c:catAx>
      <c:valAx>
        <c:axId val="1894666992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6294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327421</xdr:colOff>
      <xdr:row>6</xdr:row>
      <xdr:rowOff>152399</xdr:rowOff>
    </xdr:from>
    <xdr:to>
      <xdr:col>8</xdr:col>
      <xdr:colOff>845343</xdr:colOff>
      <xdr:row>31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>
    <tabColor theme="5" tint="0.39997558519241921"/>
    <pageSetUpPr fitToPage="1"/>
  </sheetPr>
  <dimension ref="A1:Q39"/>
  <sheetViews>
    <sheetView showGridLines="0" topLeftCell="A4" zoomScale="90" zoomScaleNormal="90" workbookViewId="0"/>
  </sheetViews>
  <sheetFormatPr defaultColWidth="8.7265625" defaultRowHeight="14.5"/>
  <cols>
    <col min="1" max="1" width="5.54296875" style="7" customWidth="1"/>
    <col min="2" max="2" width="26" style="7" bestFit="1" customWidth="1"/>
    <col min="3" max="4" width="66.54296875" style="7" customWidth="1"/>
    <col min="5" max="5" width="71.81640625" style="7" customWidth="1"/>
    <col min="6" max="6" width="8.81640625" style="7" customWidth="1"/>
    <col min="7" max="16384" width="8.7265625" style="7"/>
  </cols>
  <sheetData>
    <row r="1" spans="1:17" s="6" customFormat="1">
      <c r="A1" s="6" t="s">
        <v>425</v>
      </c>
      <c r="C1" s="7"/>
      <c r="D1" s="7"/>
      <c r="E1" s="7"/>
      <c r="F1" s="7"/>
      <c r="G1" s="7"/>
      <c r="H1" s="7"/>
      <c r="I1" s="7"/>
      <c r="J1" s="7"/>
    </row>
    <row r="2" spans="1:17" s="6" customFormat="1">
      <c r="A2" s="6" t="s">
        <v>0</v>
      </c>
      <c r="C2" s="7"/>
      <c r="D2" s="7"/>
      <c r="E2" s="7"/>
      <c r="F2" s="7"/>
      <c r="G2" s="7"/>
      <c r="H2" s="7"/>
      <c r="I2" s="7"/>
      <c r="J2" s="7"/>
    </row>
    <row r="3" spans="1:17">
      <c r="A3" s="8" t="s">
        <v>529</v>
      </c>
    </row>
    <row r="5" spans="1:17">
      <c r="A5" s="6" t="s">
        <v>1</v>
      </c>
    </row>
    <row r="6" spans="1:17" s="6" customFormat="1">
      <c r="A6" s="9"/>
      <c r="B6" s="9" t="s">
        <v>2</v>
      </c>
      <c r="C6" s="9" t="s">
        <v>3</v>
      </c>
    </row>
    <row r="7" spans="1:17">
      <c r="A7" s="7">
        <v>1</v>
      </c>
      <c r="B7" s="534" t="s">
        <v>4</v>
      </c>
      <c r="C7" s="7" t="s">
        <v>5</v>
      </c>
    </row>
    <row r="8" spans="1:17">
      <c r="A8" s="7">
        <v>2</v>
      </c>
      <c r="B8" s="646" t="s">
        <v>6</v>
      </c>
      <c r="C8" s="7" t="s">
        <v>7</v>
      </c>
    </row>
    <row r="9" spans="1:17">
      <c r="A9" s="7">
        <v>3</v>
      </c>
      <c r="B9" s="535" t="s">
        <v>8</v>
      </c>
      <c r="C9" s="7" t="s">
        <v>9</v>
      </c>
    </row>
    <row r="10" spans="1:17">
      <c r="A10" s="7">
        <v>4</v>
      </c>
      <c r="B10" s="535" t="s">
        <v>10</v>
      </c>
      <c r="C10" s="7" t="s">
        <v>11</v>
      </c>
    </row>
    <row r="11" spans="1:17">
      <c r="A11" s="7">
        <v>5</v>
      </c>
      <c r="B11" s="535" t="s">
        <v>12</v>
      </c>
      <c r="C11" s="7" t="s">
        <v>13</v>
      </c>
    </row>
    <row r="12" spans="1:17">
      <c r="A12" s="7">
        <v>6</v>
      </c>
      <c r="B12" s="647" t="s">
        <v>14</v>
      </c>
      <c r="C12" s="7" t="s">
        <v>15</v>
      </c>
    </row>
    <row r="13" spans="1:17">
      <c r="B13" s="6"/>
    </row>
    <row r="14" spans="1:17">
      <c r="A14" s="582" t="s">
        <v>17</v>
      </c>
      <c r="B14" s="582"/>
      <c r="C14" s="582"/>
      <c r="D14" s="582"/>
      <c r="E14" s="582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s="6" customFormat="1">
      <c r="A15" s="9" t="s">
        <v>18</v>
      </c>
      <c r="B15" s="9"/>
      <c r="C15" s="9" t="s">
        <v>16</v>
      </c>
      <c r="D15" s="9" t="s">
        <v>19</v>
      </c>
      <c r="E15" s="9" t="s">
        <v>3</v>
      </c>
    </row>
    <row r="16" spans="1:17" s="6" customFormat="1">
      <c r="A16" s="6" t="s">
        <v>20</v>
      </c>
    </row>
    <row r="17" spans="1:5" s="6" customFormat="1">
      <c r="A17" s="498" t="s">
        <v>8</v>
      </c>
      <c r="B17" s="501"/>
      <c r="C17" s="577"/>
      <c r="D17" s="499"/>
      <c r="E17" s="499" t="s">
        <v>13</v>
      </c>
    </row>
    <row r="18" spans="1:5" s="6" customFormat="1">
      <c r="A18" s="498" t="s">
        <v>10</v>
      </c>
      <c r="B18" s="501"/>
      <c r="C18" s="577"/>
      <c r="D18" s="499"/>
      <c r="E18" s="499" t="s">
        <v>13</v>
      </c>
    </row>
    <row r="19" spans="1:5" s="6" customFormat="1">
      <c r="A19" s="498" t="s">
        <v>12</v>
      </c>
      <c r="B19" s="501"/>
      <c r="C19" s="577"/>
      <c r="D19" s="499"/>
      <c r="E19" s="499" t="s">
        <v>13</v>
      </c>
    </row>
    <row r="20" spans="1:5" s="6" customFormat="1"/>
    <row r="21" spans="1:5" s="6" customFormat="1">
      <c r="A21" s="6" t="s">
        <v>21</v>
      </c>
    </row>
    <row r="22" spans="1:5">
      <c r="A22" s="498">
        <v>1007</v>
      </c>
      <c r="B22" s="577"/>
      <c r="C22" s="499"/>
      <c r="D22" s="577" t="s">
        <v>445</v>
      </c>
      <c r="E22" s="499" t="s">
        <v>22</v>
      </c>
    </row>
    <row r="23" spans="1:5">
      <c r="A23" s="498">
        <v>1008</v>
      </c>
      <c r="B23" s="577"/>
      <c r="C23" s="499"/>
      <c r="D23" s="577" t="s">
        <v>431</v>
      </c>
      <c r="E23" s="499" t="s">
        <v>23</v>
      </c>
    </row>
    <row r="24" spans="1:5">
      <c r="C24" s="343"/>
      <c r="E24" s="343"/>
    </row>
    <row r="25" spans="1:5">
      <c r="A25" s="6" t="s">
        <v>24</v>
      </c>
      <c r="C25" s="343"/>
      <c r="E25" s="343"/>
    </row>
    <row r="26" spans="1:5">
      <c r="A26" s="6" t="s">
        <v>25</v>
      </c>
      <c r="C26" s="343"/>
      <c r="E26" s="343"/>
    </row>
    <row r="27" spans="1:5" ht="29">
      <c r="A27" s="498" t="s">
        <v>26</v>
      </c>
      <c r="B27" s="577"/>
      <c r="C27" s="577"/>
      <c r="D27" s="500" t="s">
        <v>471</v>
      </c>
      <c r="E27" s="499" t="s">
        <v>27</v>
      </c>
    </row>
    <row r="28" spans="1:5">
      <c r="C28" s="343"/>
      <c r="D28" s="11"/>
      <c r="E28" s="343"/>
    </row>
    <row r="29" spans="1:5">
      <c r="A29" s="6" t="s">
        <v>28</v>
      </c>
      <c r="C29" s="343"/>
      <c r="E29" s="343"/>
    </row>
    <row r="30" spans="1:5">
      <c r="A30" s="498">
        <v>2503</v>
      </c>
      <c r="B30" s="577"/>
      <c r="C30" s="577"/>
      <c r="D30" s="577" t="s">
        <v>378</v>
      </c>
      <c r="E30" s="499" t="s">
        <v>29</v>
      </c>
    </row>
    <row r="31" spans="1:5">
      <c r="C31" s="343"/>
      <c r="D31" s="11"/>
      <c r="E31" s="343"/>
    </row>
    <row r="32" spans="1:5">
      <c r="A32" s="6" t="s">
        <v>30</v>
      </c>
      <c r="C32" s="343"/>
      <c r="D32" s="11"/>
      <c r="E32" s="343"/>
    </row>
    <row r="33" spans="1:5">
      <c r="A33" s="498">
        <v>4001</v>
      </c>
      <c r="B33" s="577"/>
      <c r="C33" s="499"/>
      <c r="D33" s="500" t="s">
        <v>451</v>
      </c>
      <c r="E33" s="499" t="s">
        <v>426</v>
      </c>
    </row>
    <row r="34" spans="1:5">
      <c r="A34" s="648">
        <v>4002</v>
      </c>
      <c r="B34" s="577"/>
      <c r="C34" s="499"/>
      <c r="D34" s="500" t="s">
        <v>451</v>
      </c>
      <c r="E34" s="499" t="s">
        <v>496</v>
      </c>
    </row>
    <row r="35" spans="1:5">
      <c r="A35" s="648"/>
      <c r="B35" s="577"/>
      <c r="C35" s="499"/>
      <c r="D35" s="577"/>
      <c r="E35" s="499" t="s">
        <v>495</v>
      </c>
    </row>
    <row r="36" spans="1:5">
      <c r="C36" s="343"/>
    </row>
    <row r="39" spans="1:5">
      <c r="B39" s="6"/>
    </row>
  </sheetData>
  <mergeCells count="1">
    <mergeCell ref="A34:A35"/>
  </mergeCells>
  <hyperlinks>
    <hyperlink ref="A34:A35" location="'4002'!A1" display="'4002'!A1" xr:uid="{00000000-0004-0000-0000-000000000000}"/>
    <hyperlink ref="A33" location="'4001'!A1" display="'4001'!A1" xr:uid="{00000000-0004-0000-0000-000001000000}"/>
    <hyperlink ref="A30" location="'2503'!A1" display="'2503'!A1" xr:uid="{00000000-0004-0000-0000-000007000000}"/>
    <hyperlink ref="A27" location="'2005'!A1" display="'2005'!A1" xr:uid="{00000000-0004-0000-0000-00000C000000}"/>
    <hyperlink ref="A23" location="'1008'!A1" display="'1008'!A1" xr:uid="{00000000-0004-0000-0000-00000F000000}"/>
    <hyperlink ref="A22" location="'1007'!A1" display="'1007'!A1" xr:uid="{00000000-0004-0000-0000-000010000000}"/>
  </hyperlinks>
  <pageMargins left="0.75" right="0.75" top="1" bottom="1" header="0.5" footer="0.5"/>
  <pageSetup scale="47" fitToHeight="0" orientation="landscape" r:id="rId1"/>
  <headerFooter alignWithMargins="0">
    <oddFooter>&amp;C&amp;"-,Regular"Page &amp;P of &amp;N</oddFooter>
  </headerFooter>
  <customProperties>
    <customPr name="OrphanNamesChecke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33">
    <tabColor rgb="FF0070C0"/>
  </sheetPr>
  <dimension ref="A1:BP57"/>
  <sheetViews>
    <sheetView showGridLines="0" zoomScale="90" zoomScaleNormal="90" workbookViewId="0">
      <pane xSplit="8" ySplit="4" topLeftCell="I5" activePane="bottomRight" state="frozen"/>
      <selection pane="topRight" activeCell="I1" sqref="I1"/>
      <selection pane="bottomLeft" activeCell="A5" sqref="A5"/>
      <selection pane="bottomRight"/>
    </sheetView>
  </sheetViews>
  <sheetFormatPr defaultColWidth="9.1796875" defaultRowHeight="14.5" outlineLevelRow="1" outlineLevelCol="2"/>
  <cols>
    <col min="1" max="1" width="9.1796875" style="7"/>
    <col min="2" max="5" width="4.7265625" style="7" customWidth="1"/>
    <col min="6" max="8" width="9.1796875" style="7"/>
    <col min="9" max="9" width="9.1796875" style="7" customWidth="1"/>
    <col min="10" max="10" width="19.453125" style="7" hidden="1" customWidth="1" outlineLevel="1"/>
    <col min="11" max="11" width="10.7265625" style="7" hidden="1" customWidth="1" outlineLevel="2"/>
    <col min="12" max="12" width="12.26953125" style="7" hidden="1" customWidth="1" outlineLevel="2"/>
    <col min="13" max="13" width="11" style="7" hidden="1" customWidth="1" outlineLevel="2"/>
    <col min="14" max="14" width="16" style="7" hidden="1" customWidth="1" outlineLevel="1" collapsed="1"/>
    <col min="15" max="15" width="4.7265625" style="7" hidden="1" customWidth="1" outlineLevel="1"/>
    <col min="16" max="16" width="19.453125" style="7" hidden="1" customWidth="1" outlineLevel="1"/>
    <col min="17" max="17" width="13.453125" style="7" hidden="1" customWidth="1" outlineLevel="2"/>
    <col min="18" max="18" width="12.26953125" style="7" hidden="1" customWidth="1" outlineLevel="2"/>
    <col min="19" max="19" width="11" style="7" hidden="1" customWidth="1" outlineLevel="2"/>
    <col min="20" max="20" width="16" style="7" hidden="1" customWidth="1" outlineLevel="1" collapsed="1"/>
    <col min="21" max="21" width="4.7265625" style="7" hidden="1" customWidth="1" outlineLevel="1"/>
    <col min="22" max="22" width="19.453125" style="7" hidden="1" customWidth="1" outlineLevel="1"/>
    <col min="23" max="23" width="12" style="7" hidden="1" customWidth="1" outlineLevel="2"/>
    <col min="24" max="24" width="12.26953125" style="7" hidden="1" customWidth="1" outlineLevel="2"/>
    <col min="25" max="25" width="11" style="7" hidden="1" customWidth="1" outlineLevel="2"/>
    <col min="26" max="26" width="16" style="7" hidden="1" customWidth="1" outlineLevel="1" collapsed="1"/>
    <col min="27" max="27" width="4.7265625" style="7" hidden="1" customWidth="1" outlineLevel="1"/>
    <col min="28" max="28" width="19.453125" style="7" hidden="1" customWidth="1" outlineLevel="1"/>
    <col min="29" max="29" width="12" style="7" hidden="1" customWidth="1" outlineLevel="2"/>
    <col min="30" max="30" width="12.26953125" style="7" hidden="1" customWidth="1" outlineLevel="2"/>
    <col min="31" max="31" width="11" style="7" hidden="1" customWidth="1" outlineLevel="2"/>
    <col min="32" max="32" width="16" style="7" hidden="1" customWidth="1" outlineLevel="1" collapsed="1"/>
    <col min="33" max="33" width="4.7265625" style="7" hidden="1" customWidth="1" outlineLevel="1"/>
    <col min="34" max="34" width="19.453125" style="7" customWidth="1" collapsed="1"/>
    <col min="35" max="35" width="12" style="7" hidden="1" customWidth="1" outlineLevel="1"/>
    <col min="36" max="36" width="12.26953125" style="7" hidden="1" customWidth="1" outlineLevel="1"/>
    <col min="37" max="37" width="11" style="7" hidden="1" customWidth="1" outlineLevel="1"/>
    <col min="38" max="38" width="16" style="7" customWidth="1" collapsed="1"/>
    <col min="39" max="39" width="4.453125" style="7" customWidth="1"/>
    <col min="40" max="40" width="19.453125" style="7" customWidth="1"/>
    <col min="41" max="41" width="12" style="7" hidden="1" customWidth="1" outlineLevel="1"/>
    <col min="42" max="42" width="12.26953125" style="7" hidden="1" customWidth="1" outlineLevel="1"/>
    <col min="43" max="43" width="11" style="7" hidden="1" customWidth="1" outlineLevel="1"/>
    <col min="44" max="44" width="16" style="7" customWidth="1" collapsed="1"/>
    <col min="45" max="45" width="2.7265625" style="7" customWidth="1"/>
    <col min="46" max="46" width="19.453125" style="7" bestFit="1" customWidth="1"/>
    <col min="47" max="47" width="12" style="7" hidden="1" customWidth="1" outlineLevel="1"/>
    <col min="48" max="48" width="12.26953125" style="7" hidden="1" customWidth="1" outlineLevel="1"/>
    <col min="49" max="49" width="11" style="7" hidden="1" customWidth="1" outlineLevel="1"/>
    <col min="50" max="50" width="16" style="7" bestFit="1" customWidth="1" collapsed="1"/>
    <col min="51" max="51" width="2.7265625" style="7" customWidth="1"/>
    <col min="52" max="52" width="19.453125" style="7" bestFit="1" customWidth="1"/>
    <col min="53" max="53" width="12" style="7" hidden="1" customWidth="1" outlineLevel="1"/>
    <col min="54" max="54" width="12.26953125" style="7" hidden="1" customWidth="1" outlineLevel="1"/>
    <col min="55" max="55" width="11" style="7" hidden="1" customWidth="1" outlineLevel="1"/>
    <col min="56" max="56" width="16" style="7" bestFit="1" customWidth="1" collapsed="1"/>
    <col min="57" max="57" width="20.81640625" style="36" hidden="1" customWidth="1"/>
    <col min="58" max="58" width="20.81640625" style="36" customWidth="1"/>
    <col min="59" max="66" width="16.7265625" style="7" customWidth="1"/>
    <col min="67" max="68" width="13.453125" style="7" bestFit="1" customWidth="1"/>
    <col min="69" max="16384" width="9.1796875" style="7"/>
  </cols>
  <sheetData>
    <row r="1" spans="1:68">
      <c r="A1" s="13" t="s">
        <v>454</v>
      </c>
    </row>
    <row r="2" spans="1:68" ht="15" thickBot="1">
      <c r="A2" s="13"/>
    </row>
    <row r="3" spans="1:68" ht="15" thickBot="1">
      <c r="A3" s="512"/>
      <c r="J3" s="583" t="s">
        <v>450</v>
      </c>
      <c r="K3" s="583"/>
      <c r="L3" s="583"/>
      <c r="M3" s="583"/>
      <c r="N3" s="583"/>
      <c r="P3" s="656" t="s">
        <v>446</v>
      </c>
      <c r="Q3" s="656"/>
      <c r="R3" s="656"/>
      <c r="S3" s="656"/>
      <c r="T3" s="656"/>
      <c r="U3" s="14"/>
      <c r="V3" s="655" t="s">
        <v>447</v>
      </c>
      <c r="W3" s="655"/>
      <c r="X3" s="655"/>
      <c r="Y3" s="655"/>
      <c r="Z3" s="655"/>
      <c r="AA3" s="14"/>
      <c r="AB3" s="657" t="s">
        <v>455</v>
      </c>
      <c r="AC3" s="657"/>
      <c r="AD3" s="657"/>
      <c r="AE3" s="657"/>
      <c r="AF3" s="657"/>
      <c r="AG3" s="14"/>
      <c r="AH3" s="658" t="s">
        <v>456</v>
      </c>
      <c r="AI3" s="658"/>
      <c r="AJ3" s="658"/>
      <c r="AK3" s="658"/>
      <c r="AL3" s="658"/>
      <c r="AM3" s="14"/>
      <c r="AN3" s="656" t="s">
        <v>457</v>
      </c>
      <c r="AO3" s="656"/>
      <c r="AP3" s="656"/>
      <c r="AQ3" s="656"/>
      <c r="AR3" s="656"/>
      <c r="AS3" s="14"/>
      <c r="AT3" s="655" t="s">
        <v>458</v>
      </c>
      <c r="AU3" s="655"/>
      <c r="AV3" s="655"/>
      <c r="AW3" s="655"/>
      <c r="AX3" s="655"/>
      <c r="AY3" s="14"/>
      <c r="AZ3" s="654" t="s">
        <v>459</v>
      </c>
      <c r="BA3" s="654"/>
      <c r="BB3" s="654"/>
      <c r="BC3" s="654"/>
      <c r="BD3" s="654"/>
      <c r="BE3" s="97" t="s">
        <v>349</v>
      </c>
      <c r="BF3" s="97" t="s">
        <v>349</v>
      </c>
      <c r="BG3" s="98" t="s">
        <v>52</v>
      </c>
      <c r="BH3" s="98" t="s">
        <v>52</v>
      </c>
      <c r="BI3" s="98" t="s">
        <v>52</v>
      </c>
      <c r="BJ3" s="98" t="s">
        <v>52</v>
      </c>
      <c r="BK3" s="98" t="s">
        <v>52</v>
      </c>
      <c r="BL3" s="98" t="s">
        <v>52</v>
      </c>
      <c r="BM3" s="98" t="s">
        <v>52</v>
      </c>
      <c r="BN3" s="98" t="s">
        <v>52</v>
      </c>
      <c r="BO3" s="98" t="s">
        <v>52</v>
      </c>
      <c r="BP3" s="98" t="s">
        <v>52</v>
      </c>
    </row>
    <row r="4" spans="1:68" s="6" customFormat="1">
      <c r="A4" s="513"/>
      <c r="J4" s="6" t="s">
        <v>356</v>
      </c>
      <c r="K4" s="6" t="s">
        <v>343</v>
      </c>
      <c r="L4" s="6" t="s">
        <v>357</v>
      </c>
      <c r="M4" s="6" t="s">
        <v>358</v>
      </c>
      <c r="N4" s="6" t="s">
        <v>359</v>
      </c>
      <c r="P4" s="6" t="s">
        <v>356</v>
      </c>
      <c r="Q4" s="6" t="s">
        <v>343</v>
      </c>
      <c r="R4" s="6" t="s">
        <v>357</v>
      </c>
      <c r="S4" s="6" t="s">
        <v>358</v>
      </c>
      <c r="T4" s="6" t="s">
        <v>359</v>
      </c>
      <c r="V4" s="6" t="s">
        <v>356</v>
      </c>
      <c r="W4" s="6" t="s">
        <v>343</v>
      </c>
      <c r="X4" s="6" t="s">
        <v>357</v>
      </c>
      <c r="Y4" s="6" t="s">
        <v>358</v>
      </c>
      <c r="Z4" s="6" t="s">
        <v>359</v>
      </c>
      <c r="AB4" s="6" t="s">
        <v>356</v>
      </c>
      <c r="AC4" s="6" t="s">
        <v>343</v>
      </c>
      <c r="AD4" s="6" t="s">
        <v>357</v>
      </c>
      <c r="AE4" s="6" t="s">
        <v>358</v>
      </c>
      <c r="AF4" s="6" t="s">
        <v>359</v>
      </c>
      <c r="AH4" s="6" t="s">
        <v>356</v>
      </c>
      <c r="AI4" s="6" t="s">
        <v>343</v>
      </c>
      <c r="AJ4" s="6" t="s">
        <v>357</v>
      </c>
      <c r="AK4" s="6" t="s">
        <v>358</v>
      </c>
      <c r="AL4" s="6" t="s">
        <v>359</v>
      </c>
      <c r="AN4" s="6" t="s">
        <v>356</v>
      </c>
      <c r="AO4" s="6" t="s">
        <v>343</v>
      </c>
      <c r="AP4" s="6" t="s">
        <v>357</v>
      </c>
      <c r="AQ4" s="6" t="s">
        <v>358</v>
      </c>
      <c r="AR4" s="6" t="s">
        <v>359</v>
      </c>
      <c r="AT4" s="6" t="s">
        <v>356</v>
      </c>
      <c r="AU4" s="6" t="s">
        <v>343</v>
      </c>
      <c r="AV4" s="6" t="s">
        <v>357</v>
      </c>
      <c r="AW4" s="6" t="s">
        <v>358</v>
      </c>
      <c r="AX4" s="6" t="s">
        <v>359</v>
      </c>
      <c r="AZ4" s="6" t="s">
        <v>356</v>
      </c>
      <c r="BA4" s="6" t="s">
        <v>343</v>
      </c>
      <c r="BB4" s="6" t="s">
        <v>357</v>
      </c>
      <c r="BC4" s="6" t="s">
        <v>358</v>
      </c>
      <c r="BD4" s="6" t="s">
        <v>359</v>
      </c>
      <c r="BE4" s="99"/>
      <c r="BF4" s="99"/>
      <c r="BG4" s="100" t="s">
        <v>434</v>
      </c>
      <c r="BH4" s="100" t="s">
        <v>66</v>
      </c>
      <c r="BI4" s="100" t="s">
        <v>67</v>
      </c>
      <c r="BJ4" s="100" t="s">
        <v>68</v>
      </c>
      <c r="BK4" s="100" t="s">
        <v>69</v>
      </c>
      <c r="BL4" s="100" t="s">
        <v>70</v>
      </c>
      <c r="BM4" s="100" t="s">
        <v>71</v>
      </c>
      <c r="BN4" s="100" t="s">
        <v>72</v>
      </c>
      <c r="BO4" s="100" t="s">
        <v>73</v>
      </c>
      <c r="BP4" s="100" t="s">
        <v>74</v>
      </c>
    </row>
    <row r="5" spans="1:68">
      <c r="A5" s="576" t="s">
        <v>533</v>
      </c>
    </row>
    <row r="6" spans="1:68">
      <c r="B6" s="6" t="s">
        <v>360</v>
      </c>
    </row>
    <row r="7" spans="1:68">
      <c r="C7" s="6" t="s">
        <v>109</v>
      </c>
      <c r="J7" s="21"/>
      <c r="K7" s="21"/>
      <c r="L7" s="21"/>
      <c r="M7" s="21"/>
      <c r="N7" s="21"/>
      <c r="Q7" s="21"/>
      <c r="R7" s="58"/>
      <c r="S7" s="58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58"/>
      <c r="AO7" s="58"/>
      <c r="AP7" s="58"/>
      <c r="AQ7" s="58"/>
      <c r="AR7" s="58"/>
      <c r="AS7" s="21"/>
      <c r="AT7" s="58"/>
      <c r="AU7" s="58"/>
      <c r="AV7" s="58"/>
      <c r="AW7" s="58"/>
      <c r="AX7" s="58"/>
      <c r="AY7" s="21"/>
      <c r="AZ7" s="58"/>
      <c r="BA7" s="58"/>
      <c r="BB7" s="58"/>
      <c r="BC7" s="58"/>
      <c r="BD7" s="58"/>
      <c r="BE7" s="40"/>
      <c r="BF7" s="40"/>
    </row>
    <row r="8" spans="1:68">
      <c r="D8" s="7" t="s">
        <v>460</v>
      </c>
      <c r="J8" s="21"/>
      <c r="K8" s="21"/>
      <c r="L8" s="21"/>
      <c r="M8" s="21"/>
      <c r="N8" s="21">
        <f>SUM(J8:M8)</f>
        <v>0</v>
      </c>
      <c r="P8" s="21">
        <f>N8</f>
        <v>0</v>
      </c>
      <c r="Q8" s="21">
        <v>200000000</v>
      </c>
      <c r="R8" s="58"/>
      <c r="S8" s="58"/>
      <c r="T8" s="21">
        <f>SUM(P8:S8)</f>
        <v>200000000</v>
      </c>
      <c r="U8" s="21"/>
      <c r="V8" s="21">
        <f>T8</f>
        <v>200000000</v>
      </c>
      <c r="W8" s="21">
        <v>0</v>
      </c>
      <c r="X8" s="21">
        <v>0</v>
      </c>
      <c r="Y8" s="21">
        <v>0</v>
      </c>
      <c r="Z8" s="21">
        <f>SUM(V8:Y8)</f>
        <v>200000000</v>
      </c>
      <c r="AA8" s="21"/>
      <c r="AB8" s="21">
        <f>Z8</f>
        <v>200000000</v>
      </c>
      <c r="AC8" s="21"/>
      <c r="AD8" s="21"/>
      <c r="AE8" s="21"/>
      <c r="AF8" s="21">
        <f>SUM(AB8:AE8)</f>
        <v>200000000</v>
      </c>
      <c r="AG8" s="21"/>
      <c r="AH8" s="21">
        <f>AF8</f>
        <v>200000000</v>
      </c>
      <c r="AI8" s="21"/>
      <c r="AJ8" s="21"/>
      <c r="AK8" s="21"/>
      <c r="AL8" s="21">
        <f>SUM(AH8:AK8)</f>
        <v>200000000</v>
      </c>
      <c r="AM8" s="21"/>
      <c r="AN8" s="58">
        <f>AL8</f>
        <v>200000000</v>
      </c>
      <c r="AO8" s="58"/>
      <c r="AP8" s="58"/>
      <c r="AQ8" s="58"/>
      <c r="AR8" s="21">
        <f>SUM(AN8:AQ8)</f>
        <v>200000000</v>
      </c>
      <c r="AS8" s="21"/>
      <c r="AT8" s="21">
        <f>AR8</f>
        <v>200000000</v>
      </c>
      <c r="AU8" s="21"/>
      <c r="AV8" s="21"/>
      <c r="AW8" s="21"/>
      <c r="AX8" s="21">
        <f>SUM(AT8:AW8)</f>
        <v>200000000</v>
      </c>
      <c r="AY8" s="21"/>
      <c r="AZ8" s="21">
        <f>AX8</f>
        <v>200000000</v>
      </c>
      <c r="BA8" s="21"/>
      <c r="BB8" s="21"/>
      <c r="BC8" s="21"/>
      <c r="BD8" s="21">
        <f>SUM(AZ8:BC8)</f>
        <v>200000000</v>
      </c>
      <c r="BE8" s="40" t="s">
        <v>465</v>
      </c>
      <c r="BF8" s="40"/>
      <c r="BG8" s="101">
        <f>$BD$8</f>
        <v>200000000</v>
      </c>
      <c r="BH8" s="101">
        <f t="shared" ref="BH8:BP8" si="0">$BD$8</f>
        <v>200000000</v>
      </c>
      <c r="BI8" s="101">
        <f t="shared" si="0"/>
        <v>200000000</v>
      </c>
      <c r="BJ8" s="101">
        <f t="shared" si="0"/>
        <v>200000000</v>
      </c>
      <c r="BK8" s="101">
        <f t="shared" si="0"/>
        <v>200000000</v>
      </c>
      <c r="BL8" s="101">
        <f t="shared" si="0"/>
        <v>200000000</v>
      </c>
      <c r="BM8" s="101">
        <f t="shared" si="0"/>
        <v>200000000</v>
      </c>
      <c r="BN8" s="101">
        <f t="shared" si="0"/>
        <v>200000000</v>
      </c>
      <c r="BO8" s="101">
        <f t="shared" si="0"/>
        <v>200000000</v>
      </c>
      <c r="BP8" s="101">
        <f t="shared" si="0"/>
        <v>200000000</v>
      </c>
    </row>
    <row r="9" spans="1:68" hidden="1" outlineLevel="1">
      <c r="D9" s="6" t="s">
        <v>462</v>
      </c>
      <c r="J9" s="21"/>
      <c r="K9" s="21"/>
      <c r="L9" s="21"/>
      <c r="M9" s="21"/>
      <c r="N9" s="21"/>
      <c r="P9" s="21"/>
      <c r="Q9" s="21"/>
      <c r="R9" s="58"/>
      <c r="S9" s="58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58"/>
      <c r="AO9" s="58"/>
      <c r="AP9" s="58"/>
      <c r="AQ9" s="58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40"/>
      <c r="BF9" s="40"/>
    </row>
    <row r="10" spans="1:68" hidden="1" outlineLevel="1">
      <c r="F10" s="110"/>
      <c r="J10" s="21"/>
      <c r="K10" s="21"/>
      <c r="L10" s="21"/>
      <c r="M10" s="21"/>
      <c r="N10" s="21"/>
      <c r="P10" s="21"/>
      <c r="Q10" s="21"/>
      <c r="R10" s="58"/>
      <c r="S10" s="58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58"/>
      <c r="AO10" s="58"/>
      <c r="AP10" s="58"/>
      <c r="AQ10" s="58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40"/>
      <c r="BF10" s="40"/>
    </row>
    <row r="11" spans="1:68" hidden="1" outlineLevel="1">
      <c r="F11" s="110"/>
      <c r="J11" s="21"/>
      <c r="K11" s="21"/>
      <c r="L11" s="21"/>
      <c r="M11" s="21"/>
      <c r="N11" s="21"/>
      <c r="P11" s="21"/>
      <c r="Q11" s="21"/>
      <c r="R11" s="58"/>
      <c r="S11" s="58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58"/>
      <c r="AO11" s="58"/>
      <c r="AP11" s="58"/>
      <c r="AQ11" s="58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40"/>
      <c r="BF11" s="40"/>
    </row>
    <row r="12" spans="1:68" hidden="1" outlineLevel="1">
      <c r="F12" s="110"/>
      <c r="J12" s="21"/>
      <c r="K12" s="21"/>
      <c r="L12" s="21"/>
      <c r="M12" s="21"/>
      <c r="N12" s="21"/>
      <c r="P12" s="21"/>
      <c r="Q12" s="21"/>
      <c r="R12" s="58"/>
      <c r="S12" s="58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58"/>
      <c r="AO12" s="58"/>
      <c r="AP12" s="58"/>
      <c r="AQ12" s="58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40"/>
      <c r="BF12" s="40"/>
    </row>
    <row r="13" spans="1:68" hidden="1" outlineLevel="1">
      <c r="F13" s="110"/>
      <c r="J13" s="21"/>
      <c r="K13" s="21"/>
      <c r="L13" s="21"/>
      <c r="M13" s="21"/>
      <c r="N13" s="21"/>
      <c r="P13" s="21"/>
      <c r="Q13" s="21"/>
      <c r="R13" s="58"/>
      <c r="S13" s="58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58"/>
      <c r="AO13" s="58"/>
      <c r="AP13" s="58"/>
      <c r="AQ13" s="58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40"/>
      <c r="BF13" s="40"/>
    </row>
    <row r="14" spans="1:68" hidden="1" outlineLevel="1">
      <c r="F14" s="110"/>
      <c r="J14" s="21"/>
      <c r="K14" s="21"/>
      <c r="L14" s="21"/>
      <c r="M14" s="21"/>
      <c r="N14" s="21"/>
      <c r="P14" s="21"/>
      <c r="Q14" s="21"/>
      <c r="R14" s="58"/>
      <c r="S14" s="58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58"/>
      <c r="AO14" s="58"/>
      <c r="AP14" s="58"/>
      <c r="AQ14" s="58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40"/>
      <c r="BF14" s="40"/>
    </row>
    <row r="15" spans="1:68" hidden="1" outlineLevel="1">
      <c r="F15" s="110"/>
      <c r="J15" s="21"/>
      <c r="K15" s="21"/>
      <c r="L15" s="21"/>
      <c r="M15" s="21"/>
      <c r="N15" s="21"/>
      <c r="P15" s="21"/>
      <c r="Q15" s="21"/>
      <c r="R15" s="58"/>
      <c r="S15" s="58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58"/>
      <c r="AO15" s="58"/>
      <c r="AP15" s="58"/>
      <c r="AQ15" s="58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40"/>
      <c r="BF15" s="40"/>
    </row>
    <row r="16" spans="1:68" hidden="1" outlineLevel="1">
      <c r="F16" s="110"/>
      <c r="J16" s="21"/>
      <c r="K16" s="21"/>
      <c r="L16" s="21"/>
      <c r="M16" s="21"/>
      <c r="N16" s="21"/>
      <c r="P16" s="21"/>
      <c r="Q16" s="21"/>
      <c r="R16" s="58"/>
      <c r="S16" s="58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58"/>
      <c r="AO16" s="58"/>
      <c r="AP16" s="58"/>
      <c r="AQ16" s="58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40"/>
      <c r="BF16" s="40"/>
    </row>
    <row r="17" spans="2:68" hidden="1" outlineLevel="1">
      <c r="F17" s="110"/>
      <c r="J17" s="21"/>
      <c r="K17" s="21"/>
      <c r="L17" s="21"/>
      <c r="M17" s="21"/>
      <c r="N17" s="21"/>
      <c r="P17" s="21"/>
      <c r="Q17" s="21"/>
      <c r="R17" s="58"/>
      <c r="S17" s="58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58"/>
      <c r="AO17" s="58"/>
      <c r="AP17" s="58"/>
      <c r="AQ17" s="58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40"/>
      <c r="BF17" s="40"/>
    </row>
    <row r="18" spans="2:68" collapsed="1">
      <c r="D18" s="7" t="s">
        <v>463</v>
      </c>
      <c r="J18" s="21">
        <v>11354633</v>
      </c>
      <c r="K18" s="21"/>
      <c r="L18" s="21"/>
      <c r="M18" s="21"/>
      <c r="N18" s="21">
        <f t="shared" ref="N18" si="1">SUM(J18:M18)</f>
        <v>11354633</v>
      </c>
      <c r="P18" s="21">
        <f>N18</f>
        <v>11354633</v>
      </c>
      <c r="Q18" s="21">
        <f>202607348-Q8</f>
        <v>2607348</v>
      </c>
      <c r="R18" s="58"/>
      <c r="S18" s="58"/>
      <c r="T18" s="21">
        <f t="shared" ref="T18" si="2">SUM(P18:S18)</f>
        <v>13961981</v>
      </c>
      <c r="U18" s="21"/>
      <c r="V18" s="21">
        <f>T18</f>
        <v>13961981</v>
      </c>
      <c r="W18" s="21">
        <v>0</v>
      </c>
      <c r="X18" s="21">
        <v>0</v>
      </c>
      <c r="Y18" s="21">
        <v>0</v>
      </c>
      <c r="Z18" s="21">
        <f t="shared" ref="Z18:Z20" si="3">SUM(V18:Y18)</f>
        <v>13961981</v>
      </c>
      <c r="AA18" s="21"/>
      <c r="AB18" s="21">
        <f t="shared" ref="AB18" si="4">Z18</f>
        <v>13961981</v>
      </c>
      <c r="AC18" s="21"/>
      <c r="AD18" s="21"/>
      <c r="AE18" s="21"/>
      <c r="AF18" s="21">
        <f t="shared" ref="AF18" si="5">SUM(AB18:AE18)</f>
        <v>13961981</v>
      </c>
      <c r="AG18" s="21"/>
      <c r="AH18" s="21">
        <f>AF18</f>
        <v>13961981</v>
      </c>
      <c r="AI18" s="21"/>
      <c r="AJ18" s="21"/>
      <c r="AK18" s="21"/>
      <c r="AL18" s="21">
        <f t="shared" ref="AL18" si="6">SUM(AH18:AK18)</f>
        <v>13961981</v>
      </c>
      <c r="AM18" s="21"/>
      <c r="AN18" s="58">
        <f t="shared" ref="AN18" si="7">AL18</f>
        <v>13961981</v>
      </c>
      <c r="AO18" s="58"/>
      <c r="AP18" s="58"/>
      <c r="AQ18" s="58"/>
      <c r="AR18" s="21">
        <f t="shared" ref="AR18" si="8">SUM(AN18:AQ18)</f>
        <v>13961981</v>
      </c>
      <c r="AS18" s="21"/>
      <c r="AT18" s="21">
        <f>AR18</f>
        <v>13961981</v>
      </c>
      <c r="AU18" s="21"/>
      <c r="AV18" s="21"/>
      <c r="AW18" s="21"/>
      <c r="AX18" s="21">
        <f t="shared" ref="AX18" si="9">SUM(AT18:AW18)</f>
        <v>13961981</v>
      </c>
      <c r="AY18" s="21"/>
      <c r="AZ18" s="21">
        <f>AX18</f>
        <v>13961981</v>
      </c>
      <c r="BA18" s="21"/>
      <c r="BB18" s="21"/>
      <c r="BC18" s="21"/>
      <c r="BD18" s="21">
        <f t="shared" ref="BD18" si="10">SUM(AZ18:BC18)</f>
        <v>13961981</v>
      </c>
      <c r="BE18" s="40" t="s">
        <v>464</v>
      </c>
      <c r="BF18" s="40"/>
      <c r="BG18" s="101">
        <f>$BD$18</f>
        <v>13961981</v>
      </c>
      <c r="BH18" s="101">
        <f t="shared" ref="BH18:BP18" si="11">$BD$18</f>
        <v>13961981</v>
      </c>
      <c r="BI18" s="101">
        <f t="shared" si="11"/>
        <v>13961981</v>
      </c>
      <c r="BJ18" s="101">
        <f t="shared" si="11"/>
        <v>13961981</v>
      </c>
      <c r="BK18" s="101">
        <f t="shared" si="11"/>
        <v>13961981</v>
      </c>
      <c r="BL18" s="101">
        <f t="shared" si="11"/>
        <v>13961981</v>
      </c>
      <c r="BM18" s="101">
        <f t="shared" si="11"/>
        <v>13961981</v>
      </c>
      <c r="BN18" s="101">
        <f t="shared" si="11"/>
        <v>13961981</v>
      </c>
      <c r="BO18" s="101">
        <f t="shared" si="11"/>
        <v>13961981</v>
      </c>
      <c r="BP18" s="101">
        <f t="shared" si="11"/>
        <v>13961981</v>
      </c>
    </row>
    <row r="19" spans="2:68" collapsed="1">
      <c r="C19" s="6" t="s">
        <v>110</v>
      </c>
      <c r="D19" s="6"/>
      <c r="J19" s="102">
        <f>SUM(J18)</f>
        <v>11354633</v>
      </c>
      <c r="K19" s="102">
        <f>SUM(K8:K18)</f>
        <v>0</v>
      </c>
      <c r="L19" s="102">
        <f>SUM(L8:L18)</f>
        <v>0</v>
      </c>
      <c r="M19" s="102">
        <f>SUM(M8:M18)</f>
        <v>0</v>
      </c>
      <c r="N19" s="102">
        <f>SUM(N8:N18)</f>
        <v>11354633</v>
      </c>
      <c r="P19" s="102">
        <f>N19</f>
        <v>11354633</v>
      </c>
      <c r="Q19" s="102">
        <f>SUM(Q8:Q18)</f>
        <v>202607348</v>
      </c>
      <c r="R19" s="64">
        <f>SUM(R8:R18)</f>
        <v>0</v>
      </c>
      <c r="S19" s="64">
        <f>SUM(S8:S18)</f>
        <v>0</v>
      </c>
      <c r="T19" s="102">
        <f>SUM(T8:T18)</f>
        <v>213961981</v>
      </c>
      <c r="U19" s="21"/>
      <c r="V19" s="102">
        <f>T19</f>
        <v>213961981</v>
      </c>
      <c r="W19" s="102">
        <f>SUM(W8:W18)</f>
        <v>0</v>
      </c>
      <c r="X19" s="102">
        <f>SUM(X8:X18)</f>
        <v>0</v>
      </c>
      <c r="Y19" s="102">
        <f>SUM(Y8:Y18)</f>
        <v>0</v>
      </c>
      <c r="Z19" s="102">
        <f>SUM(V19:Y19)</f>
        <v>213961981</v>
      </c>
      <c r="AA19" s="21"/>
      <c r="AB19" s="102">
        <f>Z19</f>
        <v>213961981</v>
      </c>
      <c r="AC19" s="102">
        <f>SUM(AC8:AC18)</f>
        <v>0</v>
      </c>
      <c r="AD19" s="102">
        <f>SUM(AD8:AD18)</f>
        <v>0</v>
      </c>
      <c r="AE19" s="102">
        <f>SUM(AE8:AE18)</f>
        <v>0</v>
      </c>
      <c r="AF19" s="102">
        <f>SUM(AF8:AF18)</f>
        <v>213961981</v>
      </c>
      <c r="AG19" s="21"/>
      <c r="AH19" s="102">
        <f>AF19</f>
        <v>213961981</v>
      </c>
      <c r="AI19" s="102">
        <f>SUM(AI8:AI18)</f>
        <v>0</v>
      </c>
      <c r="AJ19" s="102">
        <f>SUM(AJ8:AJ18)</f>
        <v>0</v>
      </c>
      <c r="AK19" s="102">
        <f>SUM(AK8:AK18)</f>
        <v>0</v>
      </c>
      <c r="AL19" s="102">
        <f>SUM(AL8:AL18)</f>
        <v>213961981</v>
      </c>
      <c r="AM19" s="59"/>
      <c r="AN19" s="64">
        <f>AL19</f>
        <v>213961981</v>
      </c>
      <c r="AO19" s="64">
        <f>SUM(AO8:AO18)</f>
        <v>0</v>
      </c>
      <c r="AP19" s="64">
        <f>SUM(AP8:AP18)</f>
        <v>0</v>
      </c>
      <c r="AQ19" s="64">
        <f>SUM(AQ8:AQ18)</f>
        <v>0</v>
      </c>
      <c r="AR19" s="102">
        <f>SUM(AR8:AR18)</f>
        <v>213961981</v>
      </c>
      <c r="AS19" s="59"/>
      <c r="AT19" s="102">
        <f>AR19</f>
        <v>213961981</v>
      </c>
      <c r="AU19" s="102">
        <f>SUM(AU8:AU18)</f>
        <v>0</v>
      </c>
      <c r="AV19" s="102">
        <f>SUM(AV8:AV18)</f>
        <v>0</v>
      </c>
      <c r="AW19" s="102">
        <f>SUM(AW8:AW18)</f>
        <v>0</v>
      </c>
      <c r="AX19" s="102">
        <f>SUM(AX8:AX18)</f>
        <v>213961981</v>
      </c>
      <c r="AY19" s="59"/>
      <c r="AZ19" s="102">
        <f>AX19</f>
        <v>213961981</v>
      </c>
      <c r="BA19" s="102">
        <f>SUM(BA8:BA18)</f>
        <v>0</v>
      </c>
      <c r="BB19" s="102">
        <f>SUM(BB8:BB18)</f>
        <v>0</v>
      </c>
      <c r="BC19" s="102">
        <f>SUM(BC8:BC18)</f>
        <v>0</v>
      </c>
      <c r="BD19" s="102">
        <f>SUM(BD8:BD18)</f>
        <v>213961981</v>
      </c>
      <c r="BE19" s="40"/>
      <c r="BF19" s="40"/>
      <c r="BG19" s="64">
        <f t="shared" ref="BG19:BP19" si="12">SUM(BG8:BG18)</f>
        <v>213961981</v>
      </c>
      <c r="BH19" s="64">
        <f t="shared" si="12"/>
        <v>213961981</v>
      </c>
      <c r="BI19" s="64">
        <f t="shared" si="12"/>
        <v>213961981</v>
      </c>
      <c r="BJ19" s="64">
        <f t="shared" si="12"/>
        <v>213961981</v>
      </c>
      <c r="BK19" s="64">
        <f t="shared" si="12"/>
        <v>213961981</v>
      </c>
      <c r="BL19" s="64">
        <f t="shared" si="12"/>
        <v>213961981</v>
      </c>
      <c r="BM19" s="64">
        <f t="shared" si="12"/>
        <v>213961981</v>
      </c>
      <c r="BN19" s="64">
        <f t="shared" si="12"/>
        <v>213961981</v>
      </c>
      <c r="BO19" s="64">
        <f t="shared" si="12"/>
        <v>213961981</v>
      </c>
      <c r="BP19" s="64">
        <f t="shared" si="12"/>
        <v>213961981</v>
      </c>
    </row>
    <row r="20" spans="2:68">
      <c r="C20" s="7" t="s">
        <v>361</v>
      </c>
      <c r="J20" s="21"/>
      <c r="K20" s="21"/>
      <c r="L20" s="21"/>
      <c r="M20" s="21"/>
      <c r="N20" s="21"/>
      <c r="P20" s="21">
        <f>N20</f>
        <v>0</v>
      </c>
      <c r="Q20" s="21">
        <v>316860</v>
      </c>
      <c r="R20" s="58"/>
      <c r="S20" s="58"/>
      <c r="T20" s="21">
        <f>SUM(P20:S20)</f>
        <v>316860</v>
      </c>
      <c r="U20" s="21"/>
      <c r="V20" s="21">
        <f>T20</f>
        <v>316860</v>
      </c>
      <c r="W20" s="21"/>
      <c r="X20" s="21"/>
      <c r="Y20" s="21">
        <v>-316860</v>
      </c>
      <c r="Z20" s="21">
        <f t="shared" si="3"/>
        <v>0</v>
      </c>
      <c r="AA20" s="21"/>
      <c r="AB20" s="21">
        <f>Z20</f>
        <v>0</v>
      </c>
      <c r="AC20" s="21"/>
      <c r="AD20" s="21"/>
      <c r="AE20" s="21"/>
      <c r="AF20" s="21">
        <f>SUM(AB20:AE20)</f>
        <v>0</v>
      </c>
      <c r="AG20" s="21"/>
      <c r="AH20" s="21">
        <f>AF20</f>
        <v>0</v>
      </c>
      <c r="AI20" s="21"/>
      <c r="AJ20" s="21"/>
      <c r="AK20" s="21"/>
      <c r="AL20" s="21">
        <f>SUM(AH20:AK20)</f>
        <v>0</v>
      </c>
      <c r="AM20" s="21"/>
      <c r="AN20" s="58">
        <f>AL20</f>
        <v>0</v>
      </c>
      <c r="AO20" s="58"/>
      <c r="AP20" s="58"/>
      <c r="AQ20" s="58"/>
      <c r="AR20" s="21">
        <f>SUM(AN20:AQ20)</f>
        <v>0</v>
      </c>
      <c r="AS20" s="21"/>
      <c r="AT20" s="21">
        <f>AR20</f>
        <v>0</v>
      </c>
      <c r="AU20" s="21"/>
      <c r="AV20" s="21"/>
      <c r="AW20" s="21"/>
      <c r="AX20" s="21">
        <f>SUM(AT20:AW20)</f>
        <v>0</v>
      </c>
      <c r="AY20" s="21"/>
      <c r="AZ20" s="21">
        <f>AX20</f>
        <v>0</v>
      </c>
      <c r="BA20" s="21">
        <v>21041</v>
      </c>
      <c r="BB20" s="21"/>
      <c r="BC20" s="21"/>
      <c r="BD20" s="21">
        <f>SUM(AZ20:BC20)</f>
        <v>21041</v>
      </c>
      <c r="BE20" s="40" t="s">
        <v>362</v>
      </c>
      <c r="BF20" s="40"/>
      <c r="BG20" s="101">
        <f t="shared" ref="BG20:BP20" si="13">$AX$20</f>
        <v>0</v>
      </c>
      <c r="BH20" s="101">
        <f t="shared" si="13"/>
        <v>0</v>
      </c>
      <c r="BI20" s="101">
        <f t="shared" si="13"/>
        <v>0</v>
      </c>
      <c r="BJ20" s="101">
        <f t="shared" si="13"/>
        <v>0</v>
      </c>
      <c r="BK20" s="101">
        <f t="shared" si="13"/>
        <v>0</v>
      </c>
      <c r="BL20" s="101">
        <f t="shared" si="13"/>
        <v>0</v>
      </c>
      <c r="BM20" s="101">
        <f t="shared" si="13"/>
        <v>0</v>
      </c>
      <c r="BN20" s="101">
        <f t="shared" si="13"/>
        <v>0</v>
      </c>
      <c r="BO20" s="101">
        <f t="shared" si="13"/>
        <v>0</v>
      </c>
      <c r="BP20" s="101">
        <f t="shared" si="13"/>
        <v>0</v>
      </c>
    </row>
    <row r="21" spans="2:68">
      <c r="E21" s="6" t="s">
        <v>363</v>
      </c>
      <c r="J21" s="102">
        <f>SUM(J19:J20)</f>
        <v>11354633</v>
      </c>
      <c r="K21" s="102">
        <f t="shared" ref="K21:M21" si="14">SUM(K19:K20)</f>
        <v>0</v>
      </c>
      <c r="L21" s="102">
        <f t="shared" si="14"/>
        <v>0</v>
      </c>
      <c r="M21" s="102">
        <f t="shared" si="14"/>
        <v>0</v>
      </c>
      <c r="N21" s="102">
        <f>SUM(N19:N20)</f>
        <v>11354633</v>
      </c>
      <c r="P21" s="102">
        <f>N21</f>
        <v>11354633</v>
      </c>
      <c r="Q21" s="102">
        <f t="shared" ref="Q21:S21" si="15">SUM(Q19:Q20)</f>
        <v>202924208</v>
      </c>
      <c r="R21" s="64">
        <f t="shared" si="15"/>
        <v>0</v>
      </c>
      <c r="S21" s="64">
        <f t="shared" si="15"/>
        <v>0</v>
      </c>
      <c r="T21" s="102">
        <f>SUM(T19:T20)</f>
        <v>214278841</v>
      </c>
      <c r="U21" s="21"/>
      <c r="V21" s="102">
        <f>T21</f>
        <v>214278841</v>
      </c>
      <c r="W21" s="102">
        <f>SUM(W19:W20)</f>
        <v>0</v>
      </c>
      <c r="X21" s="102">
        <f t="shared" ref="X21" si="16">SUM(X19:X20)</f>
        <v>0</v>
      </c>
      <c r="Y21" s="102">
        <f>SUM(Y19:Y20)</f>
        <v>-316860</v>
      </c>
      <c r="Z21" s="102">
        <f>SUM(Z19:Z20)</f>
        <v>213961981</v>
      </c>
      <c r="AA21" s="59"/>
      <c r="AB21" s="102">
        <f>Z21</f>
        <v>213961981</v>
      </c>
      <c r="AC21" s="102">
        <f>SUM(AC19:AC20)</f>
        <v>0</v>
      </c>
      <c r="AD21" s="102">
        <f t="shared" ref="AD21:AE21" si="17">SUM(AD19:AD20)</f>
        <v>0</v>
      </c>
      <c r="AE21" s="102">
        <f t="shared" si="17"/>
        <v>0</v>
      </c>
      <c r="AF21" s="102">
        <f>SUM(AF19:AF20)</f>
        <v>213961981</v>
      </c>
      <c r="AG21" s="59"/>
      <c r="AH21" s="102">
        <f>AF21</f>
        <v>213961981</v>
      </c>
      <c r="AI21" s="102">
        <f>SUM(AI19:AI20)</f>
        <v>0</v>
      </c>
      <c r="AJ21" s="102">
        <f t="shared" ref="AJ21:AK21" si="18">SUM(AJ19:AJ20)</f>
        <v>0</v>
      </c>
      <c r="AK21" s="102">
        <f t="shared" si="18"/>
        <v>0</v>
      </c>
      <c r="AL21" s="102">
        <f>SUM(AL19:AL20)</f>
        <v>213961981</v>
      </c>
      <c r="AM21" s="59"/>
      <c r="AN21" s="64">
        <f>AL21</f>
        <v>213961981</v>
      </c>
      <c r="AO21" s="64">
        <f>SUM(AO19:AO20)</f>
        <v>0</v>
      </c>
      <c r="AP21" s="64">
        <f t="shared" ref="AP21:AQ21" si="19">SUM(AP19:AP20)</f>
        <v>0</v>
      </c>
      <c r="AQ21" s="64">
        <f t="shared" si="19"/>
        <v>0</v>
      </c>
      <c r="AR21" s="102">
        <f>SUM(AR19:AR20)</f>
        <v>213961981</v>
      </c>
      <c r="AS21" s="59"/>
      <c r="AT21" s="102">
        <f>AR21</f>
        <v>213961981</v>
      </c>
      <c r="AU21" s="102">
        <f>SUM(AU19:AU20)</f>
        <v>0</v>
      </c>
      <c r="AV21" s="102">
        <f t="shared" ref="AV21:AW21" si="20">SUM(AV19:AV20)</f>
        <v>0</v>
      </c>
      <c r="AW21" s="102">
        <f t="shared" si="20"/>
        <v>0</v>
      </c>
      <c r="AX21" s="102">
        <f>SUM(AX19:AX20)</f>
        <v>213961981</v>
      </c>
      <c r="AY21" s="59"/>
      <c r="AZ21" s="102">
        <f>AX21</f>
        <v>213961981</v>
      </c>
      <c r="BA21" s="102">
        <f>SUM(BA19:BA20)</f>
        <v>21041</v>
      </c>
      <c r="BB21" s="102">
        <f t="shared" ref="BB21:BC21" si="21">SUM(BB19:BB20)</f>
        <v>0</v>
      </c>
      <c r="BC21" s="102">
        <f t="shared" si="21"/>
        <v>0</v>
      </c>
      <c r="BD21" s="102">
        <f>SUM(BD19:BD20)</f>
        <v>213983022</v>
      </c>
      <c r="BE21" s="103"/>
      <c r="BF21" s="103"/>
      <c r="BG21" s="64">
        <f>SUM(BG19:BG20)</f>
        <v>213961981</v>
      </c>
      <c r="BH21" s="64">
        <f t="shared" ref="BH21:BN21" si="22">SUM(BH19:BH20)</f>
        <v>213961981</v>
      </c>
      <c r="BI21" s="64">
        <f t="shared" si="22"/>
        <v>213961981</v>
      </c>
      <c r="BJ21" s="64">
        <f t="shared" si="22"/>
        <v>213961981</v>
      </c>
      <c r="BK21" s="64">
        <f t="shared" si="22"/>
        <v>213961981</v>
      </c>
      <c r="BL21" s="64">
        <f t="shared" si="22"/>
        <v>213961981</v>
      </c>
      <c r="BM21" s="64">
        <f t="shared" si="22"/>
        <v>213961981</v>
      </c>
      <c r="BN21" s="64">
        <f t="shared" si="22"/>
        <v>213961981</v>
      </c>
      <c r="BO21" s="64">
        <f t="shared" ref="BO21:BP21" si="23">SUM(BO19:BO20)</f>
        <v>213961981</v>
      </c>
      <c r="BP21" s="64">
        <f t="shared" si="23"/>
        <v>213961981</v>
      </c>
    </row>
    <row r="22" spans="2:68">
      <c r="J22" s="21"/>
      <c r="K22" s="21"/>
      <c r="L22" s="21"/>
      <c r="M22" s="21"/>
      <c r="N22" s="21"/>
      <c r="P22" s="21"/>
      <c r="Q22" s="21"/>
      <c r="R22" s="58"/>
      <c r="S22" s="58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58"/>
      <c r="AO22" s="58"/>
      <c r="AP22" s="58"/>
      <c r="AQ22" s="58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40"/>
      <c r="BF22" s="40"/>
    </row>
    <row r="23" spans="2:68">
      <c r="B23" s="6" t="s">
        <v>364</v>
      </c>
      <c r="J23" s="21"/>
      <c r="K23" s="21"/>
      <c r="L23" s="21"/>
      <c r="M23" s="21"/>
      <c r="N23" s="21"/>
      <c r="P23" s="21"/>
      <c r="Q23" s="21"/>
      <c r="R23" s="58"/>
      <c r="S23" s="58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58"/>
      <c r="AO23" s="58"/>
      <c r="AP23" s="58"/>
      <c r="AQ23" s="58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40"/>
      <c r="BF23" s="40"/>
    </row>
    <row r="24" spans="2:68">
      <c r="C24" s="7" t="s">
        <v>103</v>
      </c>
      <c r="J24" s="21">
        <v>1041304</v>
      </c>
      <c r="K24" s="21"/>
      <c r="L24" s="21"/>
      <c r="M24" s="21"/>
      <c r="N24" s="59">
        <f t="shared" ref="N24:N25" si="24">SUM(J24:M24)</f>
        <v>1041304</v>
      </c>
      <c r="P24" s="21">
        <f>N24</f>
        <v>1041304</v>
      </c>
      <c r="Q24" s="21">
        <v>22659052</v>
      </c>
      <c r="R24" s="58">
        <v>0</v>
      </c>
      <c r="S24" s="58"/>
      <c r="T24" s="59">
        <f t="shared" ref="T24:T25" si="25">SUM(P24:S24)</f>
        <v>23700356</v>
      </c>
      <c r="U24" s="21"/>
      <c r="V24" s="21">
        <f>T24</f>
        <v>23700356</v>
      </c>
      <c r="W24" s="21">
        <v>0</v>
      </c>
      <c r="X24" s="21">
        <v>0</v>
      </c>
      <c r="Y24" s="21">
        <v>0</v>
      </c>
      <c r="Z24" s="21">
        <f t="shared" ref="Z24:Z26" si="26">SUM(V24:Y24)</f>
        <v>23700356</v>
      </c>
      <c r="AA24" s="21"/>
      <c r="AB24" s="21">
        <f>Z24</f>
        <v>23700356</v>
      </c>
      <c r="AC24" s="21">
        <v>7958</v>
      </c>
      <c r="AD24" s="21"/>
      <c r="AE24" s="21"/>
      <c r="AF24" s="21">
        <f t="shared" ref="AF24:AF26" si="27">SUM(AB24:AE24)</f>
        <v>23708314</v>
      </c>
      <c r="AG24" s="21"/>
      <c r="AH24" s="21">
        <f>AF24</f>
        <v>23708314</v>
      </c>
      <c r="AI24" s="21">
        <v>635</v>
      </c>
      <c r="AJ24" s="21"/>
      <c r="AK24" s="21"/>
      <c r="AL24" s="21">
        <f t="shared" ref="AL24:AL26" si="28">SUM(AH24:AK24)</f>
        <v>23708949</v>
      </c>
      <c r="AM24" s="21"/>
      <c r="AN24" s="58">
        <f>AL24</f>
        <v>23708949</v>
      </c>
      <c r="AO24" s="58"/>
      <c r="AP24" s="58"/>
      <c r="AQ24" s="58"/>
      <c r="AR24" s="21">
        <f t="shared" ref="AR24:AR26" si="29">SUM(AN24:AQ24)</f>
        <v>23708949</v>
      </c>
      <c r="AS24" s="21"/>
      <c r="AT24" s="21">
        <f>AR24</f>
        <v>23708949</v>
      </c>
      <c r="AU24" s="21"/>
      <c r="AV24" s="21"/>
      <c r="AW24" s="21"/>
      <c r="AX24" s="21">
        <f t="shared" ref="AX24:AX26" si="30">SUM(AT24:AW24)</f>
        <v>23708949</v>
      </c>
      <c r="AY24" s="21"/>
      <c r="AZ24" s="21">
        <f>AX24</f>
        <v>23708949</v>
      </c>
      <c r="BA24" s="21"/>
      <c r="BB24" s="21"/>
      <c r="BC24" s="21"/>
      <c r="BD24" s="21">
        <f t="shared" ref="BD24:BD26" si="31">SUM(AZ24:BC24)</f>
        <v>23708949</v>
      </c>
      <c r="BE24" s="40" t="s">
        <v>365</v>
      </c>
      <c r="BF24" s="40"/>
      <c r="BG24" s="58">
        <f>$BD$24</f>
        <v>23708949</v>
      </c>
      <c r="BH24" s="58">
        <f t="shared" ref="BH24:BP24" si="32">$AX$24</f>
        <v>23708949</v>
      </c>
      <c r="BI24" s="58">
        <f t="shared" si="32"/>
        <v>23708949</v>
      </c>
      <c r="BJ24" s="58">
        <f t="shared" si="32"/>
        <v>23708949</v>
      </c>
      <c r="BK24" s="58">
        <f t="shared" si="32"/>
        <v>23708949</v>
      </c>
      <c r="BL24" s="58">
        <f t="shared" si="32"/>
        <v>23708949</v>
      </c>
      <c r="BM24" s="58">
        <f t="shared" si="32"/>
        <v>23708949</v>
      </c>
      <c r="BN24" s="58">
        <f t="shared" si="32"/>
        <v>23708949</v>
      </c>
      <c r="BO24" s="58">
        <f t="shared" si="32"/>
        <v>23708949</v>
      </c>
      <c r="BP24" s="58">
        <f t="shared" si="32"/>
        <v>23708949</v>
      </c>
    </row>
    <row r="25" spans="2:68">
      <c r="C25" s="7" t="s">
        <v>105</v>
      </c>
      <c r="J25" s="21">
        <v>615672</v>
      </c>
      <c r="K25" s="21">
        <v>4638</v>
      </c>
      <c r="L25" s="21"/>
      <c r="M25" s="21"/>
      <c r="N25" s="59">
        <f t="shared" si="24"/>
        <v>620310</v>
      </c>
      <c r="P25" s="21">
        <f t="shared" ref="P25:P26" si="33">N25</f>
        <v>620310</v>
      </c>
      <c r="Q25" s="21">
        <v>14911</v>
      </c>
      <c r="R25" s="58">
        <v>0</v>
      </c>
      <c r="S25" s="58"/>
      <c r="T25" s="59">
        <f t="shared" si="25"/>
        <v>635221</v>
      </c>
      <c r="U25" s="21"/>
      <c r="V25" s="21">
        <f t="shared" ref="V25:V26" si="34">T25</f>
        <v>635221</v>
      </c>
      <c r="W25" s="21">
        <v>5188700</v>
      </c>
      <c r="X25" s="21">
        <v>0</v>
      </c>
      <c r="Y25" s="21">
        <f>-Y20</f>
        <v>316860</v>
      </c>
      <c r="Z25" s="21">
        <f t="shared" si="26"/>
        <v>6140781</v>
      </c>
      <c r="AA25" s="21"/>
      <c r="AB25" s="21">
        <f t="shared" ref="AB25:AB26" si="35">Z25</f>
        <v>6140781</v>
      </c>
      <c r="AC25" s="21"/>
      <c r="AD25" s="21"/>
      <c r="AE25" s="21"/>
      <c r="AF25" s="21">
        <f t="shared" si="27"/>
        <v>6140781</v>
      </c>
      <c r="AG25" s="21"/>
      <c r="AH25" s="21">
        <f>AF25</f>
        <v>6140781</v>
      </c>
      <c r="AI25" s="21"/>
      <c r="AJ25" s="21"/>
      <c r="AK25" s="21"/>
      <c r="AL25" s="21">
        <f t="shared" si="28"/>
        <v>6140781</v>
      </c>
      <c r="AM25" s="21"/>
      <c r="AN25" s="58">
        <f t="shared" ref="AN25:AN26" si="36">AL25</f>
        <v>6140781</v>
      </c>
      <c r="AO25" s="58"/>
      <c r="AP25" s="58"/>
      <c r="AQ25" s="58"/>
      <c r="AR25" s="21">
        <f t="shared" si="29"/>
        <v>6140781</v>
      </c>
      <c r="AS25" s="21"/>
      <c r="AT25" s="21">
        <f>AR25</f>
        <v>6140781</v>
      </c>
      <c r="AU25" s="21">
        <v>46579</v>
      </c>
      <c r="AV25" s="21"/>
      <c r="AW25" s="21"/>
      <c r="AX25" s="21">
        <f t="shared" si="30"/>
        <v>6187360</v>
      </c>
      <c r="AY25" s="21"/>
      <c r="AZ25" s="21">
        <f>AX25</f>
        <v>6187360</v>
      </c>
      <c r="BA25" s="21">
        <v>27892</v>
      </c>
      <c r="BB25" s="21"/>
      <c r="BC25" s="21"/>
      <c r="BD25" s="21">
        <f t="shared" si="31"/>
        <v>6215252</v>
      </c>
      <c r="BE25" s="40" t="s">
        <v>365</v>
      </c>
      <c r="BF25" s="40"/>
      <c r="BG25" s="58">
        <f>$BD$25</f>
        <v>6215252</v>
      </c>
      <c r="BH25" s="58">
        <f t="shared" ref="BH25:BP25" si="37">$AX$25</f>
        <v>6187360</v>
      </c>
      <c r="BI25" s="58">
        <f t="shared" si="37"/>
        <v>6187360</v>
      </c>
      <c r="BJ25" s="58">
        <f t="shared" si="37"/>
        <v>6187360</v>
      </c>
      <c r="BK25" s="58">
        <f t="shared" si="37"/>
        <v>6187360</v>
      </c>
      <c r="BL25" s="58">
        <f t="shared" si="37"/>
        <v>6187360</v>
      </c>
      <c r="BM25" s="58">
        <f t="shared" si="37"/>
        <v>6187360</v>
      </c>
      <c r="BN25" s="58">
        <f t="shared" si="37"/>
        <v>6187360</v>
      </c>
      <c r="BO25" s="58">
        <f t="shared" si="37"/>
        <v>6187360</v>
      </c>
      <c r="BP25" s="58">
        <f t="shared" si="37"/>
        <v>6187360</v>
      </c>
    </row>
    <row r="26" spans="2:68">
      <c r="C26" s="7" t="s">
        <v>106</v>
      </c>
      <c r="J26" s="21">
        <v>4404530</v>
      </c>
      <c r="K26" s="21">
        <v>427177</v>
      </c>
      <c r="L26" s="21">
        <v>-616027</v>
      </c>
      <c r="M26" s="21"/>
      <c r="N26" s="59">
        <f>SUM(J26:M26)</f>
        <v>4215680</v>
      </c>
      <c r="P26" s="21">
        <f t="shared" si="33"/>
        <v>4215680</v>
      </c>
      <c r="Q26" s="21">
        <v>255731</v>
      </c>
      <c r="R26" s="58">
        <v>-97535</v>
      </c>
      <c r="S26" s="58"/>
      <c r="T26" s="59">
        <f>SUM(P26:S26)</f>
        <v>4373876</v>
      </c>
      <c r="U26" s="21"/>
      <c r="V26" s="21">
        <f t="shared" si="34"/>
        <v>4373876</v>
      </c>
      <c r="W26" s="21">
        <v>1639935</v>
      </c>
      <c r="X26" s="21">
        <v>-502694</v>
      </c>
      <c r="Y26" s="21"/>
      <c r="Z26" s="21">
        <f t="shared" si="26"/>
        <v>5511117</v>
      </c>
      <c r="AA26" s="21"/>
      <c r="AB26" s="21">
        <f t="shared" si="35"/>
        <v>5511117</v>
      </c>
      <c r="AC26" s="21">
        <v>154651</v>
      </c>
      <c r="AD26" s="21">
        <v>-42971</v>
      </c>
      <c r="AE26" s="21"/>
      <c r="AF26" s="21">
        <f t="shared" si="27"/>
        <v>5622797</v>
      </c>
      <c r="AG26" s="21"/>
      <c r="AH26" s="21">
        <f>AF26</f>
        <v>5622797</v>
      </c>
      <c r="AI26" s="21">
        <v>331339</v>
      </c>
      <c r="AJ26" s="21">
        <v>-244526</v>
      </c>
      <c r="AK26" s="21"/>
      <c r="AL26" s="21">
        <f t="shared" si="28"/>
        <v>5709610</v>
      </c>
      <c r="AM26" s="21"/>
      <c r="AN26" s="58">
        <f t="shared" si="36"/>
        <v>5709610</v>
      </c>
      <c r="AO26" s="58">
        <v>467108</v>
      </c>
      <c r="AP26" s="58">
        <v>-343974</v>
      </c>
      <c r="AQ26" s="58"/>
      <c r="AR26" s="21">
        <f t="shared" si="29"/>
        <v>5832744</v>
      </c>
      <c r="AS26" s="21"/>
      <c r="AT26" s="21">
        <f>AR26</f>
        <v>5832744</v>
      </c>
      <c r="AU26" s="21">
        <v>156102</v>
      </c>
      <c r="AV26" s="21">
        <v>-13455</v>
      </c>
      <c r="AW26" s="21"/>
      <c r="AX26" s="21">
        <f t="shared" si="30"/>
        <v>5975391</v>
      </c>
      <c r="AY26" s="21"/>
      <c r="AZ26" s="21">
        <f>AX26</f>
        <v>5975391</v>
      </c>
      <c r="BA26" s="21">
        <v>267506</v>
      </c>
      <c r="BB26" s="21">
        <v>-9402</v>
      </c>
      <c r="BC26" s="21"/>
      <c r="BD26" s="21">
        <f t="shared" si="31"/>
        <v>6233495</v>
      </c>
      <c r="BE26" s="40" t="s">
        <v>365</v>
      </c>
      <c r="BF26" s="40"/>
      <c r="BG26" s="58">
        <f>$BD$26</f>
        <v>6233495</v>
      </c>
      <c r="BH26" s="58">
        <f t="shared" ref="BH26:BP26" si="38">$AX$26</f>
        <v>5975391</v>
      </c>
      <c r="BI26" s="58">
        <f t="shared" si="38"/>
        <v>5975391</v>
      </c>
      <c r="BJ26" s="58">
        <f t="shared" si="38"/>
        <v>5975391</v>
      </c>
      <c r="BK26" s="58">
        <f t="shared" si="38"/>
        <v>5975391</v>
      </c>
      <c r="BL26" s="58">
        <f t="shared" si="38"/>
        <v>5975391</v>
      </c>
      <c r="BM26" s="58">
        <f t="shared" si="38"/>
        <v>5975391</v>
      </c>
      <c r="BN26" s="58">
        <f t="shared" si="38"/>
        <v>5975391</v>
      </c>
      <c r="BO26" s="58">
        <f t="shared" si="38"/>
        <v>5975391</v>
      </c>
      <c r="BP26" s="58">
        <f t="shared" si="38"/>
        <v>5975391</v>
      </c>
    </row>
    <row r="27" spans="2:68">
      <c r="E27" s="6" t="s">
        <v>366</v>
      </c>
      <c r="J27" s="102">
        <f>SUM(J24:J26)</f>
        <v>6061506</v>
      </c>
      <c r="K27" s="102">
        <f t="shared" ref="K27:M27" si="39">SUM(K24:K26)</f>
        <v>431815</v>
      </c>
      <c r="L27" s="102">
        <f t="shared" si="39"/>
        <v>-616027</v>
      </c>
      <c r="M27" s="102">
        <f t="shared" si="39"/>
        <v>0</v>
      </c>
      <c r="N27" s="102">
        <f>SUM(N24:N26)</f>
        <v>5877294</v>
      </c>
      <c r="P27" s="102">
        <f>SUM(P24:P26)</f>
        <v>5877294</v>
      </c>
      <c r="Q27" s="102">
        <f t="shared" ref="Q27:S27" si="40">SUM(Q24:Q26)</f>
        <v>22929694</v>
      </c>
      <c r="R27" s="64">
        <f t="shared" si="40"/>
        <v>-97535</v>
      </c>
      <c r="S27" s="64">
        <f t="shared" si="40"/>
        <v>0</v>
      </c>
      <c r="T27" s="102">
        <f>SUM(T24:T26)</f>
        <v>28709453</v>
      </c>
      <c r="U27" s="21"/>
      <c r="V27" s="102">
        <f>SUM(V24:V26)</f>
        <v>28709453</v>
      </c>
      <c r="W27" s="102">
        <f t="shared" ref="W27:Y27" si="41">SUM(W24:W26)</f>
        <v>6828635</v>
      </c>
      <c r="X27" s="102">
        <f t="shared" si="41"/>
        <v>-502694</v>
      </c>
      <c r="Y27" s="102">
        <f t="shared" si="41"/>
        <v>316860</v>
      </c>
      <c r="Z27" s="102">
        <f>SUM(Z24:Z26)</f>
        <v>35352254</v>
      </c>
      <c r="AA27" s="21"/>
      <c r="AB27" s="102">
        <f>SUM(AB24:AB26)</f>
        <v>35352254</v>
      </c>
      <c r="AC27" s="102">
        <f t="shared" ref="AC27:AF27" si="42">SUM(AC24:AC26)</f>
        <v>162609</v>
      </c>
      <c r="AD27" s="102">
        <f t="shared" si="42"/>
        <v>-42971</v>
      </c>
      <c r="AE27" s="102">
        <f t="shared" si="42"/>
        <v>0</v>
      </c>
      <c r="AF27" s="102">
        <f t="shared" si="42"/>
        <v>35471892</v>
      </c>
      <c r="AG27" s="21"/>
      <c r="AH27" s="102">
        <f>SUM(AH24:AH26)</f>
        <v>35471892</v>
      </c>
      <c r="AI27" s="102">
        <f t="shared" ref="AI27:AL27" si="43">SUM(AI24:AI26)</f>
        <v>331974</v>
      </c>
      <c r="AJ27" s="102">
        <f t="shared" si="43"/>
        <v>-244526</v>
      </c>
      <c r="AK27" s="102">
        <f t="shared" si="43"/>
        <v>0</v>
      </c>
      <c r="AL27" s="102">
        <f t="shared" si="43"/>
        <v>35559340</v>
      </c>
      <c r="AM27" s="59"/>
      <c r="AN27" s="64">
        <f>SUM(AN24:AN26)</f>
        <v>35559340</v>
      </c>
      <c r="AO27" s="64">
        <f t="shared" ref="AO27:AR27" si="44">SUM(AO24:AO26)</f>
        <v>467108</v>
      </c>
      <c r="AP27" s="64">
        <f t="shared" si="44"/>
        <v>-343974</v>
      </c>
      <c r="AQ27" s="64">
        <f t="shared" si="44"/>
        <v>0</v>
      </c>
      <c r="AR27" s="102">
        <f t="shared" si="44"/>
        <v>35682474</v>
      </c>
      <c r="AS27" s="59"/>
      <c r="AT27" s="102">
        <f>SUM(AT24:AT26)</f>
        <v>35682474</v>
      </c>
      <c r="AU27" s="102">
        <f t="shared" ref="AU27:AX27" si="45">SUM(AU24:AU26)</f>
        <v>202681</v>
      </c>
      <c r="AV27" s="102">
        <f t="shared" si="45"/>
        <v>-13455</v>
      </c>
      <c r="AW27" s="102">
        <f t="shared" si="45"/>
        <v>0</v>
      </c>
      <c r="AX27" s="102">
        <f t="shared" si="45"/>
        <v>35871700</v>
      </c>
      <c r="AY27" s="59"/>
      <c r="AZ27" s="102">
        <f>SUM(AZ24:AZ26)</f>
        <v>35871700</v>
      </c>
      <c r="BA27" s="102">
        <f t="shared" ref="BA27:BD27" si="46">SUM(BA24:BA26)</f>
        <v>295398</v>
      </c>
      <c r="BB27" s="102">
        <f t="shared" si="46"/>
        <v>-9402</v>
      </c>
      <c r="BC27" s="102">
        <f t="shared" si="46"/>
        <v>0</v>
      </c>
      <c r="BD27" s="102">
        <f t="shared" si="46"/>
        <v>36157696</v>
      </c>
      <c r="BE27" s="40"/>
      <c r="BF27" s="40"/>
      <c r="BG27" s="64">
        <f t="shared" ref="BG27:BN27" si="47">SUM(BG24:BG26)</f>
        <v>36157696</v>
      </c>
      <c r="BH27" s="64">
        <f t="shared" si="47"/>
        <v>35871700</v>
      </c>
      <c r="BI27" s="64">
        <f t="shared" si="47"/>
        <v>35871700</v>
      </c>
      <c r="BJ27" s="64">
        <f t="shared" si="47"/>
        <v>35871700</v>
      </c>
      <c r="BK27" s="64">
        <f t="shared" si="47"/>
        <v>35871700</v>
      </c>
      <c r="BL27" s="64">
        <f t="shared" si="47"/>
        <v>35871700</v>
      </c>
      <c r="BM27" s="64">
        <f t="shared" si="47"/>
        <v>35871700</v>
      </c>
      <c r="BN27" s="64">
        <f t="shared" si="47"/>
        <v>35871700</v>
      </c>
      <c r="BO27" s="64">
        <f t="shared" ref="BO27:BP27" si="48">SUM(BO24:BO26)</f>
        <v>35871700</v>
      </c>
      <c r="BP27" s="64">
        <f t="shared" si="48"/>
        <v>35871700</v>
      </c>
    </row>
    <row r="28" spans="2:68">
      <c r="J28" s="21"/>
      <c r="K28" s="21"/>
      <c r="L28" s="21"/>
      <c r="M28" s="21"/>
      <c r="N28" s="21"/>
      <c r="P28" s="21"/>
      <c r="Q28" s="21"/>
      <c r="R28" s="58"/>
      <c r="S28" s="58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58"/>
      <c r="AO28" s="58"/>
      <c r="AP28" s="58"/>
      <c r="AQ28" s="58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40"/>
      <c r="BF28" s="40"/>
      <c r="BG28" s="58"/>
      <c r="BH28" s="58"/>
      <c r="BI28" s="58"/>
      <c r="BJ28" s="58"/>
      <c r="BK28" s="58"/>
      <c r="BL28" s="58"/>
      <c r="BM28" s="58"/>
      <c r="BN28" s="58"/>
      <c r="BO28" s="58"/>
      <c r="BP28" s="58"/>
    </row>
    <row r="29" spans="2:68">
      <c r="B29" s="7" t="s">
        <v>107</v>
      </c>
      <c r="J29" s="21">
        <v>-4789219</v>
      </c>
      <c r="K29" s="21">
        <v>-322402</v>
      </c>
      <c r="L29" s="21">
        <v>523913</v>
      </c>
      <c r="M29" s="21"/>
      <c r="N29" s="59">
        <f t="shared" ref="N29" si="49">SUM(J29:M29)</f>
        <v>-4587708</v>
      </c>
      <c r="P29" s="21">
        <f>+N29</f>
        <v>-4587708</v>
      </c>
      <c r="Q29" s="21">
        <v>-1094683</v>
      </c>
      <c r="R29" s="58">
        <v>96871</v>
      </c>
      <c r="S29" s="58"/>
      <c r="T29" s="59">
        <f t="shared" ref="T29" si="50">SUM(P29:S29)</f>
        <v>-5585520</v>
      </c>
      <c r="U29" s="21"/>
      <c r="V29" s="21">
        <f>+T29</f>
        <v>-5585520</v>
      </c>
      <c r="W29" s="21">
        <v>-2279053</v>
      </c>
      <c r="X29" s="21">
        <v>474202</v>
      </c>
      <c r="Y29" s="21">
        <v>0</v>
      </c>
      <c r="Z29" s="21">
        <f t="shared" ref="Z29" si="51">SUM(V29:Y29)</f>
        <v>-7390371</v>
      </c>
      <c r="AA29" s="21"/>
      <c r="AB29" s="21">
        <f>+Z29</f>
        <v>-7390371</v>
      </c>
      <c r="AC29" s="21">
        <v>-2154797</v>
      </c>
      <c r="AD29" s="21">
        <v>42536</v>
      </c>
      <c r="AE29" s="21"/>
      <c r="AF29" s="21">
        <f t="shared" ref="AF29" si="52">SUM(AB29:AE29)</f>
        <v>-9502632</v>
      </c>
      <c r="AG29" s="21"/>
      <c r="AH29" s="21">
        <f>+AF29</f>
        <v>-9502632</v>
      </c>
      <c r="AI29" s="21">
        <v>-2298698</v>
      </c>
      <c r="AJ29" s="21">
        <v>219342</v>
      </c>
      <c r="AK29" s="21"/>
      <c r="AL29" s="21">
        <f t="shared" ref="AL29" si="53">SUM(AH29:AK29)</f>
        <v>-11581988</v>
      </c>
      <c r="AM29" s="21"/>
      <c r="AN29" s="58">
        <f>+AL29</f>
        <v>-11581988</v>
      </c>
      <c r="AO29" s="58">
        <v>-2412043</v>
      </c>
      <c r="AP29" s="58">
        <v>343974</v>
      </c>
      <c r="AQ29" s="58"/>
      <c r="AR29" s="21">
        <f t="shared" ref="AR29" si="54">SUM(AN29:AQ29)</f>
        <v>-13650057</v>
      </c>
      <c r="AS29" s="21"/>
      <c r="AT29" s="21">
        <f>+AR29</f>
        <v>-13650057</v>
      </c>
      <c r="AU29" s="21">
        <v>-2227170</v>
      </c>
      <c r="AV29" s="21">
        <v>13455</v>
      </c>
      <c r="AW29" s="21"/>
      <c r="AX29" s="21">
        <f t="shared" ref="AX29" si="55">SUM(AT29:AW29)</f>
        <v>-15863772</v>
      </c>
      <c r="AY29" s="21"/>
      <c r="AZ29" s="21">
        <f>+AX29</f>
        <v>-15863772</v>
      </c>
      <c r="BA29" s="21">
        <v>-1985592</v>
      </c>
      <c r="BB29" s="21">
        <v>9402</v>
      </c>
      <c r="BC29" s="21"/>
      <c r="BD29" s="21">
        <f t="shared" ref="BD29" si="56">SUM(AZ29:BC29)</f>
        <v>-17839962</v>
      </c>
      <c r="BE29" s="40" t="s">
        <v>367</v>
      </c>
      <c r="BF29" s="40"/>
      <c r="BG29" s="58">
        <f>-SUM(BG24/30, BG25/15,BG26/5)+BD29</f>
        <v>-20291309.433333334</v>
      </c>
      <c r="BH29" s="58">
        <f t="shared" ref="BH29:BM29" si="57">-SUM(BH24/30, BH25/15,BH26/5)+BG29</f>
        <v>-22689176.600000001</v>
      </c>
      <c r="BI29" s="58">
        <f t="shared" si="57"/>
        <v>-25087043.766666669</v>
      </c>
      <c r="BJ29" s="58">
        <f t="shared" si="57"/>
        <v>-27484910.933333337</v>
      </c>
      <c r="BK29" s="58">
        <f t="shared" si="57"/>
        <v>-29882778.100000005</v>
      </c>
      <c r="BL29" s="58">
        <f t="shared" si="57"/>
        <v>-32280645.266666673</v>
      </c>
      <c r="BM29" s="58">
        <f t="shared" si="57"/>
        <v>-34678512.433333337</v>
      </c>
      <c r="BN29" s="21">
        <f>-BN27</f>
        <v>-35871700</v>
      </c>
      <c r="BO29" s="58">
        <f t="shared" ref="BO29:BP29" si="58">-BO27</f>
        <v>-35871700</v>
      </c>
      <c r="BP29" s="58">
        <f t="shared" si="58"/>
        <v>-35871700</v>
      </c>
    </row>
    <row r="30" spans="2:68">
      <c r="E30" s="6" t="s">
        <v>368</v>
      </c>
      <c r="J30" s="102">
        <f>SUM(J27:J29)</f>
        <v>1272287</v>
      </c>
      <c r="K30" s="102">
        <f t="shared" ref="K30:N30" si="59">SUM(K27:K29)</f>
        <v>109413</v>
      </c>
      <c r="L30" s="102">
        <f t="shared" si="59"/>
        <v>-92114</v>
      </c>
      <c r="M30" s="102">
        <f t="shared" si="59"/>
        <v>0</v>
      </c>
      <c r="N30" s="102">
        <f t="shared" si="59"/>
        <v>1289586</v>
      </c>
      <c r="P30" s="102">
        <f>+N30</f>
        <v>1289586</v>
      </c>
      <c r="Q30" s="102">
        <f t="shared" ref="Q30:T30" si="60">SUM(Q27:Q29)</f>
        <v>21835011</v>
      </c>
      <c r="R30" s="64">
        <f t="shared" si="60"/>
        <v>-664</v>
      </c>
      <c r="S30" s="64">
        <f t="shared" si="60"/>
        <v>0</v>
      </c>
      <c r="T30" s="102">
        <f t="shared" si="60"/>
        <v>23123933</v>
      </c>
      <c r="U30" s="21"/>
      <c r="V30" s="102">
        <f>+T30</f>
        <v>23123933</v>
      </c>
      <c r="W30" s="102">
        <f t="shared" ref="W30:Z30" si="61">SUM(W27:W29)</f>
        <v>4549582</v>
      </c>
      <c r="X30" s="102">
        <f t="shared" si="61"/>
        <v>-28492</v>
      </c>
      <c r="Y30" s="102">
        <f t="shared" si="61"/>
        <v>316860</v>
      </c>
      <c r="Z30" s="102">
        <f t="shared" si="61"/>
        <v>27961883</v>
      </c>
      <c r="AA30" s="21"/>
      <c r="AB30" s="102">
        <f>+Z30</f>
        <v>27961883</v>
      </c>
      <c r="AC30" s="102">
        <f t="shared" ref="AC30:AE30" si="62">SUM(AC27:AC29)</f>
        <v>-1992188</v>
      </c>
      <c r="AD30" s="102">
        <f t="shared" si="62"/>
        <v>-435</v>
      </c>
      <c r="AE30" s="102">
        <f t="shared" si="62"/>
        <v>0</v>
      </c>
      <c r="AF30" s="102">
        <f>SUM(AF27:AF29)</f>
        <v>25969260</v>
      </c>
      <c r="AG30" s="21"/>
      <c r="AH30" s="102">
        <f>+AF30</f>
        <v>25969260</v>
      </c>
      <c r="AI30" s="102">
        <f t="shared" ref="AI30:AK30" si="63">SUM(AI27:AI29)</f>
        <v>-1966724</v>
      </c>
      <c r="AJ30" s="102">
        <f t="shared" si="63"/>
        <v>-25184</v>
      </c>
      <c r="AK30" s="102">
        <f t="shared" si="63"/>
        <v>0</v>
      </c>
      <c r="AL30" s="102">
        <f>SUM(AL27:AL29)</f>
        <v>23977352</v>
      </c>
      <c r="AM30" s="59"/>
      <c r="AN30" s="64">
        <f>+AL30</f>
        <v>23977352</v>
      </c>
      <c r="AO30" s="64">
        <f t="shared" ref="AO30:AQ30" si="64">SUM(AO27:AO29)</f>
        <v>-1944935</v>
      </c>
      <c r="AP30" s="64">
        <f t="shared" si="64"/>
        <v>0</v>
      </c>
      <c r="AQ30" s="64">
        <f t="shared" si="64"/>
        <v>0</v>
      </c>
      <c r="AR30" s="102">
        <f>SUM(AR27:AR29)</f>
        <v>22032417</v>
      </c>
      <c r="AS30" s="59"/>
      <c r="AT30" s="102">
        <f>+AR30</f>
        <v>22032417</v>
      </c>
      <c r="AU30" s="102">
        <f t="shared" ref="AU30:AW30" si="65">SUM(AU27:AU29)</f>
        <v>-2024489</v>
      </c>
      <c r="AV30" s="102">
        <f t="shared" si="65"/>
        <v>0</v>
      </c>
      <c r="AW30" s="102">
        <f t="shared" si="65"/>
        <v>0</v>
      </c>
      <c r="AX30" s="102">
        <f>SUM(AX27:AX29)</f>
        <v>20007928</v>
      </c>
      <c r="AY30" s="59"/>
      <c r="AZ30" s="102">
        <f>+AX30</f>
        <v>20007928</v>
      </c>
      <c r="BA30" s="102">
        <f t="shared" ref="BA30:BC30" si="66">SUM(BA27:BA29)</f>
        <v>-1690194</v>
      </c>
      <c r="BB30" s="102">
        <f t="shared" si="66"/>
        <v>0</v>
      </c>
      <c r="BC30" s="102">
        <f t="shared" si="66"/>
        <v>0</v>
      </c>
      <c r="BD30" s="102">
        <f>SUM(BD27:BD29)</f>
        <v>18317734</v>
      </c>
      <c r="BE30" s="40"/>
      <c r="BF30" s="40"/>
      <c r="BG30" s="64">
        <f t="shared" ref="BG30:BN30" si="67">SUM(BG27:BG29)</f>
        <v>15866386.566666666</v>
      </c>
      <c r="BH30" s="64">
        <f t="shared" si="67"/>
        <v>13182523.399999999</v>
      </c>
      <c r="BI30" s="64">
        <f t="shared" si="67"/>
        <v>10784656.233333331</v>
      </c>
      <c r="BJ30" s="64">
        <f t="shared" si="67"/>
        <v>8386789.0666666627</v>
      </c>
      <c r="BK30" s="64">
        <f t="shared" si="67"/>
        <v>5988921.8999999948</v>
      </c>
      <c r="BL30" s="64">
        <f t="shared" si="67"/>
        <v>3591054.7333333269</v>
      </c>
      <c r="BM30" s="64">
        <f t="shared" si="67"/>
        <v>1193187.5666666627</v>
      </c>
      <c r="BN30" s="64">
        <f t="shared" si="67"/>
        <v>0</v>
      </c>
      <c r="BO30" s="64">
        <f t="shared" ref="BO30:BP30" si="68">SUM(BO27:BO29)</f>
        <v>0</v>
      </c>
      <c r="BP30" s="64">
        <f t="shared" si="68"/>
        <v>0</v>
      </c>
    </row>
    <row r="31" spans="2:68">
      <c r="J31" s="21"/>
      <c r="K31" s="21"/>
      <c r="L31" s="21"/>
      <c r="M31" s="21"/>
      <c r="N31" s="21"/>
      <c r="P31" s="21"/>
      <c r="Q31" s="21"/>
      <c r="R31" s="58"/>
      <c r="S31" s="58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58"/>
      <c r="AO31" s="58"/>
      <c r="AP31" s="58"/>
      <c r="AQ31" s="58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40"/>
      <c r="BF31" s="40"/>
      <c r="BG31" s="58"/>
      <c r="BH31" s="58"/>
      <c r="BI31" s="58"/>
      <c r="BJ31" s="58"/>
      <c r="BK31" s="58"/>
      <c r="BL31" s="58"/>
      <c r="BM31" s="58"/>
      <c r="BN31" s="58"/>
      <c r="BO31" s="58"/>
      <c r="BP31" s="58"/>
    </row>
    <row r="32" spans="2:68" s="6" customFormat="1" ht="15" thickBot="1">
      <c r="E32" s="6" t="s">
        <v>369</v>
      </c>
      <c r="J32" s="184">
        <f>+J21+J30</f>
        <v>12626920</v>
      </c>
      <c r="K32" s="184">
        <f t="shared" ref="K32:N32" si="69">+K21+K30</f>
        <v>109413</v>
      </c>
      <c r="L32" s="184">
        <f t="shared" si="69"/>
        <v>-92114</v>
      </c>
      <c r="M32" s="184">
        <f t="shared" si="69"/>
        <v>0</v>
      </c>
      <c r="N32" s="184">
        <f t="shared" si="69"/>
        <v>12644219</v>
      </c>
      <c r="P32" s="184">
        <f>+N32</f>
        <v>12644219</v>
      </c>
      <c r="Q32" s="184">
        <f t="shared" ref="Q32:T32" si="70">+Q21+Q30</f>
        <v>224759219</v>
      </c>
      <c r="R32" s="367">
        <f t="shared" si="70"/>
        <v>-664</v>
      </c>
      <c r="S32" s="367">
        <f t="shared" si="70"/>
        <v>0</v>
      </c>
      <c r="T32" s="184">
        <f t="shared" si="70"/>
        <v>237402774</v>
      </c>
      <c r="U32" s="79"/>
      <c r="V32" s="184">
        <f>+T32</f>
        <v>237402774</v>
      </c>
      <c r="W32" s="184">
        <f t="shared" ref="W32:Z32" si="71">+W21+W30</f>
        <v>4549582</v>
      </c>
      <c r="X32" s="184">
        <f t="shared" si="71"/>
        <v>-28492</v>
      </c>
      <c r="Y32" s="184">
        <f t="shared" si="71"/>
        <v>0</v>
      </c>
      <c r="Z32" s="184">
        <f t="shared" si="71"/>
        <v>241923864</v>
      </c>
      <c r="AA32" s="79"/>
      <c r="AB32" s="184">
        <f>+Z32</f>
        <v>241923864</v>
      </c>
      <c r="AC32" s="184">
        <f t="shared" ref="AC32:AF32" si="72">+AC21+AC30</f>
        <v>-1992188</v>
      </c>
      <c r="AD32" s="184">
        <f t="shared" si="72"/>
        <v>-435</v>
      </c>
      <c r="AE32" s="184">
        <f t="shared" si="72"/>
        <v>0</v>
      </c>
      <c r="AF32" s="184">
        <f t="shared" si="72"/>
        <v>239931241</v>
      </c>
      <c r="AG32" s="79"/>
      <c r="AH32" s="184">
        <f>+AF32</f>
        <v>239931241</v>
      </c>
      <c r="AI32" s="184">
        <f t="shared" ref="AI32:AL32" si="73">+AI21+AI30</f>
        <v>-1966724</v>
      </c>
      <c r="AJ32" s="184">
        <f t="shared" si="73"/>
        <v>-25184</v>
      </c>
      <c r="AK32" s="184">
        <f t="shared" si="73"/>
        <v>0</v>
      </c>
      <c r="AL32" s="184">
        <f t="shared" si="73"/>
        <v>237939333</v>
      </c>
      <c r="AM32" s="63"/>
      <c r="AN32" s="367">
        <f>+AL32</f>
        <v>237939333</v>
      </c>
      <c r="AO32" s="367">
        <f t="shared" ref="AO32:AR32" si="74">+AO21+AO30</f>
        <v>-1944935</v>
      </c>
      <c r="AP32" s="367">
        <f t="shared" si="74"/>
        <v>0</v>
      </c>
      <c r="AQ32" s="367">
        <f t="shared" si="74"/>
        <v>0</v>
      </c>
      <c r="AR32" s="184">
        <f t="shared" si="74"/>
        <v>235994398</v>
      </c>
      <c r="AS32" s="63"/>
      <c r="AT32" s="184">
        <f>+AR32</f>
        <v>235994398</v>
      </c>
      <c r="AU32" s="184">
        <f t="shared" ref="AU32:AX32" si="75">+AU21+AU30</f>
        <v>-2024489</v>
      </c>
      <c r="AV32" s="184">
        <f t="shared" si="75"/>
        <v>0</v>
      </c>
      <c r="AW32" s="184">
        <f t="shared" si="75"/>
        <v>0</v>
      </c>
      <c r="AX32" s="184">
        <f t="shared" si="75"/>
        <v>233969909</v>
      </c>
      <c r="AY32" s="63"/>
      <c r="AZ32" s="184">
        <f>+AX32</f>
        <v>233969909</v>
      </c>
      <c r="BA32" s="184">
        <f t="shared" ref="BA32:BD32" si="76">+BA21+BA30</f>
        <v>-1669153</v>
      </c>
      <c r="BB32" s="184">
        <f t="shared" si="76"/>
        <v>0</v>
      </c>
      <c r="BC32" s="184">
        <f t="shared" si="76"/>
        <v>0</v>
      </c>
      <c r="BD32" s="184">
        <f t="shared" si="76"/>
        <v>232300756</v>
      </c>
      <c r="BE32" s="502"/>
      <c r="BF32" s="502"/>
      <c r="BG32" s="367">
        <f>+BG21+BG30</f>
        <v>229828367.56666666</v>
      </c>
      <c r="BH32" s="367">
        <f t="shared" ref="BH32:BN32" si="77">+BH21+BH30</f>
        <v>227144504.40000001</v>
      </c>
      <c r="BI32" s="367">
        <f t="shared" si="77"/>
        <v>224746637.23333332</v>
      </c>
      <c r="BJ32" s="367">
        <f t="shared" si="77"/>
        <v>222348770.06666666</v>
      </c>
      <c r="BK32" s="367">
        <f t="shared" si="77"/>
        <v>219950902.90000001</v>
      </c>
      <c r="BL32" s="367">
        <f t="shared" si="77"/>
        <v>217553035.73333332</v>
      </c>
      <c r="BM32" s="367">
        <f t="shared" si="77"/>
        <v>215155168.56666666</v>
      </c>
      <c r="BN32" s="367">
        <f t="shared" si="77"/>
        <v>213961981</v>
      </c>
      <c r="BO32" s="367">
        <f t="shared" ref="BO32:BP32" si="78">+BO21+BO30</f>
        <v>213961981</v>
      </c>
      <c r="BP32" s="367">
        <f t="shared" si="78"/>
        <v>213961981</v>
      </c>
    </row>
    <row r="33" spans="1:68" ht="15" thickTop="1">
      <c r="J33" s="21"/>
      <c r="K33" s="21"/>
      <c r="L33" s="21"/>
      <c r="M33" s="21"/>
      <c r="N33" s="21"/>
      <c r="P33" s="21"/>
      <c r="Q33" s="21"/>
      <c r="R33" s="58"/>
      <c r="S33" s="58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58"/>
      <c r="AO33" s="58"/>
      <c r="AP33" s="58"/>
      <c r="AQ33" s="58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40"/>
      <c r="BF33" s="40"/>
      <c r="BG33" s="58"/>
      <c r="BH33" s="58"/>
      <c r="BI33" s="58"/>
      <c r="BJ33" s="58"/>
      <c r="BK33" s="58"/>
      <c r="BL33" s="58"/>
      <c r="BM33" s="58"/>
      <c r="BN33" s="58"/>
      <c r="BO33" s="58"/>
      <c r="BP33" s="58"/>
    </row>
    <row r="34" spans="1:68">
      <c r="J34" s="21"/>
      <c r="K34" s="21"/>
      <c r="L34" s="21"/>
      <c r="M34" s="21"/>
      <c r="N34" s="21"/>
      <c r="P34" s="21"/>
      <c r="Q34" s="21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21"/>
      <c r="AN34" s="58"/>
      <c r="AO34" s="58"/>
      <c r="AP34" s="58"/>
      <c r="AQ34" s="58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40"/>
      <c r="BF34" s="40"/>
      <c r="BG34" s="58"/>
      <c r="BH34" s="58"/>
      <c r="BI34" s="58"/>
      <c r="BJ34" s="58"/>
      <c r="BK34" s="58"/>
      <c r="BL34" s="58"/>
      <c r="BM34" s="58"/>
      <c r="BN34" s="58"/>
      <c r="BO34" s="58"/>
      <c r="BP34" s="58"/>
    </row>
    <row r="35" spans="1:68">
      <c r="A35" s="6" t="s">
        <v>528</v>
      </c>
      <c r="J35" s="21"/>
      <c r="K35" s="21"/>
      <c r="L35" s="21"/>
      <c r="M35" s="21"/>
      <c r="N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590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</row>
    <row r="36" spans="1:68">
      <c r="J36" s="21"/>
      <c r="K36" s="21"/>
      <c r="L36" s="21"/>
      <c r="M36" s="21"/>
      <c r="N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590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</row>
    <row r="37" spans="1:68">
      <c r="B37" s="6" t="s">
        <v>360</v>
      </c>
      <c r="J37" s="21"/>
      <c r="K37" s="21"/>
      <c r="L37" s="21"/>
      <c r="M37" s="21"/>
      <c r="N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</row>
    <row r="38" spans="1:68">
      <c r="C38" s="6" t="s">
        <v>109</v>
      </c>
      <c r="J38" s="21"/>
      <c r="K38" s="21"/>
      <c r="L38" s="21"/>
      <c r="M38" s="21"/>
      <c r="N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</row>
    <row r="39" spans="1:68">
      <c r="C39" s="6"/>
      <c r="D39" s="7" t="s">
        <v>110</v>
      </c>
      <c r="J39" s="21">
        <v>13003821</v>
      </c>
      <c r="K39" s="21"/>
      <c r="L39" s="21"/>
      <c r="M39" s="21"/>
      <c r="N39" s="59">
        <f>SUM(J39:M39)</f>
        <v>13003821</v>
      </c>
      <c r="P39" s="21">
        <f>N39</f>
        <v>13003821</v>
      </c>
      <c r="Q39" s="21"/>
      <c r="R39" s="21"/>
      <c r="S39" s="21"/>
      <c r="T39" s="59">
        <f>SUM(P39:S39)</f>
        <v>13003821</v>
      </c>
      <c r="U39" s="21"/>
      <c r="V39" s="21">
        <f>T39</f>
        <v>13003821</v>
      </c>
      <c r="W39" s="21"/>
      <c r="X39" s="21"/>
      <c r="Y39" s="21"/>
      <c r="Z39" s="59">
        <f>SUM(V39:Y39)</f>
        <v>13003821</v>
      </c>
      <c r="AA39" s="21"/>
      <c r="AB39" s="21">
        <f>Z39</f>
        <v>13003821</v>
      </c>
      <c r="AC39" s="21"/>
      <c r="AD39" s="21"/>
      <c r="AE39" s="21"/>
      <c r="AF39" s="59">
        <f>SUM(AB39:AE39)</f>
        <v>13003821</v>
      </c>
      <c r="AG39" s="21"/>
      <c r="AH39" s="21">
        <f>AF39</f>
        <v>13003821</v>
      </c>
      <c r="AI39" s="21"/>
      <c r="AJ39" s="21"/>
      <c r="AK39" s="21"/>
      <c r="AL39" s="59">
        <f>SUM(AH39:AK39)</f>
        <v>13003821</v>
      </c>
      <c r="AM39" s="59"/>
      <c r="AN39" s="21">
        <f>AL39</f>
        <v>13003821</v>
      </c>
      <c r="AO39" s="21"/>
      <c r="AP39" s="21"/>
      <c r="AQ39" s="21"/>
      <c r="AR39" s="59">
        <f>SUM(AN39:AQ39)</f>
        <v>13003821</v>
      </c>
      <c r="AS39" s="59"/>
      <c r="AT39" s="21">
        <f>AR39</f>
        <v>13003821</v>
      </c>
      <c r="AU39" s="21"/>
      <c r="AV39" s="21"/>
      <c r="AW39" s="21"/>
      <c r="AX39" s="59">
        <f>SUM(AT39:AW39)</f>
        <v>13003821</v>
      </c>
      <c r="AY39" s="59"/>
      <c r="AZ39" s="21">
        <f>AX39</f>
        <v>13003821</v>
      </c>
      <c r="BA39" s="21">
        <v>68890</v>
      </c>
      <c r="BB39" s="21"/>
      <c r="BC39" s="21"/>
      <c r="BD39" s="59">
        <f>SUM(AZ39:BC39)</f>
        <v>13072711</v>
      </c>
      <c r="BE39" s="21" t="s">
        <v>527</v>
      </c>
      <c r="BF39" s="21"/>
      <c r="BG39" s="21">
        <f>$BD$39</f>
        <v>13072711</v>
      </c>
      <c r="BH39" s="21">
        <f t="shared" ref="BH39:BP39" si="79">$AX$39</f>
        <v>13003821</v>
      </c>
      <c r="BI39" s="21">
        <f t="shared" si="79"/>
        <v>13003821</v>
      </c>
      <c r="BJ39" s="21">
        <f t="shared" si="79"/>
        <v>13003821</v>
      </c>
      <c r="BK39" s="21">
        <f t="shared" si="79"/>
        <v>13003821</v>
      </c>
      <c r="BL39" s="21">
        <f t="shared" si="79"/>
        <v>13003821</v>
      </c>
      <c r="BM39" s="21">
        <f t="shared" si="79"/>
        <v>13003821</v>
      </c>
      <c r="BN39" s="21">
        <f t="shared" si="79"/>
        <v>13003821</v>
      </c>
      <c r="BO39" s="21">
        <f t="shared" si="79"/>
        <v>13003821</v>
      </c>
      <c r="BP39" s="21">
        <f t="shared" si="79"/>
        <v>13003821</v>
      </c>
    </row>
    <row r="40" spans="1:68">
      <c r="C40" s="6" t="s">
        <v>110</v>
      </c>
      <c r="J40" s="102">
        <f>SUM(J39)</f>
        <v>13003821</v>
      </c>
      <c r="K40" s="102">
        <f t="shared" ref="K40:M40" si="80">SUM(K39)</f>
        <v>0</v>
      </c>
      <c r="L40" s="102">
        <f t="shared" si="80"/>
        <v>0</v>
      </c>
      <c r="M40" s="102">
        <f t="shared" si="80"/>
        <v>0</v>
      </c>
      <c r="N40" s="102">
        <f>SUM(J40:M40)</f>
        <v>13003821</v>
      </c>
      <c r="P40" s="102">
        <f>N40</f>
        <v>13003821</v>
      </c>
      <c r="Q40" s="102">
        <f t="shared" ref="Q40:S40" si="81">SUM(Q39)</f>
        <v>0</v>
      </c>
      <c r="R40" s="102">
        <f t="shared" si="81"/>
        <v>0</v>
      </c>
      <c r="S40" s="102">
        <f t="shared" si="81"/>
        <v>0</v>
      </c>
      <c r="T40" s="102">
        <f>SUM(P40:S40)</f>
        <v>13003821</v>
      </c>
      <c r="U40" s="21"/>
      <c r="V40" s="102">
        <f>T40</f>
        <v>13003821</v>
      </c>
      <c r="W40" s="102">
        <f>SUM(W38:W39)</f>
        <v>0</v>
      </c>
      <c r="X40" s="102">
        <f t="shared" ref="X40:Y40" si="82">SUM(X38:X39)</f>
        <v>0</v>
      </c>
      <c r="Y40" s="102">
        <f t="shared" si="82"/>
        <v>0</v>
      </c>
      <c r="Z40" s="102">
        <f>SUM(V40:Y40)</f>
        <v>13003821</v>
      </c>
      <c r="AA40" s="21"/>
      <c r="AB40" s="102">
        <f>Z40</f>
        <v>13003821</v>
      </c>
      <c r="AC40" s="102">
        <f>SUM(AC38:AC39)</f>
        <v>0</v>
      </c>
      <c r="AD40" s="102">
        <f>SUM(AD38:AD39)</f>
        <v>0</v>
      </c>
      <c r="AE40" s="102">
        <f t="shared" ref="AE40" si="83">SUM(AE38:AE39)</f>
        <v>0</v>
      </c>
      <c r="AF40" s="102">
        <f>SUM(AF39)</f>
        <v>13003821</v>
      </c>
      <c r="AG40" s="21"/>
      <c r="AH40" s="102">
        <f>AF40</f>
        <v>13003821</v>
      </c>
      <c r="AI40" s="102">
        <f>SUM(AI38:AI39)</f>
        <v>0</v>
      </c>
      <c r="AJ40" s="102">
        <f>SUM(AJ38:AJ39)</f>
        <v>0</v>
      </c>
      <c r="AK40" s="102">
        <f t="shared" ref="AK40" si="84">SUM(AK38:AK39)</f>
        <v>0</v>
      </c>
      <c r="AL40" s="102">
        <f>SUM(AL39)</f>
        <v>13003821</v>
      </c>
      <c r="AM40" s="59"/>
      <c r="AN40" s="102">
        <f>AL40</f>
        <v>13003821</v>
      </c>
      <c r="AO40" s="102">
        <f>SUM(AO38:AO39)</f>
        <v>0</v>
      </c>
      <c r="AP40" s="102">
        <f>SUM(AP38:AP39)</f>
        <v>0</v>
      </c>
      <c r="AQ40" s="102">
        <f t="shared" ref="AQ40" si="85">SUM(AQ38:AQ39)</f>
        <v>0</v>
      </c>
      <c r="AR40" s="102">
        <f>SUM(AR39)</f>
        <v>13003821</v>
      </c>
      <c r="AS40" s="59"/>
      <c r="AT40" s="102">
        <f>AR40</f>
        <v>13003821</v>
      </c>
      <c r="AU40" s="102">
        <f>SUM(AU38:AU39)</f>
        <v>0</v>
      </c>
      <c r="AV40" s="102">
        <f>SUM(AV38:AV39)</f>
        <v>0</v>
      </c>
      <c r="AW40" s="102">
        <f t="shared" ref="AW40" si="86">SUM(AW38:AW39)</f>
        <v>0</v>
      </c>
      <c r="AX40" s="102">
        <f>SUM(AX39)</f>
        <v>13003821</v>
      </c>
      <c r="AY40" s="59"/>
      <c r="AZ40" s="102">
        <f>AX40</f>
        <v>13003821</v>
      </c>
      <c r="BA40" s="102">
        <f>SUM(BA38:BA39)</f>
        <v>68890</v>
      </c>
      <c r="BB40" s="102">
        <f>SUM(BB38:BB39)</f>
        <v>0</v>
      </c>
      <c r="BC40" s="102">
        <f t="shared" ref="BC40" si="87">SUM(BC38:BC39)</f>
        <v>0</v>
      </c>
      <c r="BD40" s="102">
        <f>SUM(BD39)</f>
        <v>13072711</v>
      </c>
      <c r="BE40" s="21"/>
      <c r="BF40" s="21"/>
      <c r="BG40" s="102">
        <f t="shared" ref="BG40:BP40" si="88">SUM(BG39)</f>
        <v>13072711</v>
      </c>
      <c r="BH40" s="102">
        <f t="shared" si="88"/>
        <v>13003821</v>
      </c>
      <c r="BI40" s="102">
        <f t="shared" si="88"/>
        <v>13003821</v>
      </c>
      <c r="BJ40" s="102">
        <f t="shared" si="88"/>
        <v>13003821</v>
      </c>
      <c r="BK40" s="102">
        <f t="shared" si="88"/>
        <v>13003821</v>
      </c>
      <c r="BL40" s="102">
        <f t="shared" si="88"/>
        <v>13003821</v>
      </c>
      <c r="BM40" s="102">
        <f t="shared" si="88"/>
        <v>13003821</v>
      </c>
      <c r="BN40" s="102">
        <f t="shared" si="88"/>
        <v>13003821</v>
      </c>
      <c r="BO40" s="102">
        <f t="shared" si="88"/>
        <v>13003821</v>
      </c>
      <c r="BP40" s="102">
        <f t="shared" si="88"/>
        <v>13003821</v>
      </c>
    </row>
    <row r="41" spans="1:68">
      <c r="C41" s="7" t="s">
        <v>361</v>
      </c>
      <c r="J41" s="21"/>
      <c r="K41" s="21"/>
      <c r="L41" s="21"/>
      <c r="M41" s="21"/>
      <c r="N41" s="21"/>
      <c r="P41" s="21">
        <f>N41</f>
        <v>0</v>
      </c>
      <c r="Q41" s="21">
        <v>0</v>
      </c>
      <c r="R41" s="21">
        <v>0</v>
      </c>
      <c r="S41" s="21"/>
      <c r="T41" s="21">
        <f>SUM(P41:S41)</f>
        <v>0</v>
      </c>
      <c r="U41" s="21"/>
      <c r="V41" s="21">
        <f>T41</f>
        <v>0</v>
      </c>
      <c r="W41" s="21"/>
      <c r="X41" s="21"/>
      <c r="Y41" s="21"/>
      <c r="Z41" s="21">
        <f>SUM(V41:Y41)</f>
        <v>0</v>
      </c>
      <c r="AA41" s="21"/>
      <c r="AB41" s="21">
        <f>Z41</f>
        <v>0</v>
      </c>
      <c r="AC41" s="21"/>
      <c r="AD41" s="21"/>
      <c r="AE41" s="21"/>
      <c r="AF41" s="21">
        <f>SUM(AB41:AE41)</f>
        <v>0</v>
      </c>
      <c r="AG41" s="21"/>
      <c r="AH41" s="21">
        <f>AF41</f>
        <v>0</v>
      </c>
      <c r="AI41" s="21"/>
      <c r="AJ41" s="21"/>
      <c r="AK41" s="21"/>
      <c r="AL41" s="21">
        <f>SUM(AH41:AK41)</f>
        <v>0</v>
      </c>
      <c r="AM41" s="21"/>
      <c r="AN41" s="21">
        <f>AL41</f>
        <v>0</v>
      </c>
      <c r="AO41" s="21"/>
      <c r="AP41" s="21"/>
      <c r="AQ41" s="21"/>
      <c r="AR41" s="21">
        <f>SUM(AN41:AQ41)</f>
        <v>0</v>
      </c>
      <c r="AS41" s="21"/>
      <c r="AT41" s="21">
        <f>AR41</f>
        <v>0</v>
      </c>
      <c r="AU41" s="21"/>
      <c r="AV41" s="21"/>
      <c r="AW41" s="21"/>
      <c r="AX41" s="21">
        <f>SUM(AT41:AW41)</f>
        <v>0</v>
      </c>
      <c r="AY41" s="21"/>
      <c r="AZ41" s="21">
        <f>AX41</f>
        <v>0</v>
      </c>
      <c r="BA41" s="21"/>
      <c r="BB41" s="21"/>
      <c r="BC41" s="21"/>
      <c r="BD41" s="21">
        <f>SUM(AZ41:BC41)</f>
        <v>0</v>
      </c>
      <c r="BE41" s="21" t="s">
        <v>362</v>
      </c>
      <c r="BF41" s="21"/>
      <c r="BG41" s="21">
        <f t="shared" ref="BG41:BP41" si="89">$AX$41</f>
        <v>0</v>
      </c>
      <c r="BH41" s="21">
        <f t="shared" si="89"/>
        <v>0</v>
      </c>
      <c r="BI41" s="21">
        <f t="shared" si="89"/>
        <v>0</v>
      </c>
      <c r="BJ41" s="21">
        <f t="shared" si="89"/>
        <v>0</v>
      </c>
      <c r="BK41" s="21">
        <f t="shared" si="89"/>
        <v>0</v>
      </c>
      <c r="BL41" s="21">
        <f t="shared" si="89"/>
        <v>0</v>
      </c>
      <c r="BM41" s="21">
        <f t="shared" si="89"/>
        <v>0</v>
      </c>
      <c r="BN41" s="21">
        <f t="shared" si="89"/>
        <v>0</v>
      </c>
      <c r="BO41" s="21">
        <f t="shared" si="89"/>
        <v>0</v>
      </c>
      <c r="BP41" s="21">
        <f t="shared" si="89"/>
        <v>0</v>
      </c>
    </row>
    <row r="42" spans="1:68">
      <c r="E42" s="6" t="s">
        <v>363</v>
      </c>
      <c r="J42" s="102">
        <f>SUM(J40:J41)</f>
        <v>13003821</v>
      </c>
      <c r="K42" s="102">
        <f t="shared" ref="K42:N42" si="90">SUM(K40:K41)</f>
        <v>0</v>
      </c>
      <c r="L42" s="102">
        <f t="shared" si="90"/>
        <v>0</v>
      </c>
      <c r="M42" s="102">
        <f t="shared" si="90"/>
        <v>0</v>
      </c>
      <c r="N42" s="102">
        <f t="shared" si="90"/>
        <v>13003821</v>
      </c>
      <c r="P42" s="102">
        <f>SUM(P40:P41)</f>
        <v>13003821</v>
      </c>
      <c r="Q42" s="102">
        <f t="shared" ref="Q42:T42" si="91">SUM(Q40:Q41)</f>
        <v>0</v>
      </c>
      <c r="R42" s="102">
        <f t="shared" si="91"/>
        <v>0</v>
      </c>
      <c r="S42" s="102">
        <f t="shared" si="91"/>
        <v>0</v>
      </c>
      <c r="T42" s="102">
        <f t="shared" si="91"/>
        <v>13003821</v>
      </c>
      <c r="U42" s="21"/>
      <c r="V42" s="102">
        <f>SUM(V40:V41)</f>
        <v>13003821</v>
      </c>
      <c r="W42" s="102">
        <f t="shared" ref="W42:Z42" si="92">SUM(W40:W41)</f>
        <v>0</v>
      </c>
      <c r="X42" s="102">
        <f t="shared" si="92"/>
        <v>0</v>
      </c>
      <c r="Y42" s="102">
        <f t="shared" si="92"/>
        <v>0</v>
      </c>
      <c r="Z42" s="102">
        <f t="shared" si="92"/>
        <v>13003821</v>
      </c>
      <c r="AA42" s="21"/>
      <c r="AB42" s="102">
        <f>SUM(AB40:AB41)</f>
        <v>13003821</v>
      </c>
      <c r="AC42" s="102">
        <f t="shared" ref="AC42:AE42" si="93">SUM(AC40:AC41)</f>
        <v>0</v>
      </c>
      <c r="AD42" s="102">
        <f t="shared" si="93"/>
        <v>0</v>
      </c>
      <c r="AE42" s="102">
        <f t="shared" si="93"/>
        <v>0</v>
      </c>
      <c r="AF42" s="102">
        <f>SUM(AF40:AF41)</f>
        <v>13003821</v>
      </c>
      <c r="AG42" s="21"/>
      <c r="AH42" s="102">
        <f>SUM(AH40:AH41)</f>
        <v>13003821</v>
      </c>
      <c r="AI42" s="102">
        <f t="shared" ref="AI42:AK42" si="94">SUM(AI40:AI41)</f>
        <v>0</v>
      </c>
      <c r="AJ42" s="102">
        <f t="shared" si="94"/>
        <v>0</v>
      </c>
      <c r="AK42" s="102">
        <f t="shared" si="94"/>
        <v>0</v>
      </c>
      <c r="AL42" s="102">
        <f>SUM(AL40:AL41)</f>
        <v>13003821</v>
      </c>
      <c r="AM42" s="59"/>
      <c r="AN42" s="102">
        <f>SUM(AN40:AN41)</f>
        <v>13003821</v>
      </c>
      <c r="AO42" s="102">
        <f t="shared" ref="AO42:AQ42" si="95">SUM(AO40:AO41)</f>
        <v>0</v>
      </c>
      <c r="AP42" s="102">
        <f t="shared" si="95"/>
        <v>0</v>
      </c>
      <c r="AQ42" s="102">
        <f t="shared" si="95"/>
        <v>0</v>
      </c>
      <c r="AR42" s="102">
        <f>SUM(AR40:AR41)</f>
        <v>13003821</v>
      </c>
      <c r="AS42" s="59"/>
      <c r="AT42" s="102">
        <f>SUM(AT40:AT41)</f>
        <v>13003821</v>
      </c>
      <c r="AU42" s="102">
        <f t="shared" ref="AU42:AW42" si="96">SUM(AU40:AU41)</f>
        <v>0</v>
      </c>
      <c r="AV42" s="102">
        <f t="shared" si="96"/>
        <v>0</v>
      </c>
      <c r="AW42" s="102">
        <f t="shared" si="96"/>
        <v>0</v>
      </c>
      <c r="AX42" s="102">
        <f>SUM(AX40:AX41)</f>
        <v>13003821</v>
      </c>
      <c r="AY42" s="59"/>
      <c r="AZ42" s="102">
        <f>SUM(AZ40:AZ41)</f>
        <v>13003821</v>
      </c>
      <c r="BA42" s="102">
        <f t="shared" ref="BA42:BC42" si="97">SUM(BA40:BA41)</f>
        <v>68890</v>
      </c>
      <c r="BB42" s="102">
        <f t="shared" si="97"/>
        <v>0</v>
      </c>
      <c r="BC42" s="102">
        <f t="shared" si="97"/>
        <v>0</v>
      </c>
      <c r="BD42" s="102">
        <f>SUM(BD40:BD41)</f>
        <v>13072711</v>
      </c>
      <c r="BE42" s="21"/>
      <c r="BF42" s="21"/>
      <c r="BG42" s="102">
        <f>SUM(BG40:BG41)</f>
        <v>13072711</v>
      </c>
      <c r="BH42" s="102">
        <f t="shared" ref="BH42:BP42" si="98">SUM(BH40:BH41)</f>
        <v>13003821</v>
      </c>
      <c r="BI42" s="102">
        <f t="shared" si="98"/>
        <v>13003821</v>
      </c>
      <c r="BJ42" s="102">
        <f t="shared" si="98"/>
        <v>13003821</v>
      </c>
      <c r="BK42" s="102">
        <f t="shared" si="98"/>
        <v>13003821</v>
      </c>
      <c r="BL42" s="102">
        <f t="shared" si="98"/>
        <v>13003821</v>
      </c>
      <c r="BM42" s="102">
        <f t="shared" si="98"/>
        <v>13003821</v>
      </c>
      <c r="BN42" s="102">
        <f t="shared" si="98"/>
        <v>13003821</v>
      </c>
      <c r="BO42" s="102">
        <f t="shared" si="98"/>
        <v>13003821</v>
      </c>
      <c r="BP42" s="102">
        <f t="shared" si="98"/>
        <v>13003821</v>
      </c>
    </row>
    <row r="43" spans="1:68">
      <c r="J43" s="21"/>
      <c r="K43" s="21"/>
      <c r="L43" s="21"/>
      <c r="M43" s="21"/>
      <c r="N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</row>
    <row r="44" spans="1:68">
      <c r="B44" s="6" t="s">
        <v>364</v>
      </c>
      <c r="J44" s="21"/>
      <c r="K44" s="21"/>
      <c r="L44" s="21"/>
      <c r="M44" s="21"/>
      <c r="N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</row>
    <row r="45" spans="1:68">
      <c r="C45" s="7" t="s">
        <v>103</v>
      </c>
      <c r="J45" s="21">
        <v>968388</v>
      </c>
      <c r="K45" s="21"/>
      <c r="L45" s="21"/>
      <c r="M45" s="21"/>
      <c r="N45" s="59">
        <f t="shared" ref="N45:N46" si="99">SUM(J45:M45)</f>
        <v>968388</v>
      </c>
      <c r="P45" s="21">
        <f>N45</f>
        <v>968388</v>
      </c>
      <c r="Q45" s="21">
        <v>0</v>
      </c>
      <c r="R45" s="21">
        <v>0</v>
      </c>
      <c r="S45" s="21"/>
      <c r="T45" s="59">
        <f t="shared" ref="T45:T46" si="100">SUM(P45:S45)</f>
        <v>968388</v>
      </c>
      <c r="U45" s="21"/>
      <c r="V45" s="21">
        <f>T45</f>
        <v>968388</v>
      </c>
      <c r="W45" s="21"/>
      <c r="X45" s="21"/>
      <c r="Y45" s="21"/>
      <c r="Z45" s="59">
        <f>SUM(V45:Y45)</f>
        <v>968388</v>
      </c>
      <c r="AA45" s="21"/>
      <c r="AB45" s="21">
        <f>Z45</f>
        <v>968388</v>
      </c>
      <c r="AC45" s="21"/>
      <c r="AD45" s="21"/>
      <c r="AE45" s="21"/>
      <c r="AF45" s="59">
        <f t="shared" ref="AF45:AF46" si="101">SUM(AB45:AE45)</f>
        <v>968388</v>
      </c>
      <c r="AG45" s="21"/>
      <c r="AH45" s="21">
        <f>AF45</f>
        <v>968388</v>
      </c>
      <c r="AI45" s="21"/>
      <c r="AJ45" s="21"/>
      <c r="AK45" s="21"/>
      <c r="AL45" s="59">
        <f t="shared" ref="AL45:AL46" si="102">SUM(AH45:AK45)</f>
        <v>968388</v>
      </c>
      <c r="AM45" s="59"/>
      <c r="AN45" s="21">
        <f>AL45</f>
        <v>968388</v>
      </c>
      <c r="AO45" s="21">
        <v>228210</v>
      </c>
      <c r="AP45" s="21"/>
      <c r="AQ45" s="21"/>
      <c r="AR45" s="59">
        <f t="shared" ref="AR45:AR46" si="103">SUM(AN45:AQ45)</f>
        <v>1196598</v>
      </c>
      <c r="AS45" s="59"/>
      <c r="AT45" s="21">
        <v>2810110</v>
      </c>
      <c r="AU45" s="21">
        <v>294152</v>
      </c>
      <c r="AV45" s="21"/>
      <c r="AW45" s="21"/>
      <c r="AX45" s="59">
        <f t="shared" ref="AX45:AX46" si="104">SUM(AT45:AW45)</f>
        <v>3104262</v>
      </c>
      <c r="AY45" s="59"/>
      <c r="AZ45" s="21">
        <f>AX45</f>
        <v>3104262</v>
      </c>
      <c r="BA45" s="21">
        <v>341098</v>
      </c>
      <c r="BB45" s="21"/>
      <c r="BC45" s="21"/>
      <c r="BD45" s="59">
        <f t="shared" ref="BD45:BD46" si="105">SUM(AZ45:BC45)</f>
        <v>3445360</v>
      </c>
      <c r="BE45" s="21" t="s">
        <v>365</v>
      </c>
      <c r="BF45" s="21"/>
      <c r="BG45" s="21">
        <f>$BD$45</f>
        <v>3445360</v>
      </c>
      <c r="BH45" s="21">
        <f t="shared" ref="BH45:BP45" si="106">$AX$45</f>
        <v>3104262</v>
      </c>
      <c r="BI45" s="21">
        <f t="shared" si="106"/>
        <v>3104262</v>
      </c>
      <c r="BJ45" s="21">
        <f t="shared" si="106"/>
        <v>3104262</v>
      </c>
      <c r="BK45" s="21">
        <f t="shared" si="106"/>
        <v>3104262</v>
      </c>
      <c r="BL45" s="21">
        <f t="shared" si="106"/>
        <v>3104262</v>
      </c>
      <c r="BM45" s="21">
        <f t="shared" si="106"/>
        <v>3104262</v>
      </c>
      <c r="BN45" s="21">
        <f t="shared" si="106"/>
        <v>3104262</v>
      </c>
      <c r="BO45" s="21">
        <f t="shared" si="106"/>
        <v>3104262</v>
      </c>
      <c r="BP45" s="21">
        <f t="shared" si="106"/>
        <v>3104262</v>
      </c>
    </row>
    <row r="46" spans="1:68">
      <c r="C46" s="7" t="s">
        <v>105</v>
      </c>
      <c r="J46" s="21">
        <v>332170</v>
      </c>
      <c r="K46" s="21">
        <v>209895</v>
      </c>
      <c r="L46" s="21"/>
      <c r="M46" s="21"/>
      <c r="N46" s="59">
        <f t="shared" si="99"/>
        <v>542065</v>
      </c>
      <c r="P46" s="21">
        <f t="shared" ref="P46" si="107">N46</f>
        <v>542065</v>
      </c>
      <c r="Q46" s="21">
        <v>360187</v>
      </c>
      <c r="R46" s="21">
        <v>0</v>
      </c>
      <c r="S46" s="21"/>
      <c r="T46" s="59">
        <f t="shared" si="100"/>
        <v>902252</v>
      </c>
      <c r="U46" s="21"/>
      <c r="V46" s="21">
        <f t="shared" ref="V46" si="108">T46</f>
        <v>902252</v>
      </c>
      <c r="W46" s="21">
        <v>565952</v>
      </c>
      <c r="X46" s="21"/>
      <c r="Y46" s="21"/>
      <c r="Z46" s="59">
        <f t="shared" ref="Z46" si="109">SUM(V46:Y46)</f>
        <v>1468204</v>
      </c>
      <c r="AA46" s="21"/>
      <c r="AB46" s="21">
        <f t="shared" ref="AB46" si="110">Z46</f>
        <v>1468204</v>
      </c>
      <c r="AC46" s="21">
        <v>18450</v>
      </c>
      <c r="AD46" s="21"/>
      <c r="AE46" s="21"/>
      <c r="AF46" s="59">
        <f t="shared" si="101"/>
        <v>1486654</v>
      </c>
      <c r="AG46" s="21"/>
      <c r="AH46" s="21">
        <f>AF46</f>
        <v>1486654</v>
      </c>
      <c r="AI46" s="21">
        <v>176124</v>
      </c>
      <c r="AJ46" s="21">
        <v>-49266</v>
      </c>
      <c r="AK46" s="21"/>
      <c r="AL46" s="59">
        <f t="shared" si="102"/>
        <v>1613512</v>
      </c>
      <c r="AM46" s="59"/>
      <c r="AN46" s="21">
        <f t="shared" ref="AN46" si="111">AL46</f>
        <v>1613512</v>
      </c>
      <c r="AO46" s="21">
        <v>38404</v>
      </c>
      <c r="AP46" s="21"/>
      <c r="AQ46" s="21"/>
      <c r="AR46" s="59">
        <f t="shared" si="103"/>
        <v>1651916</v>
      </c>
      <c r="AS46" s="59"/>
      <c r="AT46" s="21"/>
      <c r="AU46" s="21"/>
      <c r="AV46" s="21"/>
      <c r="AW46" s="21"/>
      <c r="AX46" s="59">
        <f t="shared" si="104"/>
        <v>0</v>
      </c>
      <c r="AY46" s="59"/>
      <c r="AZ46" s="21">
        <f t="shared" ref="AZ46:AZ48" si="112">AX46</f>
        <v>0</v>
      </c>
      <c r="BA46" s="21"/>
      <c r="BB46" s="21"/>
      <c r="BC46" s="21"/>
      <c r="BD46" s="59">
        <f t="shared" si="105"/>
        <v>0</v>
      </c>
      <c r="BE46" s="21" t="s">
        <v>365</v>
      </c>
      <c r="BF46" s="21"/>
      <c r="BG46" s="21">
        <f>$BD$46</f>
        <v>0</v>
      </c>
      <c r="BH46" s="21">
        <f t="shared" ref="BH46:BP46" si="113">$AX$46</f>
        <v>0</v>
      </c>
      <c r="BI46" s="21">
        <f t="shared" si="113"/>
        <v>0</v>
      </c>
      <c r="BJ46" s="21">
        <f t="shared" si="113"/>
        <v>0</v>
      </c>
      <c r="BK46" s="21">
        <f t="shared" si="113"/>
        <v>0</v>
      </c>
      <c r="BL46" s="21">
        <f t="shared" si="113"/>
        <v>0</v>
      </c>
      <c r="BM46" s="21">
        <f t="shared" si="113"/>
        <v>0</v>
      </c>
      <c r="BN46" s="21">
        <f t="shared" si="113"/>
        <v>0</v>
      </c>
      <c r="BO46" s="21">
        <f t="shared" si="113"/>
        <v>0</v>
      </c>
      <c r="BP46" s="21">
        <f t="shared" si="113"/>
        <v>0</v>
      </c>
    </row>
    <row r="47" spans="1:68">
      <c r="C47" s="7" t="s">
        <v>106</v>
      </c>
      <c r="J47" s="21">
        <v>400914</v>
      </c>
      <c r="K47" s="21">
        <v>194545</v>
      </c>
      <c r="L47" s="21"/>
      <c r="M47" s="21"/>
      <c r="N47" s="59">
        <f>SUM(J47:M47)</f>
        <v>595459</v>
      </c>
      <c r="P47" s="21">
        <f>N47</f>
        <v>595459</v>
      </c>
      <c r="Q47" s="21">
        <v>159230</v>
      </c>
      <c r="R47" s="21">
        <v>-130012</v>
      </c>
      <c r="S47" s="21"/>
      <c r="T47" s="59">
        <f>SUM(P47:S47)</f>
        <v>624677</v>
      </c>
      <c r="U47" s="21"/>
      <c r="V47" s="21">
        <f>T47</f>
        <v>624677</v>
      </c>
      <c r="W47" s="21">
        <v>143044</v>
      </c>
      <c r="X47" s="21"/>
      <c r="Y47" s="21"/>
      <c r="Z47" s="59">
        <f>SUM(V47:Y47)</f>
        <v>767721</v>
      </c>
      <c r="AA47" s="21"/>
      <c r="AB47" s="21">
        <f>Z47</f>
        <v>767721</v>
      </c>
      <c r="AC47" s="21">
        <v>120075</v>
      </c>
      <c r="AD47" s="21">
        <v>-15868</v>
      </c>
      <c r="AE47" s="21"/>
      <c r="AF47" s="59">
        <f>SUM(AB47:AE47)</f>
        <v>871928</v>
      </c>
      <c r="AG47" s="21"/>
      <c r="AH47" s="21">
        <f>AF47</f>
        <v>871928</v>
      </c>
      <c r="AI47" s="21">
        <v>100429</v>
      </c>
      <c r="AJ47" s="21">
        <v>-14184</v>
      </c>
      <c r="AK47" s="21"/>
      <c r="AL47" s="59">
        <f>SUM(AH47:AK47)</f>
        <v>958173</v>
      </c>
      <c r="AM47" s="59"/>
      <c r="AN47" s="21">
        <f>AL47</f>
        <v>958173</v>
      </c>
      <c r="AO47" s="21">
        <v>62009</v>
      </c>
      <c r="AP47" s="21">
        <v>-26200</v>
      </c>
      <c r="AQ47" s="21"/>
      <c r="AR47" s="59">
        <f>SUM(AN47:AQ47)</f>
        <v>993982</v>
      </c>
      <c r="AS47" s="59"/>
      <c r="AT47" s="21">
        <v>863659</v>
      </c>
      <c r="AU47" s="21">
        <v>100639</v>
      </c>
      <c r="AV47" s="21">
        <v>-37564</v>
      </c>
      <c r="AW47" s="21"/>
      <c r="AX47" s="59">
        <f>SUM(AT47:AW47)</f>
        <v>926734</v>
      </c>
      <c r="AY47" s="59"/>
      <c r="AZ47" s="21">
        <f t="shared" si="112"/>
        <v>926734</v>
      </c>
      <c r="BA47" s="21">
        <v>38385</v>
      </c>
      <c r="BB47" s="21">
        <v>-41313</v>
      </c>
      <c r="BC47" s="21"/>
      <c r="BD47" s="59">
        <f>SUM(AZ47:BC47)</f>
        <v>923806</v>
      </c>
      <c r="BE47" s="21" t="s">
        <v>365</v>
      </c>
      <c r="BF47" s="21"/>
      <c r="BG47" s="21">
        <f>$BD$47</f>
        <v>923806</v>
      </c>
      <c r="BH47" s="21">
        <f t="shared" ref="BH47:BP47" si="114">$AX$47</f>
        <v>926734</v>
      </c>
      <c r="BI47" s="21">
        <f t="shared" si="114"/>
        <v>926734</v>
      </c>
      <c r="BJ47" s="21">
        <f t="shared" si="114"/>
        <v>926734</v>
      </c>
      <c r="BK47" s="21">
        <f t="shared" si="114"/>
        <v>926734</v>
      </c>
      <c r="BL47" s="21">
        <f t="shared" si="114"/>
        <v>926734</v>
      </c>
      <c r="BM47" s="21">
        <f t="shared" si="114"/>
        <v>926734</v>
      </c>
      <c r="BN47" s="21">
        <f t="shared" si="114"/>
        <v>926734</v>
      </c>
      <c r="BO47" s="21">
        <f t="shared" si="114"/>
        <v>926734</v>
      </c>
      <c r="BP47" s="21">
        <f t="shared" si="114"/>
        <v>926734</v>
      </c>
    </row>
    <row r="48" spans="1:68">
      <c r="C48" s="7" t="s">
        <v>516</v>
      </c>
      <c r="J48" s="21"/>
      <c r="K48" s="21"/>
      <c r="L48" s="21"/>
      <c r="M48" s="21"/>
      <c r="N48" s="59"/>
      <c r="P48" s="21"/>
      <c r="Q48" s="21"/>
      <c r="R48" s="21"/>
      <c r="S48" s="21"/>
      <c r="T48" s="59"/>
      <c r="U48" s="21"/>
      <c r="V48" s="21"/>
      <c r="W48" s="21"/>
      <c r="X48" s="21"/>
      <c r="Y48" s="21"/>
      <c r="Z48" s="59"/>
      <c r="AA48" s="21"/>
      <c r="AB48" s="21"/>
      <c r="AC48" s="21"/>
      <c r="AD48" s="21"/>
      <c r="AE48" s="21"/>
      <c r="AF48" s="59"/>
      <c r="AG48" s="21"/>
      <c r="AH48" s="21"/>
      <c r="AI48" s="21"/>
      <c r="AJ48" s="21"/>
      <c r="AK48" s="21"/>
      <c r="AL48" s="59"/>
      <c r="AM48" s="59"/>
      <c r="AN48" s="21"/>
      <c r="AO48" s="21"/>
      <c r="AP48" s="21"/>
      <c r="AQ48" s="21"/>
      <c r="AR48" s="59"/>
      <c r="AS48" s="59"/>
      <c r="AT48" s="21">
        <v>168727</v>
      </c>
      <c r="AU48" s="21">
        <v>76015</v>
      </c>
      <c r="AV48" s="21"/>
      <c r="AW48" s="21"/>
      <c r="AX48" s="59">
        <f>SUM(AT48:AW48)</f>
        <v>244742</v>
      </c>
      <c r="AY48" s="59"/>
      <c r="AZ48" s="21">
        <f t="shared" si="112"/>
        <v>244742</v>
      </c>
      <c r="BA48" s="21">
        <v>48257</v>
      </c>
      <c r="BB48" s="21">
        <v>-65597</v>
      </c>
      <c r="BC48" s="21"/>
      <c r="BD48" s="59">
        <f>SUM(AZ48:BC48)</f>
        <v>227402</v>
      </c>
      <c r="BE48" s="21" t="s">
        <v>365</v>
      </c>
      <c r="BF48" s="21"/>
      <c r="BG48" s="21">
        <f>$BD$48</f>
        <v>227402</v>
      </c>
      <c r="BH48" s="21">
        <f t="shared" ref="BH48:BP48" si="115">$AX$48</f>
        <v>244742</v>
      </c>
      <c r="BI48" s="21">
        <f t="shared" si="115"/>
        <v>244742</v>
      </c>
      <c r="BJ48" s="21">
        <f t="shared" si="115"/>
        <v>244742</v>
      </c>
      <c r="BK48" s="21">
        <f t="shared" si="115"/>
        <v>244742</v>
      </c>
      <c r="BL48" s="21">
        <f t="shared" si="115"/>
        <v>244742</v>
      </c>
      <c r="BM48" s="21">
        <f t="shared" si="115"/>
        <v>244742</v>
      </c>
      <c r="BN48" s="21">
        <f t="shared" si="115"/>
        <v>244742</v>
      </c>
      <c r="BO48" s="21">
        <f t="shared" si="115"/>
        <v>244742</v>
      </c>
      <c r="BP48" s="21">
        <f t="shared" si="115"/>
        <v>244742</v>
      </c>
    </row>
    <row r="49" spans="2:68">
      <c r="E49" s="6" t="s">
        <v>366</v>
      </c>
      <c r="J49" s="102">
        <f>SUM(J45:J47)</f>
        <v>1701472</v>
      </c>
      <c r="K49" s="102">
        <f t="shared" ref="K49:M49" si="116">SUM(K45:K47)</f>
        <v>404440</v>
      </c>
      <c r="L49" s="102">
        <f t="shared" si="116"/>
        <v>0</v>
      </c>
      <c r="M49" s="102">
        <f t="shared" si="116"/>
        <v>0</v>
      </c>
      <c r="N49" s="102">
        <f>SUM(N45:N47)</f>
        <v>2105912</v>
      </c>
      <c r="P49" s="102">
        <f>SUM(P45:P47)</f>
        <v>2105912</v>
      </c>
      <c r="Q49" s="102">
        <f t="shared" ref="Q49:S49" si="117">SUM(Q45:Q47)</f>
        <v>519417</v>
      </c>
      <c r="R49" s="102">
        <f t="shared" si="117"/>
        <v>-130012</v>
      </c>
      <c r="S49" s="102">
        <f t="shared" si="117"/>
        <v>0</v>
      </c>
      <c r="T49" s="102">
        <f>SUM(T45:T47)</f>
        <v>2495317</v>
      </c>
      <c r="U49" s="21"/>
      <c r="V49" s="102">
        <f>SUM(V45:V47)</f>
        <v>2495317</v>
      </c>
      <c r="W49" s="102">
        <f t="shared" ref="W49:Y49" si="118">SUM(W45:W47)</f>
        <v>708996</v>
      </c>
      <c r="X49" s="102">
        <f t="shared" si="118"/>
        <v>0</v>
      </c>
      <c r="Y49" s="102">
        <f t="shared" si="118"/>
        <v>0</v>
      </c>
      <c r="Z49" s="102">
        <f>SUM(Z45:Z47)</f>
        <v>3204313</v>
      </c>
      <c r="AA49" s="21"/>
      <c r="AB49" s="102">
        <f>SUM(AB45:AB47)</f>
        <v>3204313</v>
      </c>
      <c r="AC49" s="102">
        <f t="shared" ref="AC49:AE49" si="119">SUM(AC45:AC47)</f>
        <v>138525</v>
      </c>
      <c r="AD49" s="102">
        <f t="shared" si="119"/>
        <v>-15868</v>
      </c>
      <c r="AE49" s="102">
        <f t="shared" si="119"/>
        <v>0</v>
      </c>
      <c r="AF49" s="102">
        <f>SUM(AF45:AF47)</f>
        <v>3326970</v>
      </c>
      <c r="AG49" s="21"/>
      <c r="AH49" s="102">
        <f>SUM(AH45:AH47)</f>
        <v>3326970</v>
      </c>
      <c r="AI49" s="102">
        <f t="shared" ref="AI49:AK49" si="120">SUM(AI45:AI47)</f>
        <v>276553</v>
      </c>
      <c r="AJ49" s="102">
        <f t="shared" si="120"/>
        <v>-63450</v>
      </c>
      <c r="AK49" s="102">
        <f t="shared" si="120"/>
        <v>0</v>
      </c>
      <c r="AL49" s="102">
        <f>SUM(AL45:AL47)</f>
        <v>3540073</v>
      </c>
      <c r="AM49" s="59"/>
      <c r="AN49" s="102">
        <f>SUM(AN45:AN47)</f>
        <v>3540073</v>
      </c>
      <c r="AO49" s="102">
        <f t="shared" ref="AO49:AQ49" si="121">SUM(AO45:AO47)</f>
        <v>328623</v>
      </c>
      <c r="AP49" s="102">
        <f t="shared" si="121"/>
        <v>-26200</v>
      </c>
      <c r="AQ49" s="102">
        <f t="shared" si="121"/>
        <v>0</v>
      </c>
      <c r="AR49" s="102">
        <f>SUM(AR45:AR47)</f>
        <v>3842496</v>
      </c>
      <c r="AS49" s="59"/>
      <c r="AT49" s="102">
        <f t="shared" ref="AT49:AW49" si="122">SUM(AT45:AT48)</f>
        <v>3842496</v>
      </c>
      <c r="AU49" s="102">
        <f t="shared" si="122"/>
        <v>470806</v>
      </c>
      <c r="AV49" s="102">
        <f t="shared" si="122"/>
        <v>-37564</v>
      </c>
      <c r="AW49" s="102">
        <f t="shared" si="122"/>
        <v>0</v>
      </c>
      <c r="AX49" s="102">
        <f>SUM(AX45:AX48)</f>
        <v>4275738</v>
      </c>
      <c r="AY49" s="59"/>
      <c r="AZ49" s="102">
        <f t="shared" ref="AZ49:BC49" si="123">SUM(AZ45:AZ48)</f>
        <v>4275738</v>
      </c>
      <c r="BA49" s="102">
        <f t="shared" si="123"/>
        <v>427740</v>
      </c>
      <c r="BB49" s="102">
        <f t="shared" si="123"/>
        <v>-106910</v>
      </c>
      <c r="BC49" s="102">
        <f t="shared" si="123"/>
        <v>0</v>
      </c>
      <c r="BD49" s="102">
        <f>SUM(BD45:BD48)</f>
        <v>4596568</v>
      </c>
      <c r="BE49" s="21"/>
      <c r="BF49" s="21"/>
      <c r="BG49" s="102">
        <f t="shared" ref="BG49:BP49" si="124">SUM(BG45:BG48)</f>
        <v>4596568</v>
      </c>
      <c r="BH49" s="102">
        <f t="shared" si="124"/>
        <v>4275738</v>
      </c>
      <c r="BI49" s="102">
        <f t="shared" si="124"/>
        <v>4275738</v>
      </c>
      <c r="BJ49" s="102">
        <f t="shared" si="124"/>
        <v>4275738</v>
      </c>
      <c r="BK49" s="102">
        <f t="shared" si="124"/>
        <v>4275738</v>
      </c>
      <c r="BL49" s="102">
        <f t="shared" si="124"/>
        <v>4275738</v>
      </c>
      <c r="BM49" s="102">
        <f t="shared" si="124"/>
        <v>4275738</v>
      </c>
      <c r="BN49" s="102">
        <f t="shared" si="124"/>
        <v>4275738</v>
      </c>
      <c r="BO49" s="102">
        <f t="shared" si="124"/>
        <v>4275738</v>
      </c>
      <c r="BP49" s="102">
        <f t="shared" si="124"/>
        <v>4275738</v>
      </c>
    </row>
    <row r="50" spans="2:68">
      <c r="J50" s="21"/>
      <c r="K50" s="21"/>
      <c r="L50" s="21"/>
      <c r="M50" s="21"/>
      <c r="N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</row>
    <row r="51" spans="2:68">
      <c r="B51" s="7" t="s">
        <v>107</v>
      </c>
      <c r="J51" s="21">
        <v>-345106</v>
      </c>
      <c r="K51" s="21">
        <v>-183771</v>
      </c>
      <c r="L51" s="21"/>
      <c r="M51" s="21"/>
      <c r="N51" s="59">
        <f t="shared" ref="N51" si="125">SUM(J51:M51)</f>
        <v>-528877</v>
      </c>
      <c r="P51" s="21">
        <f>N51</f>
        <v>-528877</v>
      </c>
      <c r="Q51" s="21">
        <v>-256416</v>
      </c>
      <c r="R51" s="21">
        <v>82006</v>
      </c>
      <c r="S51" s="21"/>
      <c r="T51" s="59">
        <f t="shared" ref="T51" si="126">SUM(P51:S51)</f>
        <v>-703287</v>
      </c>
      <c r="U51" s="21"/>
      <c r="V51" s="21">
        <f>T51</f>
        <v>-703287</v>
      </c>
      <c r="W51" s="21">
        <v>-300660</v>
      </c>
      <c r="X51" s="21"/>
      <c r="Y51" s="21"/>
      <c r="Z51" s="59">
        <f t="shared" ref="Z51" si="127">SUM(V51:Y51)</f>
        <v>-1003947</v>
      </c>
      <c r="AA51" s="21"/>
      <c r="AB51" s="21">
        <f>Z51</f>
        <v>-1003947</v>
      </c>
      <c r="AC51" s="21">
        <v>-333862</v>
      </c>
      <c r="AD51" s="21">
        <v>3174</v>
      </c>
      <c r="AE51" s="21"/>
      <c r="AF51" s="59">
        <f t="shared" ref="AF51" si="128">SUM(AB51:AE51)</f>
        <v>-1334635</v>
      </c>
      <c r="AG51" s="21"/>
      <c r="AH51" s="21">
        <f>AF51</f>
        <v>-1334635</v>
      </c>
      <c r="AI51" s="21">
        <v>-338338</v>
      </c>
      <c r="AJ51" s="21">
        <v>61276</v>
      </c>
      <c r="AK51" s="21"/>
      <c r="AL51" s="59">
        <f t="shared" ref="AL51" si="129">SUM(AH51:AK51)</f>
        <v>-1611697</v>
      </c>
      <c r="AM51" s="59"/>
      <c r="AN51" s="21">
        <f>AL51</f>
        <v>-1611697</v>
      </c>
      <c r="AO51" s="21">
        <v>-323745</v>
      </c>
      <c r="AP51" s="21">
        <v>26200</v>
      </c>
      <c r="AQ51" s="21"/>
      <c r="AR51" s="59">
        <f t="shared" ref="AR51" si="130">SUM(AN51:AQ51)</f>
        <v>-1909242</v>
      </c>
      <c r="AS51" s="59"/>
      <c r="AT51" s="21">
        <f>AR51</f>
        <v>-1909242</v>
      </c>
      <c r="AU51" s="21">
        <v>-317664</v>
      </c>
      <c r="AV51" s="21">
        <v>29597</v>
      </c>
      <c r="AW51" s="21"/>
      <c r="AX51" s="59">
        <f t="shared" ref="AX51" si="131">SUM(AT51:AW51)</f>
        <v>-2197309</v>
      </c>
      <c r="AY51" s="59"/>
      <c r="AZ51" s="21">
        <f>AX51</f>
        <v>-2197309</v>
      </c>
      <c r="BA51" s="21">
        <v>-369209</v>
      </c>
      <c r="BB51" s="21">
        <v>76584</v>
      </c>
      <c r="BC51" s="21"/>
      <c r="BD51" s="59">
        <f t="shared" ref="BD51" si="132">SUM(AZ51:BC51)</f>
        <v>-2489934</v>
      </c>
      <c r="BE51" s="21" t="s">
        <v>367</v>
      </c>
      <c r="BF51" s="21"/>
      <c r="BG51" s="21">
        <f>-SUM(BG45/30, BG47/15,BG48/5)+$BD$51</f>
        <v>-2711846.8</v>
      </c>
      <c r="BH51" s="21">
        <f t="shared" ref="BH51" si="133">-SUM(BH45/30, BH47/15,BH48/5)+$AX$51</f>
        <v>-2411515.0666666664</v>
      </c>
      <c r="BI51" s="21">
        <f>-BI49</f>
        <v>-4275738</v>
      </c>
      <c r="BJ51" s="21">
        <f>BI51</f>
        <v>-4275738</v>
      </c>
      <c r="BK51" s="21">
        <f t="shared" ref="BK51:BP51" si="134">+BJ51-BI51+BJ51</f>
        <v>-4275738</v>
      </c>
      <c r="BL51" s="21">
        <f t="shared" si="134"/>
        <v>-4275738</v>
      </c>
      <c r="BM51" s="21">
        <f t="shared" si="134"/>
        <v>-4275738</v>
      </c>
      <c r="BN51" s="21">
        <f t="shared" si="134"/>
        <v>-4275738</v>
      </c>
      <c r="BO51" s="21">
        <f t="shared" si="134"/>
        <v>-4275738</v>
      </c>
      <c r="BP51" s="21">
        <f t="shared" si="134"/>
        <v>-4275738</v>
      </c>
    </row>
    <row r="52" spans="2:68">
      <c r="E52" s="6" t="s">
        <v>368</v>
      </c>
      <c r="J52" s="102">
        <f>SUM(J49:J51)</f>
        <v>1356366</v>
      </c>
      <c r="K52" s="102">
        <f t="shared" ref="K52:N52" si="135">SUM(K49:K51)</f>
        <v>220669</v>
      </c>
      <c r="L52" s="102">
        <f t="shared" si="135"/>
        <v>0</v>
      </c>
      <c r="M52" s="102">
        <f t="shared" si="135"/>
        <v>0</v>
      </c>
      <c r="N52" s="102">
        <f t="shared" si="135"/>
        <v>1577035</v>
      </c>
      <c r="P52" s="102">
        <f>SUM(P49:P51)</f>
        <v>1577035</v>
      </c>
      <c r="Q52" s="102">
        <f t="shared" ref="Q52:T52" si="136">SUM(Q49:Q51)</f>
        <v>263001</v>
      </c>
      <c r="R52" s="102">
        <f t="shared" si="136"/>
        <v>-48006</v>
      </c>
      <c r="S52" s="102">
        <f t="shared" si="136"/>
        <v>0</v>
      </c>
      <c r="T52" s="102">
        <f t="shared" si="136"/>
        <v>1792030</v>
      </c>
      <c r="U52" s="21"/>
      <c r="V52" s="102">
        <f>SUM(V49:V51)</f>
        <v>1792030</v>
      </c>
      <c r="W52" s="102">
        <f t="shared" ref="W52:Z52" si="137">SUM(W49:W51)</f>
        <v>408336</v>
      </c>
      <c r="X52" s="102">
        <f t="shared" si="137"/>
        <v>0</v>
      </c>
      <c r="Y52" s="102">
        <f t="shared" si="137"/>
        <v>0</v>
      </c>
      <c r="Z52" s="102">
        <f t="shared" si="137"/>
        <v>2200366</v>
      </c>
      <c r="AA52" s="21"/>
      <c r="AB52" s="102">
        <f>SUM(AB49:AB51)</f>
        <v>2200366</v>
      </c>
      <c r="AC52" s="102">
        <f t="shared" ref="AC52:AF52" si="138">SUM(AC49:AC51)</f>
        <v>-195337</v>
      </c>
      <c r="AD52" s="102">
        <f t="shared" si="138"/>
        <v>-12694</v>
      </c>
      <c r="AE52" s="102">
        <f t="shared" si="138"/>
        <v>0</v>
      </c>
      <c r="AF52" s="102">
        <f t="shared" si="138"/>
        <v>1992335</v>
      </c>
      <c r="AG52" s="21"/>
      <c r="AH52" s="102">
        <f>SUM(AH49:AH51)</f>
        <v>1992335</v>
      </c>
      <c r="AI52" s="102">
        <f t="shared" ref="AI52:AL52" si="139">SUM(AI49:AI51)</f>
        <v>-61785</v>
      </c>
      <c r="AJ52" s="102">
        <f t="shared" si="139"/>
        <v>-2174</v>
      </c>
      <c r="AK52" s="102">
        <f t="shared" si="139"/>
        <v>0</v>
      </c>
      <c r="AL52" s="102">
        <f t="shared" si="139"/>
        <v>1928376</v>
      </c>
      <c r="AM52" s="59"/>
      <c r="AN52" s="102">
        <f>SUM(AN49:AN51)</f>
        <v>1928376</v>
      </c>
      <c r="AO52" s="102">
        <f t="shared" ref="AO52:AR52" si="140">SUM(AO49:AO51)</f>
        <v>4878</v>
      </c>
      <c r="AP52" s="102">
        <f t="shared" si="140"/>
        <v>0</v>
      </c>
      <c r="AQ52" s="102">
        <f t="shared" si="140"/>
        <v>0</v>
      </c>
      <c r="AR52" s="102">
        <f t="shared" si="140"/>
        <v>1933254</v>
      </c>
      <c r="AS52" s="59"/>
      <c r="AT52" s="102">
        <f>SUM(AT49:AT51)</f>
        <v>1933254</v>
      </c>
      <c r="AU52" s="102">
        <f t="shared" ref="AU52:AX52" si="141">SUM(AU49:AU51)</f>
        <v>153142</v>
      </c>
      <c r="AV52" s="102">
        <f t="shared" si="141"/>
        <v>-7967</v>
      </c>
      <c r="AW52" s="102">
        <f t="shared" si="141"/>
        <v>0</v>
      </c>
      <c r="AX52" s="102">
        <f t="shared" si="141"/>
        <v>2078429</v>
      </c>
      <c r="AY52" s="59"/>
      <c r="AZ52" s="102">
        <f>SUM(AZ49:AZ51)</f>
        <v>2078429</v>
      </c>
      <c r="BA52" s="102">
        <f t="shared" ref="BA52:BD52" si="142">SUM(BA49:BA51)</f>
        <v>58531</v>
      </c>
      <c r="BB52" s="102">
        <f t="shared" si="142"/>
        <v>-30326</v>
      </c>
      <c r="BC52" s="102">
        <f t="shared" si="142"/>
        <v>0</v>
      </c>
      <c r="BD52" s="102">
        <f t="shared" si="142"/>
        <v>2106634</v>
      </c>
      <c r="BE52" s="21"/>
      <c r="BF52" s="21"/>
      <c r="BG52" s="102">
        <f t="shared" ref="BG52:BP52" si="143">SUM(BG49:BG51)</f>
        <v>1884721.2000000002</v>
      </c>
      <c r="BH52" s="102">
        <f t="shared" si="143"/>
        <v>1864222.9333333336</v>
      </c>
      <c r="BI52" s="102">
        <f t="shared" si="143"/>
        <v>0</v>
      </c>
      <c r="BJ52" s="102">
        <f t="shared" si="143"/>
        <v>0</v>
      </c>
      <c r="BK52" s="102">
        <f t="shared" si="143"/>
        <v>0</v>
      </c>
      <c r="BL52" s="102">
        <f t="shared" si="143"/>
        <v>0</v>
      </c>
      <c r="BM52" s="102">
        <f t="shared" si="143"/>
        <v>0</v>
      </c>
      <c r="BN52" s="102">
        <f t="shared" si="143"/>
        <v>0</v>
      </c>
      <c r="BO52" s="102">
        <f t="shared" si="143"/>
        <v>0</v>
      </c>
      <c r="BP52" s="102">
        <f t="shared" si="143"/>
        <v>0</v>
      </c>
    </row>
    <row r="53" spans="2:68">
      <c r="J53" s="21"/>
      <c r="K53" s="21"/>
      <c r="L53" s="21"/>
      <c r="M53" s="21"/>
      <c r="N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</row>
    <row r="54" spans="2:68" s="6" customFormat="1" ht="15" thickBot="1">
      <c r="E54" s="6" t="s">
        <v>369</v>
      </c>
      <c r="J54" s="184">
        <f>+J42+J52</f>
        <v>14360187</v>
      </c>
      <c r="K54" s="184">
        <f t="shared" ref="K54:N54" si="144">+K42+K52</f>
        <v>220669</v>
      </c>
      <c r="L54" s="184">
        <f t="shared" si="144"/>
        <v>0</v>
      </c>
      <c r="M54" s="184">
        <f t="shared" si="144"/>
        <v>0</v>
      </c>
      <c r="N54" s="184">
        <f t="shared" si="144"/>
        <v>14580856</v>
      </c>
      <c r="P54" s="184">
        <f>+P42+P52</f>
        <v>14580856</v>
      </c>
      <c r="Q54" s="184">
        <f t="shared" ref="Q54:T54" si="145">+Q42+Q52</f>
        <v>263001</v>
      </c>
      <c r="R54" s="184">
        <f t="shared" si="145"/>
        <v>-48006</v>
      </c>
      <c r="S54" s="184">
        <f t="shared" si="145"/>
        <v>0</v>
      </c>
      <c r="T54" s="184">
        <f t="shared" si="145"/>
        <v>14795851</v>
      </c>
      <c r="U54" s="79"/>
      <c r="V54" s="184">
        <f>+V42+V52</f>
        <v>14795851</v>
      </c>
      <c r="W54" s="184">
        <f t="shared" ref="W54:Z54" si="146">+W42+W52</f>
        <v>408336</v>
      </c>
      <c r="X54" s="184">
        <f t="shared" si="146"/>
        <v>0</v>
      </c>
      <c r="Y54" s="184">
        <f t="shared" si="146"/>
        <v>0</v>
      </c>
      <c r="Z54" s="184">
        <f t="shared" si="146"/>
        <v>15204187</v>
      </c>
      <c r="AA54" s="79"/>
      <c r="AB54" s="184">
        <f>+AB42+AB52</f>
        <v>15204187</v>
      </c>
      <c r="AC54" s="184">
        <f t="shared" ref="AC54:AF54" si="147">+AC42+AC52</f>
        <v>-195337</v>
      </c>
      <c r="AD54" s="184">
        <f t="shared" si="147"/>
        <v>-12694</v>
      </c>
      <c r="AE54" s="184">
        <f t="shared" si="147"/>
        <v>0</v>
      </c>
      <c r="AF54" s="184">
        <f t="shared" si="147"/>
        <v>14996156</v>
      </c>
      <c r="AG54" s="79"/>
      <c r="AH54" s="184">
        <f>+AH42+AH52</f>
        <v>14996156</v>
      </c>
      <c r="AI54" s="184">
        <f t="shared" ref="AI54:AL54" si="148">+AI42+AI52</f>
        <v>-61785</v>
      </c>
      <c r="AJ54" s="184">
        <f t="shared" si="148"/>
        <v>-2174</v>
      </c>
      <c r="AK54" s="184">
        <f t="shared" si="148"/>
        <v>0</v>
      </c>
      <c r="AL54" s="184">
        <f t="shared" si="148"/>
        <v>14932197</v>
      </c>
      <c r="AM54" s="63"/>
      <c r="AN54" s="184">
        <f>+AN42+AN52</f>
        <v>14932197</v>
      </c>
      <c r="AO54" s="184">
        <f t="shared" ref="AO54:AR54" si="149">+AO42+AO52</f>
        <v>4878</v>
      </c>
      <c r="AP54" s="184">
        <f t="shared" si="149"/>
        <v>0</v>
      </c>
      <c r="AQ54" s="184">
        <f t="shared" si="149"/>
        <v>0</v>
      </c>
      <c r="AR54" s="184">
        <f t="shared" si="149"/>
        <v>14937075</v>
      </c>
      <c r="AS54" s="63"/>
      <c r="AT54" s="184">
        <f>+AT42+AT52</f>
        <v>14937075</v>
      </c>
      <c r="AU54" s="184">
        <f t="shared" ref="AU54:AX54" si="150">+AU42+AU52</f>
        <v>153142</v>
      </c>
      <c r="AV54" s="184">
        <f t="shared" si="150"/>
        <v>-7967</v>
      </c>
      <c r="AW54" s="184">
        <f t="shared" si="150"/>
        <v>0</v>
      </c>
      <c r="AX54" s="184">
        <f t="shared" si="150"/>
        <v>15082250</v>
      </c>
      <c r="AY54" s="63"/>
      <c r="AZ54" s="184">
        <f>+AZ42+AZ52</f>
        <v>15082250</v>
      </c>
      <c r="BA54" s="184">
        <f t="shared" ref="BA54:BD54" si="151">+BA42+BA52</f>
        <v>127421</v>
      </c>
      <c r="BB54" s="184">
        <f t="shared" si="151"/>
        <v>-30326</v>
      </c>
      <c r="BC54" s="184">
        <f t="shared" si="151"/>
        <v>0</v>
      </c>
      <c r="BD54" s="184">
        <f t="shared" si="151"/>
        <v>15179345</v>
      </c>
      <c r="BE54" s="79"/>
      <c r="BF54" s="79"/>
      <c r="BG54" s="184">
        <f>+BG42+BG52</f>
        <v>14957432.199999999</v>
      </c>
      <c r="BH54" s="184">
        <f t="shared" ref="BH54:BP54" si="152">+BH42+BH52</f>
        <v>14868043.933333334</v>
      </c>
      <c r="BI54" s="184">
        <f t="shared" si="152"/>
        <v>13003821</v>
      </c>
      <c r="BJ54" s="184">
        <f t="shared" si="152"/>
        <v>13003821</v>
      </c>
      <c r="BK54" s="184">
        <f t="shared" si="152"/>
        <v>13003821</v>
      </c>
      <c r="BL54" s="184">
        <f t="shared" si="152"/>
        <v>13003821</v>
      </c>
      <c r="BM54" s="184">
        <f t="shared" si="152"/>
        <v>13003821</v>
      </c>
      <c r="BN54" s="184">
        <f t="shared" si="152"/>
        <v>13003821</v>
      </c>
      <c r="BO54" s="184">
        <f t="shared" si="152"/>
        <v>13003821</v>
      </c>
      <c r="BP54" s="184">
        <f t="shared" si="152"/>
        <v>13003821</v>
      </c>
    </row>
    <row r="55" spans="2:68" s="110" customFormat="1" ht="15" thickTop="1">
      <c r="J55" s="106"/>
      <c r="K55" s="106"/>
      <c r="L55" s="106"/>
      <c r="M55" s="106"/>
      <c r="N55" s="106"/>
      <c r="BG55" s="106"/>
      <c r="BH55" s="106"/>
      <c r="BI55" s="106"/>
      <c r="BJ55" s="106"/>
      <c r="BK55" s="106"/>
      <c r="BL55" s="106"/>
      <c r="BM55" s="106"/>
      <c r="BN55" s="106"/>
      <c r="BO55" s="106"/>
      <c r="BP55" s="106"/>
    </row>
    <row r="56" spans="2:68" s="110" customFormat="1">
      <c r="BG56" s="106"/>
      <c r="BH56" s="106"/>
      <c r="BI56" s="106"/>
      <c r="BJ56" s="106"/>
      <c r="BK56" s="106"/>
      <c r="BL56" s="106"/>
      <c r="BM56" s="106"/>
      <c r="BN56" s="106"/>
      <c r="BO56" s="106"/>
      <c r="BP56" s="106"/>
    </row>
    <row r="57" spans="2:68" s="110" customFormat="1">
      <c r="BG57" s="106"/>
      <c r="BH57" s="106"/>
      <c r="BI57" s="106"/>
      <c r="BJ57" s="106"/>
      <c r="BK57" s="106"/>
      <c r="BL57" s="106"/>
      <c r="BM57" s="106"/>
      <c r="BN57" s="106"/>
      <c r="BO57" s="106"/>
      <c r="BP57" s="106"/>
    </row>
  </sheetData>
  <mergeCells count="7">
    <mergeCell ref="AZ3:BD3"/>
    <mergeCell ref="AT3:AX3"/>
    <mergeCell ref="P3:T3"/>
    <mergeCell ref="V3:Z3"/>
    <mergeCell ref="AB3:AF3"/>
    <mergeCell ref="AH3:AL3"/>
    <mergeCell ref="AN3:AR3"/>
  </mergeCells>
  <phoneticPr fontId="73" type="noConversion"/>
  <pageMargins left="0.7" right="0.7" top="0.75" bottom="0.75" header="0.3" footer="0.3"/>
  <pageSetup orientation="portrait" horizontalDpi="1200" verticalDpi="1200" r:id="rId1"/>
  <customProperties>
    <customPr name="OrphanNamesChecked" r:id="rId2"/>
  </customProperties>
  <ignoredErrors>
    <ignoredError sqref="AF19 AL19 AR19 AX19 T19 BD19" formula="1"/>
  </ignoredErrors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T42"/>
  <sheetViews>
    <sheetView showGridLines="0" zoomScale="90" zoomScaleNormal="90" workbookViewId="0"/>
  </sheetViews>
  <sheetFormatPr defaultColWidth="9.1796875" defaultRowHeight="14.5"/>
  <cols>
    <col min="1" max="1" width="2.7265625" style="361" customWidth="1"/>
    <col min="2" max="2" width="9.1796875" style="361"/>
    <col min="3" max="3" width="15.26953125" style="361" bestFit="1" customWidth="1"/>
    <col min="4" max="5" width="2.7265625" style="361" customWidth="1"/>
    <col min="6" max="6" width="34" style="361" customWidth="1"/>
    <col min="7" max="18" width="15.7265625" style="361" customWidth="1"/>
    <col min="19" max="19" width="13.453125" style="361" customWidth="1"/>
    <col min="20" max="16384" width="9.1796875" style="361"/>
  </cols>
  <sheetData>
    <row r="1" spans="1:9">
      <c r="A1" s="595" t="s">
        <v>471</v>
      </c>
      <c r="B1" s="594"/>
      <c r="C1" s="549"/>
      <c r="D1" s="549"/>
      <c r="E1" s="549"/>
      <c r="F1" s="549"/>
      <c r="G1" s="549"/>
      <c r="H1" s="549"/>
      <c r="I1" s="549"/>
    </row>
    <row r="2" spans="1:9" hidden="1">
      <c r="B2" s="549"/>
      <c r="C2" s="549"/>
      <c r="D2" s="549"/>
      <c r="E2" s="549"/>
      <c r="F2" s="549"/>
      <c r="G2" s="362"/>
      <c r="H2" s="549"/>
      <c r="I2" s="549"/>
    </row>
    <row r="3" spans="1:9" hidden="1">
      <c r="A3" s="522"/>
      <c r="B3" s="549"/>
      <c r="C3" s="549"/>
      <c r="D3" s="549"/>
      <c r="E3" s="549"/>
      <c r="F3" s="549"/>
      <c r="G3" s="549"/>
      <c r="H3" s="549"/>
      <c r="I3" s="549"/>
    </row>
    <row r="4" spans="1:9" hidden="1">
      <c r="A4" s="518"/>
      <c r="B4" s="549"/>
      <c r="C4" s="549"/>
      <c r="D4" s="549"/>
      <c r="E4" s="549"/>
      <c r="F4" s="549"/>
      <c r="G4" s="549"/>
      <c r="H4" s="549"/>
      <c r="I4" s="549"/>
    </row>
    <row r="5" spans="1:9">
      <c r="A5" s="549"/>
      <c r="B5" s="549"/>
      <c r="C5" s="549"/>
      <c r="D5" s="549"/>
      <c r="E5" s="549"/>
      <c r="F5" s="549"/>
      <c r="G5" s="483"/>
      <c r="H5" s="549"/>
      <c r="I5" s="549"/>
    </row>
    <row r="6" spans="1:9" ht="30" customHeight="1">
      <c r="A6" s="549"/>
      <c r="B6" s="549"/>
      <c r="C6" s="549"/>
      <c r="D6" s="549"/>
      <c r="E6" s="549"/>
      <c r="F6" s="487" t="s">
        <v>32</v>
      </c>
      <c r="G6" s="487" t="s">
        <v>33</v>
      </c>
      <c r="H6" s="487" t="s">
        <v>34</v>
      </c>
      <c r="I6" s="487" t="s">
        <v>35</v>
      </c>
    </row>
    <row r="7" spans="1:9">
      <c r="A7" s="549"/>
      <c r="B7" s="549"/>
      <c r="C7" s="363"/>
      <c r="D7" s="363"/>
      <c r="E7" s="549"/>
      <c r="F7" s="549" t="s">
        <v>36</v>
      </c>
      <c r="G7" s="485">
        <v>0.4</v>
      </c>
      <c r="H7" s="485">
        <v>8.9499999999999996E-2</v>
      </c>
      <c r="I7" s="485">
        <v>0.184</v>
      </c>
    </row>
    <row r="8" spans="1:9">
      <c r="A8" s="549"/>
      <c r="B8" s="549"/>
      <c r="C8" s="486" t="s">
        <v>371</v>
      </c>
      <c r="D8" s="363"/>
      <c r="E8" s="549"/>
      <c r="F8" s="549" t="s">
        <v>37</v>
      </c>
      <c r="G8" s="485">
        <v>0.17</v>
      </c>
      <c r="H8" s="485">
        <v>0.04</v>
      </c>
      <c r="I8" s="485">
        <v>5.5E-2</v>
      </c>
    </row>
    <row r="9" spans="1:9">
      <c r="A9" s="549"/>
      <c r="B9" s="636" t="s">
        <v>436</v>
      </c>
      <c r="C9" s="478">
        <v>370687167.14200002</v>
      </c>
      <c r="D9" s="363"/>
      <c r="E9" s="549"/>
      <c r="F9" s="549" t="s">
        <v>38</v>
      </c>
      <c r="G9" s="485">
        <v>0.05</v>
      </c>
      <c r="H9" s="485">
        <v>6.2E-2</v>
      </c>
      <c r="I9" s="485">
        <v>0.20499999999999999</v>
      </c>
    </row>
    <row r="10" spans="1:9">
      <c r="A10" s="549"/>
      <c r="B10" s="636" t="s">
        <v>437</v>
      </c>
      <c r="C10" s="478">
        <v>359250659.65500003</v>
      </c>
      <c r="D10" s="363"/>
      <c r="E10" s="549"/>
      <c r="F10" s="549" t="s">
        <v>39</v>
      </c>
      <c r="G10" s="485">
        <v>0.12</v>
      </c>
      <c r="H10" s="485">
        <v>5.8000000000000003E-2</v>
      </c>
      <c r="I10" s="485">
        <v>5.8000000000000003E-2</v>
      </c>
    </row>
    <row r="11" spans="1:9">
      <c r="A11" s="549"/>
      <c r="B11" s="636" t="s">
        <v>438</v>
      </c>
      <c r="C11" s="478">
        <v>342345705.3035</v>
      </c>
      <c r="D11" s="363"/>
      <c r="E11" s="549"/>
      <c r="F11" s="549" t="s">
        <v>40</v>
      </c>
      <c r="G11" s="485">
        <v>0.18</v>
      </c>
      <c r="H11" s="485">
        <v>0.108</v>
      </c>
      <c r="I11" s="485">
        <v>0.22500000000000001</v>
      </c>
    </row>
    <row r="12" spans="1:9">
      <c r="A12" s="549"/>
      <c r="B12" s="636" t="s">
        <v>439</v>
      </c>
      <c r="C12" s="478">
        <v>346108427.43949997</v>
      </c>
      <c r="D12" s="363"/>
      <c r="E12" s="549"/>
      <c r="F12" s="549" t="s">
        <v>41</v>
      </c>
      <c r="G12" s="485">
        <v>0.03</v>
      </c>
      <c r="H12" s="485">
        <v>3.1E-2</v>
      </c>
      <c r="I12" s="485">
        <v>2.5000000000000001E-2</v>
      </c>
    </row>
    <row r="13" spans="1:9">
      <c r="A13" s="549"/>
      <c r="B13" s="636" t="s">
        <v>440</v>
      </c>
      <c r="C13" s="478">
        <v>353223767.18949997</v>
      </c>
      <c r="D13" s="363"/>
      <c r="E13" s="549"/>
      <c r="F13" s="549" t="s">
        <v>42</v>
      </c>
      <c r="G13" s="485">
        <v>0.05</v>
      </c>
      <c r="H13" s="485">
        <v>3.5999999999999997E-2</v>
      </c>
      <c r="I13" s="485">
        <v>5.5E-2</v>
      </c>
    </row>
    <row r="14" spans="1:9" ht="15" thickBot="1">
      <c r="A14" s="549"/>
      <c r="B14" s="636" t="s">
        <v>441</v>
      </c>
      <c r="C14" s="478">
        <v>351171964.5395</v>
      </c>
      <c r="D14" s="549"/>
      <c r="E14" s="549"/>
      <c r="F14" s="549"/>
      <c r="G14" s="484">
        <f>SUM(G7:G13)</f>
        <v>1.0000000000000002</v>
      </c>
      <c r="H14" s="484">
        <f>SUMPRODUCT(G7:G13,H7:H13)</f>
        <v>7.4829999999999994E-2</v>
      </c>
      <c r="I14" s="484">
        <f>SUMPRODUCT(G7:G13,I7:I13)</f>
        <v>0.14415999999999998</v>
      </c>
    </row>
    <row r="15" spans="1:9" ht="15" thickTop="1">
      <c r="A15" s="549"/>
      <c r="B15" s="636" t="s">
        <v>442</v>
      </c>
      <c r="C15" s="478">
        <v>350667554.5395</v>
      </c>
      <c r="D15" s="549"/>
      <c r="E15" s="549"/>
      <c r="F15" s="549"/>
      <c r="G15" s="549"/>
      <c r="H15" s="557"/>
      <c r="I15" s="549"/>
    </row>
    <row r="16" spans="1:9">
      <c r="A16" s="549"/>
      <c r="B16" s="637" t="s">
        <v>434</v>
      </c>
      <c r="C16" s="478">
        <v>353656495.30000001</v>
      </c>
      <c r="D16" s="549"/>
      <c r="E16" s="549"/>
      <c r="F16" s="339"/>
      <c r="G16" s="549"/>
      <c r="H16" s="549"/>
      <c r="I16" s="549"/>
    </row>
    <row r="17" spans="6:20">
      <c r="F17" s="340"/>
      <c r="G17" s="87" t="s">
        <v>440</v>
      </c>
      <c r="H17" s="87" t="s">
        <v>441</v>
      </c>
      <c r="I17" s="87" t="s">
        <v>442</v>
      </c>
      <c r="J17" s="635" t="s">
        <v>434</v>
      </c>
      <c r="K17" s="635" t="s">
        <v>435</v>
      </c>
      <c r="L17" s="635" t="s">
        <v>436</v>
      </c>
      <c r="M17" s="635" t="s">
        <v>437</v>
      </c>
      <c r="N17" s="635" t="s">
        <v>438</v>
      </c>
      <c r="O17" s="635" t="s">
        <v>439</v>
      </c>
      <c r="P17" s="635" t="s">
        <v>440</v>
      </c>
      <c r="Q17" s="635" t="s">
        <v>441</v>
      </c>
      <c r="R17" s="635" t="s">
        <v>442</v>
      </c>
      <c r="S17" s="635" t="s">
        <v>443</v>
      </c>
      <c r="T17" s="549"/>
    </row>
    <row r="18" spans="6:20">
      <c r="F18" s="558" t="s">
        <v>36</v>
      </c>
      <c r="G18" s="516">
        <v>158011838</v>
      </c>
      <c r="H18" s="516">
        <v>124226300</v>
      </c>
      <c r="I18" s="516">
        <v>168183117</v>
      </c>
      <c r="J18" s="479">
        <f>J$25*$G7</f>
        <v>162068767.16208908</v>
      </c>
      <c r="K18" s="479">
        <f t="shared" ref="K18:R18" si="0">K$25*$G7</f>
        <v>165645728.81336343</v>
      </c>
      <c r="L18" s="479">
        <f t="shared" si="0"/>
        <v>169176530.50594535</v>
      </c>
      <c r="M18" s="479">
        <f t="shared" si="0"/>
        <v>172650703.04314053</v>
      </c>
      <c r="N18" s="479">
        <f t="shared" si="0"/>
        <v>176018492.19711992</v>
      </c>
      <c r="O18" s="479">
        <f t="shared" si="0"/>
        <v>179234492.5848248</v>
      </c>
      <c r="P18" s="479">
        <f t="shared" si="0"/>
        <v>182266745.74725044</v>
      </c>
      <c r="Q18" s="479">
        <f t="shared" si="0"/>
        <v>185328657.7189104</v>
      </c>
      <c r="R18" s="479">
        <f t="shared" si="0"/>
        <v>188427264.76242101</v>
      </c>
      <c r="S18" s="514">
        <f>S$25*$G7</f>
        <v>191569086.98620343</v>
      </c>
      <c r="T18" s="549"/>
    </row>
    <row r="19" spans="6:20">
      <c r="F19" s="559" t="s">
        <v>37</v>
      </c>
      <c r="G19" s="517">
        <v>29697142</v>
      </c>
      <c r="H19" s="517">
        <v>69701867</v>
      </c>
      <c r="I19" s="517">
        <v>61363045</v>
      </c>
      <c r="J19" s="480">
        <f t="shared" ref="J19:R24" si="1">J$25*$G8</f>
        <v>68879226.043887854</v>
      </c>
      <c r="K19" s="480">
        <f t="shared" si="1"/>
        <v>70399434.745679468</v>
      </c>
      <c r="L19" s="480">
        <f t="shared" si="1"/>
        <v>71900025.465026781</v>
      </c>
      <c r="M19" s="480">
        <f t="shared" si="1"/>
        <v>73376548.793334723</v>
      </c>
      <c r="N19" s="480">
        <f t="shared" si="1"/>
        <v>74807859.183775961</v>
      </c>
      <c r="O19" s="480">
        <f t="shared" si="1"/>
        <v>76174659.348550528</v>
      </c>
      <c r="P19" s="480">
        <f t="shared" si="1"/>
        <v>77463366.942581445</v>
      </c>
      <c r="Q19" s="480">
        <f t="shared" si="1"/>
        <v>78764679.53053692</v>
      </c>
      <c r="R19" s="480">
        <f t="shared" si="1"/>
        <v>80081587.524028927</v>
      </c>
      <c r="S19" s="515">
        <f t="shared" ref="S19" si="2">S$25*$G8</f>
        <v>81416861.969136462</v>
      </c>
      <c r="T19" s="549"/>
    </row>
    <row r="20" spans="6:20">
      <c r="F20" s="559" t="s">
        <v>38</v>
      </c>
      <c r="G20" s="517">
        <v>20361742</v>
      </c>
      <c r="H20" s="517">
        <v>10312152</v>
      </c>
      <c r="I20" s="517">
        <v>18150350</v>
      </c>
      <c r="J20" s="480">
        <f t="shared" si="1"/>
        <v>20258595.895261135</v>
      </c>
      <c r="K20" s="480">
        <f t="shared" si="1"/>
        <v>20705716.101670429</v>
      </c>
      <c r="L20" s="480">
        <f t="shared" si="1"/>
        <v>21147066.313243169</v>
      </c>
      <c r="M20" s="480">
        <f t="shared" si="1"/>
        <v>21581337.880392566</v>
      </c>
      <c r="N20" s="480">
        <f t="shared" si="1"/>
        <v>22002311.52463999</v>
      </c>
      <c r="O20" s="480">
        <f t="shared" si="1"/>
        <v>22404311.5731031</v>
      </c>
      <c r="P20" s="480">
        <f t="shared" si="1"/>
        <v>22783343.218406305</v>
      </c>
      <c r="Q20" s="480">
        <f t="shared" si="1"/>
        <v>23166082.2148638</v>
      </c>
      <c r="R20" s="480">
        <f t="shared" si="1"/>
        <v>23553408.095302626</v>
      </c>
      <c r="S20" s="515">
        <f t="shared" ref="S20" si="3">S$25*$G9</f>
        <v>23946135.873275429</v>
      </c>
      <c r="T20" s="549"/>
    </row>
    <row r="21" spans="6:20">
      <c r="F21" s="559" t="s">
        <v>39</v>
      </c>
      <c r="G21" s="517">
        <v>23739917</v>
      </c>
      <c r="H21" s="517">
        <v>45584015</v>
      </c>
      <c r="I21" s="517">
        <v>45620759</v>
      </c>
      <c r="J21" s="480">
        <f t="shared" si="1"/>
        <v>48620630.148626715</v>
      </c>
      <c r="K21" s="480">
        <f t="shared" si="1"/>
        <v>49693718.644009031</v>
      </c>
      <c r="L21" s="480">
        <f t="shared" si="1"/>
        <v>50752959.1517836</v>
      </c>
      <c r="M21" s="480">
        <f t="shared" si="1"/>
        <v>51795210.912942149</v>
      </c>
      <c r="N21" s="480">
        <f t="shared" si="1"/>
        <v>52805547.659135967</v>
      </c>
      <c r="O21" s="480">
        <f t="shared" si="1"/>
        <v>53770347.775447428</v>
      </c>
      <c r="P21" s="480">
        <f t="shared" si="1"/>
        <v>54680023.724175133</v>
      </c>
      <c r="Q21" s="480">
        <f t="shared" si="1"/>
        <v>55598597.315673113</v>
      </c>
      <c r="R21" s="480">
        <f t="shared" si="1"/>
        <v>56528179.428726293</v>
      </c>
      <c r="S21" s="515">
        <f t="shared" ref="S21" si="4">S$25*$G10</f>
        <v>57470726.095861018</v>
      </c>
      <c r="T21" s="549"/>
    </row>
    <row r="22" spans="6:20">
      <c r="F22" s="559" t="s">
        <v>40</v>
      </c>
      <c r="G22" s="517">
        <v>83160801</v>
      </c>
      <c r="H22" s="517">
        <v>79436265</v>
      </c>
      <c r="I22" s="517">
        <v>78629445</v>
      </c>
      <c r="J22" s="480">
        <f t="shared" si="1"/>
        <v>72930945.222940072</v>
      </c>
      <c r="K22" s="480">
        <f t="shared" si="1"/>
        <v>74540577.966013536</v>
      </c>
      <c r="L22" s="480">
        <f t="shared" si="1"/>
        <v>76129438.727675408</v>
      </c>
      <c r="M22" s="480">
        <f t="shared" si="1"/>
        <v>77692816.369413227</v>
      </c>
      <c r="N22" s="480">
        <f t="shared" si="1"/>
        <v>79208321.488703951</v>
      </c>
      <c r="O22" s="480">
        <f t="shared" si="1"/>
        <v>80655521.663171142</v>
      </c>
      <c r="P22" s="480">
        <f t="shared" si="1"/>
        <v>82020035.586262688</v>
      </c>
      <c r="Q22" s="480">
        <f t="shared" si="1"/>
        <v>83397895.973509669</v>
      </c>
      <c r="R22" s="480">
        <f t="shared" si="1"/>
        <v>84792269.143089443</v>
      </c>
      <c r="S22" s="515">
        <f t="shared" ref="S22" si="5">S$25*$G11</f>
        <v>86206089.143791527</v>
      </c>
      <c r="T22" s="549"/>
    </row>
    <row r="23" spans="6:20">
      <c r="F23" s="559" t="s">
        <v>41</v>
      </c>
      <c r="G23" s="517">
        <v>21583836</v>
      </c>
      <c r="H23" s="517">
        <v>11583159</v>
      </c>
      <c r="I23" s="517">
        <v>6167938</v>
      </c>
      <c r="J23" s="480">
        <f t="shared" si="1"/>
        <v>12155157.537156679</v>
      </c>
      <c r="K23" s="480">
        <f t="shared" si="1"/>
        <v>12423429.661002258</v>
      </c>
      <c r="L23" s="480">
        <f t="shared" si="1"/>
        <v>12688239.7879459</v>
      </c>
      <c r="M23" s="480">
        <f t="shared" si="1"/>
        <v>12948802.728235537</v>
      </c>
      <c r="N23" s="480">
        <f t="shared" si="1"/>
        <v>13201386.914783992</v>
      </c>
      <c r="O23" s="480">
        <f t="shared" si="1"/>
        <v>13442586.943861857</v>
      </c>
      <c r="P23" s="480">
        <f t="shared" si="1"/>
        <v>13670005.931043783</v>
      </c>
      <c r="Q23" s="480">
        <f t="shared" si="1"/>
        <v>13899649.328918278</v>
      </c>
      <c r="R23" s="480">
        <f t="shared" si="1"/>
        <v>14132044.857181573</v>
      </c>
      <c r="S23" s="515">
        <f t="shared" ref="S23" si="6">S$25*$G12</f>
        <v>14367681.523965254</v>
      </c>
      <c r="T23" s="549"/>
    </row>
    <row r="24" spans="6:20">
      <c r="F24" s="559" t="s">
        <v>42</v>
      </c>
      <c r="G24" s="517">
        <v>18271420</v>
      </c>
      <c r="H24" s="517">
        <v>17306866</v>
      </c>
      <c r="I24" s="517">
        <v>18573793</v>
      </c>
      <c r="J24" s="480">
        <f t="shared" si="1"/>
        <v>20258595.895261135</v>
      </c>
      <c r="K24" s="480">
        <f t="shared" si="1"/>
        <v>20705716.101670429</v>
      </c>
      <c r="L24" s="480">
        <f t="shared" si="1"/>
        <v>21147066.313243169</v>
      </c>
      <c r="M24" s="480">
        <f t="shared" si="1"/>
        <v>21581337.880392566</v>
      </c>
      <c r="N24" s="480">
        <f t="shared" si="1"/>
        <v>22002311.52463999</v>
      </c>
      <c r="O24" s="480">
        <f t="shared" si="1"/>
        <v>22404311.5731031</v>
      </c>
      <c r="P24" s="480">
        <f t="shared" si="1"/>
        <v>22783343.218406305</v>
      </c>
      <c r="Q24" s="480">
        <f t="shared" si="1"/>
        <v>23166082.2148638</v>
      </c>
      <c r="R24" s="480">
        <f t="shared" si="1"/>
        <v>23553408.095302626</v>
      </c>
      <c r="S24" s="515">
        <f t="shared" ref="S24" si="7">S$25*$G13</f>
        <v>23946135.873275429</v>
      </c>
      <c r="T24" s="549"/>
    </row>
    <row r="25" spans="6:20">
      <c r="F25" s="341" t="s">
        <v>372</v>
      </c>
      <c r="G25" s="525">
        <f>SUM(G18:G24)</f>
        <v>354826696</v>
      </c>
      <c r="H25" s="525">
        <f>SUM(H18:H24)</f>
        <v>358150624</v>
      </c>
      <c r="I25" s="525">
        <f>SUM(I18:I24)</f>
        <v>396688447</v>
      </c>
      <c r="J25" s="525">
        <f>(I25-I32)*(1+$H$14+J28)</f>
        <v>405171917.90522265</v>
      </c>
      <c r="K25" s="525">
        <f t="shared" ref="K25:R25" si="8">(J25-J32)*(1+$H$14+K28)</f>
        <v>414114322.03340858</v>
      </c>
      <c r="L25" s="525">
        <f t="shared" si="8"/>
        <v>422941326.26486337</v>
      </c>
      <c r="M25" s="525">
        <f t="shared" si="8"/>
        <v>431626757.60785127</v>
      </c>
      <c r="N25" s="525">
        <f t="shared" si="8"/>
        <v>440046230.49279976</v>
      </c>
      <c r="O25" s="525">
        <f t="shared" si="8"/>
        <v>448086231.46206194</v>
      </c>
      <c r="P25" s="525">
        <f t="shared" si="8"/>
        <v>455666864.36812609</v>
      </c>
      <c r="Q25" s="525">
        <f t="shared" si="8"/>
        <v>463321644.29727596</v>
      </c>
      <c r="R25" s="525">
        <f t="shared" si="8"/>
        <v>471068161.90605247</v>
      </c>
      <c r="S25" s="526">
        <f>(R25-R32)*(1+$H$14+S28)</f>
        <v>478922717.46550852</v>
      </c>
      <c r="T25" s="549"/>
    </row>
    <row r="26" spans="6:20">
      <c r="F26" s="549"/>
      <c r="G26" s="560"/>
      <c r="H26" s="560"/>
      <c r="I26" s="560"/>
      <c r="J26" s="560"/>
      <c r="K26" s="560"/>
      <c r="L26" s="560"/>
      <c r="M26" s="560"/>
      <c r="N26" s="560"/>
      <c r="O26" s="560"/>
      <c r="P26" s="560"/>
      <c r="Q26" s="560"/>
      <c r="R26" s="560"/>
      <c r="S26" s="560"/>
      <c r="T26" s="549"/>
    </row>
    <row r="27" spans="6:20">
      <c r="F27" s="549"/>
      <c r="G27" s="557"/>
      <c r="H27" s="560"/>
      <c r="I27" s="549"/>
      <c r="J27" s="549"/>
      <c r="K27" s="549"/>
      <c r="L27" s="549"/>
      <c r="M27" s="549"/>
      <c r="N27" s="549"/>
      <c r="O27" s="549"/>
      <c r="P27" s="549"/>
      <c r="Q27" s="549"/>
      <c r="R27" s="549"/>
      <c r="S27" s="549"/>
      <c r="T27" s="549"/>
    </row>
    <row r="28" spans="6:20">
      <c r="F28" s="561" t="s">
        <v>373</v>
      </c>
      <c r="G28" s="557">
        <v>0</v>
      </c>
      <c r="H28" s="557">
        <v>-6.4887437642751561E-3</v>
      </c>
      <c r="I28" s="557">
        <v>-6.4887437642751561E-3</v>
      </c>
      <c r="J28" s="557">
        <v>-6.4887437642751561E-3</v>
      </c>
      <c r="K28" s="557">
        <v>-6.4887437642751561E-3</v>
      </c>
      <c r="L28" s="557">
        <v>-6.4887437642751561E-3</v>
      </c>
      <c r="M28" s="557">
        <v>-6.4887437642751561E-3</v>
      </c>
      <c r="N28" s="557">
        <v>-6.4887437642751561E-3</v>
      </c>
      <c r="O28" s="557">
        <v>-6.4887437642751561E-3</v>
      </c>
      <c r="P28" s="557">
        <v>-6.4887437642751561E-3</v>
      </c>
      <c r="Q28" s="557">
        <v>-6.4887437642751561E-3</v>
      </c>
      <c r="R28" s="557">
        <v>-6.4887437642751561E-3</v>
      </c>
      <c r="S28" s="557">
        <v>-6.4887437642751561E-3</v>
      </c>
      <c r="T28" s="549" t="s">
        <v>374</v>
      </c>
    </row>
    <row r="29" spans="6:20">
      <c r="F29" s="561"/>
      <c r="G29" s="557"/>
      <c r="H29" s="364"/>
      <c r="I29" s="581"/>
      <c r="J29" s="581"/>
      <c r="K29" s="581"/>
      <c r="L29" s="581"/>
      <c r="M29" s="581"/>
      <c r="N29" s="581"/>
      <c r="O29" s="581"/>
      <c r="P29" s="581"/>
      <c r="Q29" s="581"/>
      <c r="R29" s="581"/>
      <c r="S29" s="581"/>
      <c r="T29" s="549"/>
    </row>
    <row r="31" spans="6:20">
      <c r="F31" s="549" t="s">
        <v>375</v>
      </c>
      <c r="G31" s="562">
        <v>0.05</v>
      </c>
      <c r="H31" s="562">
        <f>G31</f>
        <v>0.05</v>
      </c>
      <c r="I31" s="562">
        <f t="shared" ref="I31:S31" si="9">H31</f>
        <v>0.05</v>
      </c>
      <c r="J31" s="562">
        <f t="shared" si="9"/>
        <v>0.05</v>
      </c>
      <c r="K31" s="562">
        <f t="shared" si="9"/>
        <v>0.05</v>
      </c>
      <c r="L31" s="562">
        <f t="shared" si="9"/>
        <v>0.05</v>
      </c>
      <c r="M31" s="562">
        <f t="shared" si="9"/>
        <v>0.05</v>
      </c>
      <c r="N31" s="562">
        <f t="shared" si="9"/>
        <v>0.05</v>
      </c>
      <c r="O31" s="562">
        <f t="shared" si="9"/>
        <v>0.05</v>
      </c>
      <c r="P31" s="562">
        <f t="shared" si="9"/>
        <v>0.05</v>
      </c>
      <c r="Q31" s="562">
        <f t="shared" si="9"/>
        <v>0.05</v>
      </c>
      <c r="R31" s="562">
        <f t="shared" si="9"/>
        <v>0.05</v>
      </c>
      <c r="S31" s="562">
        <f t="shared" si="9"/>
        <v>0.05</v>
      </c>
      <c r="T31" s="549"/>
    </row>
    <row r="32" spans="6:20" s="481" customFormat="1">
      <c r="F32" s="481" t="s">
        <v>376</v>
      </c>
      <c r="G32" s="482">
        <f>AVERAGE(C9:C13)*G31</f>
        <v>17716157.267294999</v>
      </c>
      <c r="H32" s="482">
        <f>AVERAGE(C10:C14)*H31</f>
        <v>17521005.241270002</v>
      </c>
      <c r="I32" s="482">
        <f>AVERAGE(C11:C15)*I31</f>
        <v>17435174.190115001</v>
      </c>
      <c r="J32" s="482">
        <f>AVERAGE(C12:C16)*J31</f>
        <v>17548282.09008</v>
      </c>
      <c r="K32" s="482">
        <f>AVERAGE(C13:C16,K25)*K31</f>
        <v>18228341.036019087</v>
      </c>
      <c r="L32" s="482">
        <f>AVERAGE(C14:C16,L25,K25)*L31</f>
        <v>18925516.62677272</v>
      </c>
      <c r="M32" s="482">
        <f>AVERAGE(C15:C16,K25,L25,M25)*M31</f>
        <v>19730064.557456236</v>
      </c>
      <c r="N32" s="482">
        <f>AVERAGE(K25:N25,C16)*N31</f>
        <v>20623851.316989228</v>
      </c>
      <c r="O32" s="482">
        <f>AVERAGE(K25:O25)*O31</f>
        <v>21568148.678609848</v>
      </c>
      <c r="P32" s="482">
        <f>AVERAGE(L25:P25)*P31</f>
        <v>21983674.101957023</v>
      </c>
      <c r="Q32" s="482">
        <f>AVERAGE(M25:Q25)*Q31</f>
        <v>22387477.282281153</v>
      </c>
      <c r="R32" s="482">
        <f>AVERAGE(N25:R25)*R31</f>
        <v>22781891.325263161</v>
      </c>
      <c r="S32" s="482">
        <f>AVERAGE(O25:S25)*S31</f>
        <v>23170656.194990247</v>
      </c>
    </row>
    <row r="34" spans="6:19">
      <c r="F34" s="549"/>
      <c r="G34" s="364"/>
      <c r="H34" s="563"/>
      <c r="I34" s="549"/>
      <c r="J34" s="549"/>
      <c r="K34" s="549"/>
      <c r="L34" s="549"/>
      <c r="M34" s="549"/>
      <c r="N34" s="549"/>
      <c r="O34" s="549"/>
      <c r="P34" s="549"/>
      <c r="Q34" s="549"/>
      <c r="R34" s="549"/>
      <c r="S34" s="549"/>
    </row>
    <row r="35" spans="6:19" s="529" customFormat="1">
      <c r="F35" s="553" t="s">
        <v>377</v>
      </c>
      <c r="G35" s="58">
        <v>17716157.267294999</v>
      </c>
      <c r="H35" s="553">
        <v>17521005.241270002</v>
      </c>
      <c r="I35" s="553">
        <v>17435174.190115001</v>
      </c>
      <c r="J35" s="553">
        <v>17548282.09008</v>
      </c>
      <c r="K35" s="553">
        <v>18117522.885410398</v>
      </c>
      <c r="L35" s="553">
        <v>19059461.453603376</v>
      </c>
      <c r="M35" s="553">
        <v>19977289.63286319</v>
      </c>
      <c r="N35" s="553">
        <v>21016903.073681023</v>
      </c>
      <c r="O35" s="553">
        <v>22140929.932425316</v>
      </c>
      <c r="P35" s="553">
        <v>22719551.099837244</v>
      </c>
      <c r="Q35" s="553">
        <v>23292006.50934948</v>
      </c>
      <c r="R35" s="553">
        <v>23861806.093132846</v>
      </c>
      <c r="S35" s="553">
        <v>24432491.831500798</v>
      </c>
    </row>
    <row r="36" spans="6:19">
      <c r="F36" s="549"/>
      <c r="G36" s="364"/>
      <c r="H36" s="563"/>
      <c r="I36" s="549"/>
      <c r="J36" s="549"/>
      <c r="K36" s="549"/>
      <c r="L36" s="549"/>
      <c r="M36" s="549"/>
      <c r="N36" s="549"/>
      <c r="O36" s="549"/>
      <c r="P36" s="549"/>
      <c r="Q36" s="549"/>
      <c r="R36" s="549"/>
      <c r="S36" s="549"/>
    </row>
    <row r="38" spans="6:19">
      <c r="F38" s="549"/>
      <c r="G38" s="364"/>
      <c r="H38" s="563"/>
      <c r="I38" s="549"/>
      <c r="J38" s="549"/>
      <c r="K38" s="549"/>
      <c r="L38" s="549"/>
      <c r="M38" s="549"/>
      <c r="N38" s="549"/>
      <c r="O38" s="549"/>
      <c r="P38" s="549"/>
      <c r="Q38" s="549"/>
      <c r="R38" s="549"/>
      <c r="S38" s="549"/>
    </row>
    <row r="39" spans="6:19">
      <c r="F39" s="549"/>
      <c r="G39" s="364"/>
      <c r="H39" s="563"/>
      <c r="I39" s="549"/>
      <c r="J39" s="549"/>
      <c r="K39" s="549"/>
      <c r="L39" s="549"/>
      <c r="M39" s="549"/>
      <c r="N39" s="549"/>
      <c r="O39" s="549"/>
      <c r="P39" s="549"/>
      <c r="Q39" s="549"/>
      <c r="R39" s="549"/>
      <c r="S39" s="549"/>
    </row>
    <row r="40" spans="6:19">
      <c r="F40" s="549"/>
      <c r="G40" s="364"/>
      <c r="H40" s="563"/>
      <c r="I40" s="549"/>
      <c r="J40" s="549"/>
      <c r="K40" s="549"/>
      <c r="L40" s="549"/>
      <c r="M40" s="549"/>
      <c r="N40" s="549"/>
      <c r="O40" s="549"/>
      <c r="P40" s="549"/>
      <c r="Q40" s="549"/>
      <c r="R40" s="549"/>
      <c r="S40" s="549"/>
    </row>
    <row r="41" spans="6:19">
      <c r="F41" s="549"/>
      <c r="G41" s="364"/>
      <c r="H41" s="549"/>
      <c r="I41" s="549"/>
      <c r="J41" s="549"/>
      <c r="K41" s="549"/>
      <c r="L41" s="549"/>
      <c r="M41" s="549"/>
      <c r="N41" s="549"/>
      <c r="O41" s="549"/>
      <c r="P41" s="549"/>
      <c r="Q41" s="549"/>
      <c r="R41" s="549"/>
      <c r="S41" s="549"/>
    </row>
    <row r="42" spans="6:19">
      <c r="F42" s="549"/>
      <c r="G42" s="364"/>
      <c r="H42" s="549"/>
      <c r="I42" s="549"/>
      <c r="J42" s="549"/>
      <c r="K42" s="549"/>
      <c r="L42" s="549"/>
      <c r="M42" s="549"/>
      <c r="N42" s="549"/>
      <c r="O42" s="549"/>
      <c r="P42" s="549"/>
      <c r="Q42" s="549"/>
      <c r="R42" s="549"/>
      <c r="S42" s="549"/>
    </row>
  </sheetData>
  <phoneticPr fontId="74" type="noConversion"/>
  <pageMargins left="0.7" right="0.7" top="0.75" bottom="0.75" header="0.3" footer="0.3"/>
  <pageSetup orientation="portrait" r:id="rId1"/>
  <customProperties>
    <customPr name="OrphanNamesChecked" r:id="rId2"/>
  </customProperties>
  <ignoredErrors>
    <ignoredError sqref="G25 G32:H32 R32:S32 I32 J32:M32" formulaRange="1"/>
  </ignoredErrors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8">
    <tabColor rgb="FF0070C0"/>
  </sheetPr>
  <dimension ref="A1:AE73"/>
  <sheetViews>
    <sheetView showGridLines="0" zoomScale="90" zoomScaleNormal="90" workbookViewId="0"/>
  </sheetViews>
  <sheetFormatPr defaultColWidth="8.81640625" defaultRowHeight="14.5"/>
  <cols>
    <col min="1" max="1" width="26.81640625" style="360" bestFit="1" customWidth="1"/>
    <col min="2" max="6" width="9.7265625" style="359" customWidth="1"/>
    <col min="7" max="31" width="9.7265625" style="360" customWidth="1"/>
    <col min="32" max="16384" width="8.81640625" style="360"/>
  </cols>
  <sheetData>
    <row r="1" spans="1:10">
      <c r="A1" s="82" t="s">
        <v>378</v>
      </c>
      <c r="B1" s="81"/>
      <c r="C1" s="564"/>
      <c r="D1" s="564"/>
      <c r="E1" s="564"/>
      <c r="F1" s="564"/>
      <c r="G1" s="565"/>
      <c r="H1" s="565"/>
      <c r="I1" s="566"/>
      <c r="J1" s="566"/>
    </row>
    <row r="2" spans="1:10" hidden="1">
      <c r="B2" s="83"/>
      <c r="C2" s="564"/>
      <c r="D2" s="564"/>
      <c r="E2" s="564"/>
      <c r="F2" s="564"/>
      <c r="G2" s="566"/>
      <c r="H2" s="566"/>
      <c r="I2" s="566"/>
      <c r="J2" s="566"/>
    </row>
    <row r="3" spans="1:10" hidden="1">
      <c r="A3" s="512"/>
      <c r="B3" s="52"/>
      <c r="C3" s="564"/>
      <c r="D3" s="564"/>
      <c r="E3" s="564"/>
      <c r="F3" s="564"/>
      <c r="G3" s="566"/>
      <c r="H3" s="566"/>
      <c r="I3" s="566"/>
      <c r="J3" s="566"/>
    </row>
    <row r="4" spans="1:10" hidden="1">
      <c r="A4" s="511"/>
      <c r="B4" s="564"/>
      <c r="C4" s="564"/>
      <c r="D4" s="564"/>
      <c r="E4" s="564"/>
      <c r="F4" s="564"/>
      <c r="G4" s="566"/>
      <c r="H4" s="566"/>
      <c r="I4" s="566"/>
      <c r="J4" s="566"/>
    </row>
    <row r="5" spans="1:10" hidden="1">
      <c r="A5" s="511"/>
      <c r="B5" s="564"/>
      <c r="C5" s="564"/>
      <c r="D5" s="564"/>
      <c r="E5" s="564"/>
      <c r="F5" s="564"/>
      <c r="G5" s="566"/>
      <c r="H5" s="566"/>
      <c r="I5" s="566"/>
      <c r="J5" s="566"/>
    </row>
    <row r="6" spans="1:10" hidden="1">
      <c r="A6" s="84" t="s">
        <v>380</v>
      </c>
      <c r="B6" s="564"/>
      <c r="C6" s="564"/>
      <c r="D6" s="564"/>
      <c r="E6" s="564"/>
      <c r="F6" s="564"/>
      <c r="G6" s="566"/>
      <c r="H6" s="566"/>
      <c r="I6" s="566"/>
      <c r="J6" s="566"/>
    </row>
    <row r="7" spans="1:10" hidden="1">
      <c r="A7" s="85"/>
      <c r="B7" s="564"/>
      <c r="C7" s="564"/>
      <c r="D7" s="564"/>
      <c r="E7" s="564"/>
      <c r="F7" s="564"/>
      <c r="G7" s="566"/>
      <c r="H7" s="566"/>
      <c r="I7" s="566"/>
      <c r="J7" s="566"/>
    </row>
    <row r="8" spans="1:10" hidden="1">
      <c r="A8" s="85" t="s">
        <v>381</v>
      </c>
      <c r="B8" s="564"/>
      <c r="C8" s="564"/>
      <c r="D8" s="564"/>
      <c r="E8" s="564"/>
      <c r="F8" s="564"/>
      <c r="G8" s="566"/>
      <c r="H8" s="566"/>
      <c r="I8" s="566"/>
      <c r="J8" s="566"/>
    </row>
    <row r="9" spans="1:10" hidden="1">
      <c r="A9" s="85" t="s">
        <v>382</v>
      </c>
      <c r="B9" s="564"/>
      <c r="C9" s="564"/>
      <c r="D9" s="564"/>
      <c r="E9" s="564"/>
      <c r="F9" s="564"/>
      <c r="G9" s="566"/>
      <c r="H9" s="566"/>
      <c r="I9" s="566"/>
      <c r="J9" s="566"/>
    </row>
    <row r="10" spans="1:10" hidden="1"/>
    <row r="11" spans="1:10" hidden="1">
      <c r="A11" s="566" t="s">
        <v>383</v>
      </c>
      <c r="B11" s="564"/>
      <c r="C11" s="564"/>
      <c r="D11" s="564"/>
      <c r="E11" s="564"/>
      <c r="F11" s="564"/>
      <c r="G11" s="566"/>
      <c r="H11" s="566"/>
      <c r="I11" s="566"/>
      <c r="J11" s="566"/>
    </row>
    <row r="12" spans="1:10" hidden="1">
      <c r="A12" s="50" t="s">
        <v>384</v>
      </c>
      <c r="B12" s="564"/>
      <c r="C12" s="564"/>
      <c r="D12" s="564"/>
      <c r="E12" s="564"/>
      <c r="F12" s="564"/>
      <c r="G12" s="566"/>
      <c r="H12" s="566"/>
      <c r="I12" s="566"/>
      <c r="J12" s="566"/>
    </row>
    <row r="13" spans="1:10" hidden="1">
      <c r="A13" s="50" t="s">
        <v>385</v>
      </c>
      <c r="B13" s="564"/>
      <c r="C13" s="564"/>
      <c r="D13" s="564"/>
      <c r="E13" s="564"/>
      <c r="F13" s="564"/>
      <c r="G13" s="566"/>
      <c r="H13" s="566"/>
      <c r="I13" s="566"/>
      <c r="J13" s="566"/>
    </row>
    <row r="14" spans="1:10" hidden="1">
      <c r="A14" s="566" t="s">
        <v>386</v>
      </c>
      <c r="B14" s="564"/>
      <c r="C14" s="564"/>
      <c r="D14" s="564"/>
      <c r="E14" s="564"/>
      <c r="F14" s="564"/>
      <c r="G14" s="566"/>
      <c r="H14" s="566"/>
      <c r="I14" s="566"/>
      <c r="J14" s="566"/>
    </row>
    <row r="15" spans="1:10">
      <c r="A15" s="566"/>
      <c r="B15" s="564"/>
      <c r="C15" s="564"/>
      <c r="D15" s="564"/>
      <c r="E15" s="564"/>
      <c r="F15" s="564"/>
      <c r="G15" s="566"/>
      <c r="H15" s="566"/>
      <c r="I15" s="81" t="s">
        <v>387</v>
      </c>
      <c r="J15" s="81" t="s">
        <v>388</v>
      </c>
    </row>
    <row r="16" spans="1:10">
      <c r="A16" s="566"/>
      <c r="B16" s="564"/>
      <c r="C16" s="564"/>
      <c r="D16" s="564"/>
      <c r="E16" s="564"/>
      <c r="F16" s="564"/>
      <c r="G16" s="85"/>
      <c r="H16" s="566"/>
      <c r="I16" s="81" t="s">
        <v>474</v>
      </c>
      <c r="J16" s="81" t="s">
        <v>475</v>
      </c>
    </row>
    <row r="17" spans="1:31">
      <c r="A17" s="86"/>
      <c r="B17" s="87" t="s">
        <v>476</v>
      </c>
      <c r="C17" s="87" t="s">
        <v>436</v>
      </c>
      <c r="D17" s="87" t="s">
        <v>437</v>
      </c>
      <c r="E17" s="87" t="s">
        <v>438</v>
      </c>
      <c r="F17" s="87" t="s">
        <v>439</v>
      </c>
      <c r="G17" s="87" t="s">
        <v>440</v>
      </c>
      <c r="H17" s="87" t="s">
        <v>441</v>
      </c>
      <c r="I17" s="87" t="s">
        <v>442</v>
      </c>
      <c r="J17" s="88" t="s">
        <v>477</v>
      </c>
      <c r="K17" s="88" t="s">
        <v>435</v>
      </c>
      <c r="L17" s="88" t="s">
        <v>436</v>
      </c>
      <c r="M17" s="88" t="s">
        <v>437</v>
      </c>
      <c r="N17" s="88" t="s">
        <v>438</v>
      </c>
      <c r="O17" s="88" t="s">
        <v>439</v>
      </c>
      <c r="P17" s="88" t="s">
        <v>440</v>
      </c>
      <c r="Q17" s="88" t="s">
        <v>441</v>
      </c>
      <c r="R17" s="88" t="s">
        <v>442</v>
      </c>
      <c r="S17" s="88" t="s">
        <v>443</v>
      </c>
      <c r="T17" s="88" t="s">
        <v>478</v>
      </c>
      <c r="U17" s="88" t="s">
        <v>479</v>
      </c>
      <c r="V17" s="88" t="s">
        <v>480</v>
      </c>
      <c r="W17" s="88" t="s">
        <v>481</v>
      </c>
      <c r="X17" s="88" t="s">
        <v>482</v>
      </c>
      <c r="Y17" s="88" t="s">
        <v>483</v>
      </c>
      <c r="Z17" s="88" t="s">
        <v>484</v>
      </c>
      <c r="AA17" s="88" t="s">
        <v>485</v>
      </c>
      <c r="AB17" s="88" t="s">
        <v>486</v>
      </c>
      <c r="AC17" s="88" t="s">
        <v>487</v>
      </c>
      <c r="AD17" s="88" t="s">
        <v>488</v>
      </c>
      <c r="AE17" s="88" t="s">
        <v>489</v>
      </c>
    </row>
    <row r="18" spans="1:31">
      <c r="A18" s="566" t="s">
        <v>178</v>
      </c>
      <c r="B18" s="567">
        <v>0.15</v>
      </c>
      <c r="C18" s="567">
        <v>0.155</v>
      </c>
      <c r="D18" s="567">
        <v>0.16</v>
      </c>
      <c r="E18" s="567">
        <v>0.16500000000000001</v>
      </c>
      <c r="F18" s="567">
        <v>0.17</v>
      </c>
      <c r="G18" s="568">
        <v>0.17</v>
      </c>
      <c r="H18" s="491">
        <v>0.18</v>
      </c>
      <c r="I18" s="492">
        <v>0.19</v>
      </c>
      <c r="J18" s="492">
        <v>0.22</v>
      </c>
      <c r="K18" s="89">
        <f t="shared" ref="K18:AE18" si="0">+(1+$J30)*J18</f>
        <v>0.22838779956427016</v>
      </c>
      <c r="L18" s="89">
        <f t="shared" si="0"/>
        <v>0.23709539540822383</v>
      </c>
      <c r="M18" s="89">
        <f t="shared" si="0"/>
        <v>0.24613498020047639</v>
      </c>
      <c r="N18" s="89">
        <f t="shared" si="0"/>
        <v>0.2555192114717364</v>
      </c>
      <c r="O18" s="89">
        <f t="shared" si="0"/>
        <v>0.26526122933830587</v>
      </c>
      <c r="P18" s="89">
        <f t="shared" si="0"/>
        <v>0.27537467490131318</v>
      </c>
      <c r="Q18" s="89">
        <f t="shared" si="0"/>
        <v>0.28587370934744166</v>
      </c>
      <c r="R18" s="89">
        <f t="shared" si="0"/>
        <v>0.29677303377789971</v>
      </c>
      <c r="S18" s="89">
        <f t="shared" si="0"/>
        <v>0.30808790979339695</v>
      </c>
      <c r="T18" s="89">
        <f t="shared" si="0"/>
        <v>0.31983418086395132</v>
      </c>
      <c r="U18" s="89">
        <f t="shared" si="0"/>
        <v>0.3320282945134484</v>
      </c>
      <c r="V18" s="89">
        <f t="shared" si="0"/>
        <v>0.34468732535001778</v>
      </c>
      <c r="W18" s="89">
        <f t="shared" si="0"/>
        <v>0.35782899897447379</v>
      </c>
      <c r="X18" s="89">
        <f t="shared" si="0"/>
        <v>0.37147171680029795</v>
      </c>
      <c r="Y18" s="89">
        <f t="shared" si="0"/>
        <v>0.38563458181991717</v>
      </c>
      <c r="Z18" s="89">
        <f t="shared" si="0"/>
        <v>0.40033742535335626</v>
      </c>
      <c r="AA18" s="89">
        <f t="shared" si="0"/>
        <v>0.4156008348167195</v>
      </c>
      <c r="AB18" s="89">
        <f t="shared" si="0"/>
        <v>0.43144618254938311</v>
      </c>
      <c r="AC18" s="89">
        <f t="shared" si="0"/>
        <v>0.44789565574026374</v>
      </c>
      <c r="AD18" s="89">
        <f t="shared" si="0"/>
        <v>0.46497228749506681</v>
      </c>
      <c r="AE18" s="89">
        <f t="shared" si="0"/>
        <v>0.48269998908801598</v>
      </c>
    </row>
    <row r="19" spans="1:31">
      <c r="A19" s="566" t="s">
        <v>180</v>
      </c>
      <c r="B19" s="567">
        <v>7.9600000000000004E-2</v>
      </c>
      <c r="C19" s="567">
        <v>0.10349999999999999</v>
      </c>
      <c r="D19" s="567">
        <v>0.1012</v>
      </c>
      <c r="E19" s="567">
        <v>0.1012</v>
      </c>
      <c r="F19" s="567">
        <v>8.0699999999999994E-2</v>
      </c>
      <c r="G19" s="568">
        <v>9.3899999999999997E-2</v>
      </c>
      <c r="H19" s="492">
        <v>0.1014</v>
      </c>
      <c r="I19" s="492">
        <v>0.1014</v>
      </c>
      <c r="J19" s="492">
        <v>0.1014</v>
      </c>
      <c r="K19" s="89">
        <f t="shared" ref="K19:AE19" si="1">+(1+$J31)*J19</f>
        <v>0.10962830504649809</v>
      </c>
      <c r="L19" s="89">
        <f t="shared" si="1"/>
        <v>0.11852431230145995</v>
      </c>
      <c r="M19" s="89">
        <f t="shared" si="1"/>
        <v>0.12814220379103408</v>
      </c>
      <c r="N19" s="89">
        <f t="shared" si="1"/>
        <v>0.13854055824984229</v>
      </c>
      <c r="O19" s="89">
        <f t="shared" si="1"/>
        <v>0.1497827079006494</v>
      </c>
      <c r="P19" s="89">
        <f t="shared" si="1"/>
        <v>0.1619371241856303</v>
      </c>
      <c r="Q19" s="89">
        <f t="shared" si="1"/>
        <v>0.17507783479856925</v>
      </c>
      <c r="R19" s="89">
        <f t="shared" si="1"/>
        <v>0.18928487455796794</v>
      </c>
      <c r="S19" s="89">
        <f t="shared" si="1"/>
        <v>0.20464477286715024</v>
      </c>
      <c r="T19" s="89">
        <f t="shared" si="1"/>
        <v>0.2212510807302886</v>
      </c>
      <c r="U19" s="89">
        <f t="shared" si="1"/>
        <v>0.2392049405341958</v>
      </c>
      <c r="V19" s="89">
        <f t="shared" si="1"/>
        <v>0.25861570206619577</v>
      </c>
      <c r="W19" s="89">
        <f t="shared" si="1"/>
        <v>0.27960158851999189</v>
      </c>
      <c r="X19" s="89">
        <f t="shared" si="1"/>
        <v>0.30229041654590838</v>
      </c>
      <c r="Y19" s="89">
        <f t="shared" si="1"/>
        <v>0.32682037473104358</v>
      </c>
      <c r="Z19" s="89">
        <f t="shared" si="1"/>
        <v>0.35334086525074615</v>
      </c>
      <c r="AA19" s="89">
        <f t="shared" si="1"/>
        <v>0.3820134138175777</v>
      </c>
      <c r="AB19" s="89">
        <f t="shared" si="1"/>
        <v>0.41301265346989663</v>
      </c>
      <c r="AC19" s="89">
        <f t="shared" si="1"/>
        <v>0.44652738819192739</v>
      </c>
      <c r="AD19" s="89">
        <f t="shared" si="1"/>
        <v>0.48276174284339929</v>
      </c>
      <c r="AE19" s="89">
        <f t="shared" si="1"/>
        <v>0.52193640640251715</v>
      </c>
    </row>
    <row r="20" spans="1:31">
      <c r="A20" s="566" t="s">
        <v>181</v>
      </c>
      <c r="B20" s="567">
        <v>0</v>
      </c>
      <c r="C20" s="567">
        <v>0</v>
      </c>
      <c r="D20" s="567">
        <v>0</v>
      </c>
      <c r="E20" s="567">
        <v>0</v>
      </c>
      <c r="F20" s="567">
        <v>7.7799999999999994E-2</v>
      </c>
      <c r="G20" s="568">
        <v>0.12690000000000001</v>
      </c>
      <c r="H20" s="492">
        <v>0.14330000000000001</v>
      </c>
      <c r="I20" s="492">
        <v>0.14330000000000001</v>
      </c>
      <c r="J20" s="492">
        <v>0.14330000000000001</v>
      </c>
      <c r="K20" s="89">
        <f t="shared" ref="K20:AE20" si="2">+J20+$J32</f>
        <v>0.14446086956521739</v>
      </c>
      <c r="L20" s="89">
        <f t="shared" si="2"/>
        <v>0.14562173913043477</v>
      </c>
      <c r="M20" s="89">
        <f t="shared" si="2"/>
        <v>0.14678260869565216</v>
      </c>
      <c r="N20" s="89">
        <f t="shared" si="2"/>
        <v>0.14794347826086954</v>
      </c>
      <c r="O20" s="89">
        <f t="shared" si="2"/>
        <v>0.14910434782608692</v>
      </c>
      <c r="P20" s="89">
        <f t="shared" si="2"/>
        <v>0.1502652173913043</v>
      </c>
      <c r="Q20" s="89">
        <f t="shared" si="2"/>
        <v>0.15142608695652168</v>
      </c>
      <c r="R20" s="89">
        <f t="shared" si="2"/>
        <v>0.15258695652173906</v>
      </c>
      <c r="S20" s="89">
        <f t="shared" si="2"/>
        <v>0.15374782608695645</v>
      </c>
      <c r="T20" s="89">
        <f t="shared" si="2"/>
        <v>0.15490869565217383</v>
      </c>
      <c r="U20" s="89">
        <f t="shared" si="2"/>
        <v>0.15606956521739121</v>
      </c>
      <c r="V20" s="89">
        <f t="shared" si="2"/>
        <v>0.15723043478260859</v>
      </c>
      <c r="W20" s="89">
        <f t="shared" si="2"/>
        <v>0.15839130434782597</v>
      </c>
      <c r="X20" s="89">
        <f t="shared" si="2"/>
        <v>0.15955217391304335</v>
      </c>
      <c r="Y20" s="89">
        <f t="shared" si="2"/>
        <v>0.16071304347826074</v>
      </c>
      <c r="Z20" s="89">
        <f t="shared" si="2"/>
        <v>0.16187391304347812</v>
      </c>
      <c r="AA20" s="89">
        <f t="shared" si="2"/>
        <v>0.1630347826086955</v>
      </c>
      <c r="AB20" s="89">
        <f t="shared" si="2"/>
        <v>0.16419565217391288</v>
      </c>
      <c r="AC20" s="89">
        <f t="shared" si="2"/>
        <v>0.16535652173913026</v>
      </c>
      <c r="AD20" s="89">
        <f t="shared" si="2"/>
        <v>0.16651739130434765</v>
      </c>
      <c r="AE20" s="89">
        <f t="shared" si="2"/>
        <v>0.16767826086956503</v>
      </c>
    </row>
    <row r="21" spans="1:31">
      <c r="A21" s="566" t="s">
        <v>182</v>
      </c>
      <c r="B21" s="567">
        <v>7.0199999999999999E-2</v>
      </c>
      <c r="C21" s="567">
        <v>6.8400000000000002E-2</v>
      </c>
      <c r="D21" s="567">
        <v>6.8099999999999994E-2</v>
      </c>
      <c r="E21" s="567">
        <v>6.8099999999999994E-2</v>
      </c>
      <c r="F21" s="567">
        <v>7.6200000000000004E-2</v>
      </c>
      <c r="G21" s="568">
        <v>7.5999999999999998E-2</v>
      </c>
      <c r="H21" s="492">
        <v>7.6899999999999996E-2</v>
      </c>
      <c r="I21" s="492">
        <v>7.6899999999999996E-2</v>
      </c>
      <c r="J21" s="492">
        <v>7.6899999999999996E-2</v>
      </c>
      <c r="K21" s="89">
        <f t="shared" ref="K21:AE21" si="3">+(1+$J33)*J21</f>
        <v>7.7136273541465211E-2</v>
      </c>
      <c r="L21" s="89">
        <f t="shared" si="3"/>
        <v>7.7373273028137138E-2</v>
      </c>
      <c r="M21" s="89">
        <f t="shared" si="3"/>
        <v>7.7611000690466309E-2</v>
      </c>
      <c r="N21" s="89">
        <f t="shared" si="3"/>
        <v>7.7849458765756246E-2</v>
      </c>
      <c r="O21" s="89">
        <f t="shared" si="3"/>
        <v>7.8088649498184531E-2</v>
      </c>
      <c r="P21" s="89">
        <f t="shared" si="3"/>
        <v>7.8328575138823964E-2</v>
      </c>
      <c r="Q21" s="89">
        <f t="shared" si="3"/>
        <v>7.8569237945663672E-2</v>
      </c>
      <c r="R21" s="89">
        <f t="shared" si="3"/>
        <v>7.8810640183630445E-2</v>
      </c>
      <c r="S21" s="89">
        <f t="shared" si="3"/>
        <v>7.905278412460999E-2</v>
      </c>
      <c r="T21" s="89">
        <f t="shared" si="3"/>
        <v>7.9295672047468332E-2</v>
      </c>
      <c r="U21" s="89">
        <f t="shared" si="3"/>
        <v>7.9539306238073273E-2</v>
      </c>
      <c r="V21" s="89">
        <f t="shared" si="3"/>
        <v>7.9783688989315871E-2</v>
      </c>
      <c r="W21" s="89">
        <f t="shared" si="3"/>
        <v>8.002882260113206E-2</v>
      </c>
      <c r="X21" s="89">
        <f t="shared" si="3"/>
        <v>8.0274709380524265E-2</v>
      </c>
      <c r="Y21" s="89">
        <f t="shared" si="3"/>
        <v>8.0521351641583139E-2</v>
      </c>
      <c r="Z21" s="89">
        <f t="shared" si="3"/>
        <v>8.0768751705509317E-2</v>
      </c>
      <c r="AA21" s="89">
        <f t="shared" si="3"/>
        <v>8.1016911900635258E-2</v>
      </c>
      <c r="AB21" s="89">
        <f t="shared" si="3"/>
        <v>8.1265834562447195E-2</v>
      </c>
      <c r="AC21" s="89">
        <f t="shared" si="3"/>
        <v>8.1515522033607082E-2</v>
      </c>
      <c r="AD21" s="89">
        <f t="shared" si="3"/>
        <v>8.1765976663974657E-2</v>
      </c>
      <c r="AE21" s="89">
        <f t="shared" si="3"/>
        <v>8.201720081062952E-2</v>
      </c>
    </row>
    <row r="22" spans="1:31">
      <c r="A22" s="566" t="s">
        <v>183</v>
      </c>
      <c r="B22" s="567">
        <v>6.2E-2</v>
      </c>
      <c r="C22" s="567">
        <v>6.2E-2</v>
      </c>
      <c r="D22" s="567">
        <v>6.2E-2</v>
      </c>
      <c r="E22" s="567">
        <v>6.2E-2</v>
      </c>
      <c r="F22" s="567">
        <v>6.2E-2</v>
      </c>
      <c r="G22" s="568">
        <v>6.2E-2</v>
      </c>
      <c r="H22" s="492">
        <f t="shared" ref="H22" si="4">AVERAGE($B$22:$F$22)</f>
        <v>6.2E-2</v>
      </c>
      <c r="I22" s="492">
        <f t="shared" ref="I22:AE22" si="5">AVERAGE($B$22:$F$22)</f>
        <v>6.2E-2</v>
      </c>
      <c r="J22" s="492">
        <v>6.2E-2</v>
      </c>
      <c r="K22" s="89">
        <f t="shared" si="5"/>
        <v>6.2E-2</v>
      </c>
      <c r="L22" s="89">
        <f t="shared" si="5"/>
        <v>6.2E-2</v>
      </c>
      <c r="M22" s="89">
        <f t="shared" si="5"/>
        <v>6.2E-2</v>
      </c>
      <c r="N22" s="89">
        <f t="shared" si="5"/>
        <v>6.2E-2</v>
      </c>
      <c r="O22" s="89">
        <f t="shared" si="5"/>
        <v>6.2E-2</v>
      </c>
      <c r="P22" s="89">
        <f t="shared" si="5"/>
        <v>6.2E-2</v>
      </c>
      <c r="Q22" s="89">
        <f t="shared" si="5"/>
        <v>6.2E-2</v>
      </c>
      <c r="R22" s="89">
        <f t="shared" si="5"/>
        <v>6.2E-2</v>
      </c>
      <c r="S22" s="89">
        <f t="shared" si="5"/>
        <v>6.2E-2</v>
      </c>
      <c r="T22" s="89">
        <f t="shared" si="5"/>
        <v>6.2E-2</v>
      </c>
      <c r="U22" s="89">
        <f t="shared" si="5"/>
        <v>6.2E-2</v>
      </c>
      <c r="V22" s="89">
        <f t="shared" si="5"/>
        <v>6.2E-2</v>
      </c>
      <c r="W22" s="89">
        <f t="shared" si="5"/>
        <v>6.2E-2</v>
      </c>
      <c r="X22" s="89">
        <f t="shared" si="5"/>
        <v>6.2E-2</v>
      </c>
      <c r="Y22" s="89">
        <f t="shared" si="5"/>
        <v>6.2E-2</v>
      </c>
      <c r="Z22" s="89">
        <f t="shared" si="5"/>
        <v>6.2E-2</v>
      </c>
      <c r="AA22" s="89">
        <f t="shared" si="5"/>
        <v>6.2E-2</v>
      </c>
      <c r="AB22" s="89">
        <f t="shared" si="5"/>
        <v>6.2E-2</v>
      </c>
      <c r="AC22" s="89">
        <f t="shared" si="5"/>
        <v>6.2E-2</v>
      </c>
      <c r="AD22" s="89">
        <f t="shared" si="5"/>
        <v>6.2E-2</v>
      </c>
      <c r="AE22" s="89">
        <f t="shared" si="5"/>
        <v>6.2E-2</v>
      </c>
    </row>
    <row r="23" spans="1:31">
      <c r="A23" s="566" t="s">
        <v>184</v>
      </c>
      <c r="B23" s="567">
        <v>1.4500000000000001E-2</v>
      </c>
      <c r="C23" s="567">
        <v>1.4500000000000001E-2</v>
      </c>
      <c r="D23" s="567">
        <v>1.4500000000000001E-2</v>
      </c>
      <c r="E23" s="567">
        <v>1.4500000000000001E-2</v>
      </c>
      <c r="F23" s="567">
        <v>1.4500000000000001E-2</v>
      </c>
      <c r="G23" s="568">
        <v>1.4500000000000001E-2</v>
      </c>
      <c r="H23" s="492">
        <v>1.4500000000000001E-2</v>
      </c>
      <c r="I23" s="492">
        <f t="shared" ref="I23:AE23" si="6">AVERAGE($B$23:$F$23)</f>
        <v>1.4500000000000002E-2</v>
      </c>
      <c r="J23" s="492">
        <f t="shared" si="6"/>
        <v>1.4500000000000002E-2</v>
      </c>
      <c r="K23" s="89">
        <f t="shared" si="6"/>
        <v>1.4500000000000002E-2</v>
      </c>
      <c r="L23" s="89">
        <f t="shared" si="6"/>
        <v>1.4500000000000002E-2</v>
      </c>
      <c r="M23" s="89">
        <f t="shared" si="6"/>
        <v>1.4500000000000002E-2</v>
      </c>
      <c r="N23" s="89">
        <f t="shared" si="6"/>
        <v>1.4500000000000002E-2</v>
      </c>
      <c r="O23" s="89">
        <f t="shared" si="6"/>
        <v>1.4500000000000002E-2</v>
      </c>
      <c r="P23" s="89">
        <f t="shared" si="6"/>
        <v>1.4500000000000002E-2</v>
      </c>
      <c r="Q23" s="89">
        <f t="shared" si="6"/>
        <v>1.4500000000000002E-2</v>
      </c>
      <c r="R23" s="89">
        <f t="shared" si="6"/>
        <v>1.4500000000000002E-2</v>
      </c>
      <c r="S23" s="89">
        <f t="shared" si="6"/>
        <v>1.4500000000000002E-2</v>
      </c>
      <c r="T23" s="89">
        <f t="shared" si="6"/>
        <v>1.4500000000000002E-2</v>
      </c>
      <c r="U23" s="89">
        <f t="shared" si="6"/>
        <v>1.4500000000000002E-2</v>
      </c>
      <c r="V23" s="89">
        <f t="shared" si="6"/>
        <v>1.4500000000000002E-2</v>
      </c>
      <c r="W23" s="89">
        <f t="shared" si="6"/>
        <v>1.4500000000000002E-2</v>
      </c>
      <c r="X23" s="89">
        <f t="shared" si="6"/>
        <v>1.4500000000000002E-2</v>
      </c>
      <c r="Y23" s="89">
        <f t="shared" si="6"/>
        <v>1.4500000000000002E-2</v>
      </c>
      <c r="Z23" s="89">
        <f t="shared" si="6"/>
        <v>1.4500000000000002E-2</v>
      </c>
      <c r="AA23" s="89">
        <f t="shared" si="6"/>
        <v>1.4500000000000002E-2</v>
      </c>
      <c r="AB23" s="89">
        <f t="shared" si="6"/>
        <v>1.4500000000000002E-2</v>
      </c>
      <c r="AC23" s="89">
        <f t="shared" si="6"/>
        <v>1.4500000000000002E-2</v>
      </c>
      <c r="AD23" s="89">
        <f t="shared" si="6"/>
        <v>1.4500000000000002E-2</v>
      </c>
      <c r="AE23" s="89">
        <f t="shared" si="6"/>
        <v>1.4500000000000002E-2</v>
      </c>
    </row>
    <row r="24" spans="1:31">
      <c r="A24" s="566" t="s">
        <v>185</v>
      </c>
      <c r="B24" s="567">
        <v>1.2200000000000001E-2</v>
      </c>
      <c r="C24" s="567">
        <v>8.8000000000000005E-3</v>
      </c>
      <c r="D24" s="567">
        <v>1.1599999999999999E-2</v>
      </c>
      <c r="E24" s="567">
        <v>1.1599999999999999E-2</v>
      </c>
      <c r="F24" s="567">
        <v>1.2699999999999999E-2</v>
      </c>
      <c r="G24" s="568">
        <v>1.06E-2</v>
      </c>
      <c r="H24" s="492">
        <v>1.24E-2</v>
      </c>
      <c r="I24" s="492">
        <v>1.24E-2</v>
      </c>
      <c r="J24" s="492">
        <v>1.24E-2</v>
      </c>
      <c r="K24" s="89">
        <f t="shared" ref="K24:AE24" si="7">+(1+$J36)*J24</f>
        <v>1.2418422225523697E-2</v>
      </c>
      <c r="L24" s="89">
        <f t="shared" si="7"/>
        <v>1.2436871820272656E-2</v>
      </c>
      <c r="M24" s="89">
        <f t="shared" si="7"/>
        <v>1.2455348824908332E-2</v>
      </c>
      <c r="N24" s="89">
        <f t="shared" si="7"/>
        <v>1.2473853280152589E-2</v>
      </c>
      <c r="O24" s="89">
        <f t="shared" si="7"/>
        <v>1.2492385226787788E-2</v>
      </c>
      <c r="P24" s="89">
        <f t="shared" si="7"/>
        <v>1.2510944705656885E-2</v>
      </c>
      <c r="Q24" s="89">
        <f t="shared" si="7"/>
        <v>1.2529531757663507E-2</v>
      </c>
      <c r="R24" s="89">
        <f t="shared" si="7"/>
        <v>1.2548146423772055E-2</v>
      </c>
      <c r="S24" s="89">
        <f t="shared" si="7"/>
        <v>1.2566788745007789E-2</v>
      </c>
      <c r="T24" s="89">
        <f t="shared" si="7"/>
        <v>1.2585458762456918E-2</v>
      </c>
      <c r="U24" s="89">
        <f t="shared" si="7"/>
        <v>1.260415651726669E-2</v>
      </c>
      <c r="V24" s="89">
        <f t="shared" si="7"/>
        <v>1.2622882050645485E-2</v>
      </c>
      <c r="W24" s="89">
        <f t="shared" si="7"/>
        <v>1.2641635403862905E-2</v>
      </c>
      <c r="X24" s="89">
        <f t="shared" si="7"/>
        <v>1.2660416618249867E-2</v>
      </c>
      <c r="Y24" s="89">
        <f t="shared" si="7"/>
        <v>1.2679225735198687E-2</v>
      </c>
      <c r="Z24" s="89">
        <f t="shared" si="7"/>
        <v>1.2698062796163178E-2</v>
      </c>
      <c r="AA24" s="89">
        <f t="shared" si="7"/>
        <v>1.2716927842658743E-2</v>
      </c>
      <c r="AB24" s="89">
        <f t="shared" si="7"/>
        <v>1.2735820916262457E-2</v>
      </c>
      <c r="AC24" s="89">
        <f t="shared" si="7"/>
        <v>1.2754742058613168E-2</v>
      </c>
      <c r="AD24" s="89">
        <f t="shared" si="7"/>
        <v>1.2773691311411584E-2</v>
      </c>
      <c r="AE24" s="89">
        <f t="shared" si="7"/>
        <v>1.2792668716420368E-2</v>
      </c>
    </row>
    <row r="25" spans="1:31">
      <c r="A25" s="566" t="s">
        <v>186</v>
      </c>
      <c r="B25" s="567">
        <v>9.1000000000000004E-3</v>
      </c>
      <c r="C25" s="567">
        <v>3.0999999999999999E-3</v>
      </c>
      <c r="D25" s="567">
        <v>2.5000000000000001E-3</v>
      </c>
      <c r="E25" s="567">
        <v>2.5000000000000001E-3</v>
      </c>
      <c r="F25" s="567">
        <v>1.5E-3</v>
      </c>
      <c r="G25" s="568">
        <v>8.9999999999999998E-4</v>
      </c>
      <c r="H25" s="492">
        <v>2.0000000000000001E-4</v>
      </c>
      <c r="I25" s="492">
        <v>2.0000000000000001E-4</v>
      </c>
      <c r="J25" s="492">
        <v>2.0000000000000001E-4</v>
      </c>
      <c r="K25" s="89">
        <f t="shared" ref="K25:AE25" si="8">+(1+$J37)*J25</f>
        <v>1.2148148148148149E-4</v>
      </c>
      <c r="L25" s="89">
        <f t="shared" si="8"/>
        <v>7.3788751714677639E-5</v>
      </c>
      <c r="M25" s="89">
        <f t="shared" si="8"/>
        <v>4.4819834374841231E-5</v>
      </c>
      <c r="N25" s="89">
        <f t="shared" si="8"/>
        <v>2.7223899398051711E-5</v>
      </c>
      <c r="O25" s="89">
        <f t="shared" si="8"/>
        <v>1.653599815289067E-5</v>
      </c>
      <c r="P25" s="89">
        <f t="shared" si="8"/>
        <v>1.0044087766941E-5</v>
      </c>
      <c r="Q25" s="89">
        <f t="shared" si="8"/>
        <v>6.100853310290089E-6</v>
      </c>
      <c r="R25" s="89">
        <f t="shared" si="8"/>
        <v>3.7057034921762022E-6</v>
      </c>
      <c r="S25" s="89">
        <f t="shared" si="8"/>
        <v>2.2508717508033228E-6</v>
      </c>
      <c r="T25" s="89">
        <f t="shared" si="8"/>
        <v>1.3671961745620183E-6</v>
      </c>
      <c r="U25" s="89">
        <f t="shared" si="8"/>
        <v>8.3044508380804072E-7</v>
      </c>
      <c r="V25" s="89">
        <f t="shared" si="8"/>
        <v>5.0441849535006914E-7</v>
      </c>
      <c r="W25" s="89">
        <f t="shared" si="8"/>
        <v>3.0638753050893087E-7</v>
      </c>
      <c r="X25" s="89">
        <f t="shared" si="8"/>
        <v>1.8610205556838764E-7</v>
      </c>
      <c r="Y25" s="89">
        <f t="shared" si="8"/>
        <v>1.130397670859836E-7</v>
      </c>
      <c r="Z25" s="89">
        <f t="shared" si="8"/>
        <v>6.8661191859634481E-8</v>
      </c>
      <c r="AA25" s="89">
        <f t="shared" si="8"/>
        <v>4.1705316536963166E-8</v>
      </c>
      <c r="AB25" s="89">
        <f t="shared" si="8"/>
        <v>2.533211819282207E-8</v>
      </c>
      <c r="AC25" s="89">
        <f t="shared" si="8"/>
        <v>1.5386916235640073E-8</v>
      </c>
      <c r="AD25" s="89">
        <f t="shared" si="8"/>
        <v>9.3461268986850811E-9</v>
      </c>
      <c r="AE25" s="89">
        <f t="shared" si="8"/>
        <v>5.6769067088309382E-9</v>
      </c>
    </row>
    <row r="26" spans="1:31">
      <c r="A26" s="566" t="s">
        <v>187</v>
      </c>
      <c r="B26" s="567">
        <v>0</v>
      </c>
      <c r="C26" s="567">
        <v>1E-4</v>
      </c>
      <c r="D26" s="567">
        <v>0</v>
      </c>
      <c r="E26" s="567">
        <v>0</v>
      </c>
      <c r="F26" s="567">
        <v>0</v>
      </c>
      <c r="G26" s="568">
        <f>AVERAGE($B$26:$F$26)</f>
        <v>2.0000000000000002E-5</v>
      </c>
      <c r="H26" s="493">
        <v>1E-4</v>
      </c>
      <c r="I26" s="492">
        <v>1E-4</v>
      </c>
      <c r="J26" s="492">
        <v>1E-4</v>
      </c>
      <c r="K26" s="89">
        <f>AVERAGE($B$26:$F$26)</f>
        <v>2.0000000000000002E-5</v>
      </c>
      <c r="L26" s="89">
        <f t="shared" ref="L26:AE26" si="9">AVERAGE($B$26:$F$26)</f>
        <v>2.0000000000000002E-5</v>
      </c>
      <c r="M26" s="89">
        <f t="shared" si="9"/>
        <v>2.0000000000000002E-5</v>
      </c>
      <c r="N26" s="89">
        <f t="shared" si="9"/>
        <v>2.0000000000000002E-5</v>
      </c>
      <c r="O26" s="89">
        <f t="shared" si="9"/>
        <v>2.0000000000000002E-5</v>
      </c>
      <c r="P26" s="89">
        <f t="shared" si="9"/>
        <v>2.0000000000000002E-5</v>
      </c>
      <c r="Q26" s="89">
        <f t="shared" si="9"/>
        <v>2.0000000000000002E-5</v>
      </c>
      <c r="R26" s="89">
        <f t="shared" si="9"/>
        <v>2.0000000000000002E-5</v>
      </c>
      <c r="S26" s="89">
        <f t="shared" si="9"/>
        <v>2.0000000000000002E-5</v>
      </c>
      <c r="T26" s="89">
        <f t="shared" si="9"/>
        <v>2.0000000000000002E-5</v>
      </c>
      <c r="U26" s="89">
        <f t="shared" si="9"/>
        <v>2.0000000000000002E-5</v>
      </c>
      <c r="V26" s="89">
        <f t="shared" si="9"/>
        <v>2.0000000000000002E-5</v>
      </c>
      <c r="W26" s="89">
        <f t="shared" si="9"/>
        <v>2.0000000000000002E-5</v>
      </c>
      <c r="X26" s="89">
        <f t="shared" si="9"/>
        <v>2.0000000000000002E-5</v>
      </c>
      <c r="Y26" s="89">
        <f t="shared" si="9"/>
        <v>2.0000000000000002E-5</v>
      </c>
      <c r="Z26" s="89">
        <f t="shared" si="9"/>
        <v>2.0000000000000002E-5</v>
      </c>
      <c r="AA26" s="89">
        <f t="shared" si="9"/>
        <v>2.0000000000000002E-5</v>
      </c>
      <c r="AB26" s="89">
        <f t="shared" si="9"/>
        <v>2.0000000000000002E-5</v>
      </c>
      <c r="AC26" s="89">
        <f t="shared" si="9"/>
        <v>2.0000000000000002E-5</v>
      </c>
      <c r="AD26" s="89">
        <f t="shared" si="9"/>
        <v>2.0000000000000002E-5</v>
      </c>
      <c r="AE26" s="89">
        <f t="shared" si="9"/>
        <v>2.0000000000000002E-5</v>
      </c>
    </row>
    <row r="27" spans="1:31" s="80" customFormat="1" ht="15" thickBot="1">
      <c r="A27" s="90" t="s">
        <v>389</v>
      </c>
      <c r="B27" s="523">
        <f>SUM(B18:B26)</f>
        <v>0.39760000000000001</v>
      </c>
      <c r="C27" s="523">
        <f t="shared" ref="C27:E27" si="10">SUM(C18:C26)</f>
        <v>0.41539999999999999</v>
      </c>
      <c r="D27" s="523">
        <f t="shared" si="10"/>
        <v>0.4199</v>
      </c>
      <c r="E27" s="523">
        <f t="shared" si="10"/>
        <v>0.4249</v>
      </c>
      <c r="F27" s="523">
        <f>SUM(F18:F26)</f>
        <v>0.49540000000000001</v>
      </c>
      <c r="G27" s="523">
        <f>SUM(G18:G26)</f>
        <v>0.55482000000000009</v>
      </c>
      <c r="H27" s="523">
        <f t="shared" ref="H27:AE27" si="11">SUM(H18:H26)</f>
        <v>0.59079999999999977</v>
      </c>
      <c r="I27" s="523">
        <f t="shared" si="11"/>
        <v>0.60079999999999978</v>
      </c>
      <c r="J27" s="523">
        <f t="shared" si="11"/>
        <v>0.63079999999999981</v>
      </c>
      <c r="K27" s="523">
        <f t="shared" si="11"/>
        <v>0.64867315142445614</v>
      </c>
      <c r="L27" s="523">
        <f t="shared" si="11"/>
        <v>0.66764538044024302</v>
      </c>
      <c r="M27" s="523">
        <f t="shared" si="11"/>
        <v>0.68769096203691216</v>
      </c>
      <c r="N27" s="523">
        <f t="shared" si="11"/>
        <v>0.70887378392775513</v>
      </c>
      <c r="O27" s="523">
        <f t="shared" si="11"/>
        <v>0.73126585578816727</v>
      </c>
      <c r="P27" s="523">
        <f t="shared" si="11"/>
        <v>0.75494658041049556</v>
      </c>
      <c r="Q27" s="523">
        <f t="shared" si="11"/>
        <v>0.78000250165917018</v>
      </c>
      <c r="R27" s="523">
        <f t="shared" si="11"/>
        <v>0.80652735716850144</v>
      </c>
      <c r="S27" s="523">
        <f t="shared" si="11"/>
        <v>0.8346223324888723</v>
      </c>
      <c r="T27" s="523">
        <f t="shared" si="11"/>
        <v>0.86439645525251352</v>
      </c>
      <c r="U27" s="523">
        <f t="shared" si="11"/>
        <v>0.89596709346545911</v>
      </c>
      <c r="V27" s="523">
        <f t="shared" si="11"/>
        <v>0.92946053765727876</v>
      </c>
      <c r="W27" s="523">
        <f t="shared" si="11"/>
        <v>0.96501265623481713</v>
      </c>
      <c r="X27" s="523">
        <f t="shared" si="11"/>
        <v>1.002769619360079</v>
      </c>
      <c r="Y27" s="523">
        <f t="shared" si="11"/>
        <v>1.0428886904457704</v>
      </c>
      <c r="Z27" s="523">
        <f t="shared" si="11"/>
        <v>1.0855390868104449</v>
      </c>
      <c r="AA27" s="523">
        <f t="shared" si="11"/>
        <v>1.130902912691603</v>
      </c>
      <c r="AB27" s="523">
        <f t="shared" si="11"/>
        <v>1.1791761690040206</v>
      </c>
      <c r="AC27" s="523">
        <f t="shared" si="11"/>
        <v>1.2305698451504576</v>
      </c>
      <c r="AD27" s="523">
        <f t="shared" si="11"/>
        <v>1.2853110989643268</v>
      </c>
      <c r="AE27" s="523">
        <f t="shared" si="11"/>
        <v>1.3436445315640546</v>
      </c>
    </row>
    <row r="28" spans="1:31" s="85" customFormat="1" ht="15" thickTop="1">
      <c r="B28" s="91"/>
      <c r="C28" s="92"/>
      <c r="D28" s="92"/>
      <c r="E28" s="92"/>
      <c r="F28" s="92"/>
      <c r="G28" s="488"/>
      <c r="H28" s="489"/>
    </row>
    <row r="29" spans="1:31" s="85" customFormat="1">
      <c r="A29" s="84" t="s">
        <v>390</v>
      </c>
      <c r="B29" s="91"/>
      <c r="C29" s="92"/>
      <c r="D29" s="92"/>
      <c r="E29" s="92"/>
      <c r="F29" s="92"/>
      <c r="J29" s="496" t="s">
        <v>391</v>
      </c>
    </row>
    <row r="30" spans="1:31" s="85" customFormat="1">
      <c r="A30" s="85" t="s">
        <v>178</v>
      </c>
      <c r="B30" s="91"/>
      <c r="C30" s="92">
        <f>(C18/B18)-1</f>
        <v>3.3333333333333437E-2</v>
      </c>
      <c r="D30" s="92">
        <f t="shared" ref="C30:E31" si="12">(D18/C18)-1</f>
        <v>3.2258064516129004E-2</v>
      </c>
      <c r="E30" s="92">
        <f t="shared" si="12"/>
        <v>3.125E-2</v>
      </c>
      <c r="F30" s="92">
        <f t="shared" ref="F30:I31" si="13">(F18/E18)-1</f>
        <v>3.0303030303030276E-2</v>
      </c>
      <c r="G30" s="92">
        <f t="shared" si="13"/>
        <v>0</v>
      </c>
      <c r="H30" s="92">
        <f t="shared" si="13"/>
        <v>5.8823529411764497E-2</v>
      </c>
      <c r="I30" s="92">
        <f t="shared" si="13"/>
        <v>5.555555555555558E-2</v>
      </c>
      <c r="J30" s="495">
        <f>AVERAGE(G30:I30)</f>
        <v>3.8126361655773357E-2</v>
      </c>
    </row>
    <row r="31" spans="1:31" s="85" customFormat="1">
      <c r="A31" s="85" t="s">
        <v>180</v>
      </c>
      <c r="B31" s="91"/>
      <c r="C31" s="92">
        <f t="shared" si="12"/>
        <v>0.30025125628140681</v>
      </c>
      <c r="D31" s="92">
        <f t="shared" si="12"/>
        <v>-2.2222222222222143E-2</v>
      </c>
      <c r="E31" s="92">
        <f t="shared" si="12"/>
        <v>0</v>
      </c>
      <c r="F31" s="92">
        <f t="shared" si="13"/>
        <v>-0.20256916996047436</v>
      </c>
      <c r="G31" s="92">
        <f t="shared" si="13"/>
        <v>0.16356877323420083</v>
      </c>
      <c r="H31" s="92">
        <f t="shared" si="13"/>
        <v>7.9872204472843489E-2</v>
      </c>
      <c r="I31" s="92">
        <f t="shared" si="13"/>
        <v>0</v>
      </c>
      <c r="J31" s="495">
        <f>AVERAGE(G31:I31)</f>
        <v>8.1146992569014767E-2</v>
      </c>
    </row>
    <row r="32" spans="1:31" s="85" customFormat="1">
      <c r="A32" s="85" t="s">
        <v>181</v>
      </c>
      <c r="B32" s="91"/>
      <c r="C32" s="92"/>
      <c r="D32" s="92"/>
      <c r="E32" s="92"/>
      <c r="F32" s="92"/>
      <c r="G32" s="92"/>
      <c r="H32" s="92"/>
      <c r="I32" s="92"/>
      <c r="J32" s="495">
        <f>(17%-I20)/(2041-2018)</f>
        <v>1.1608695652173915E-3</v>
      </c>
      <c r="K32" s="490"/>
    </row>
    <row r="33" spans="1:31" s="85" customFormat="1">
      <c r="A33" s="85" t="s">
        <v>182</v>
      </c>
      <c r="B33" s="91"/>
      <c r="C33" s="92">
        <f t="shared" ref="C33:I37" si="14">(C21/B21)-1</f>
        <v>-2.564102564102555E-2</v>
      </c>
      <c r="D33" s="92">
        <f t="shared" si="14"/>
        <v>-4.3859649122808264E-3</v>
      </c>
      <c r="E33" s="92">
        <f t="shared" si="14"/>
        <v>0</v>
      </c>
      <c r="F33" s="92">
        <f t="shared" si="14"/>
        <v>0.1189427312775333</v>
      </c>
      <c r="G33" s="92">
        <f t="shared" si="14"/>
        <v>-2.624671916010568E-3</v>
      </c>
      <c r="H33" s="92">
        <f t="shared" si="14"/>
        <v>1.1842105263157876E-2</v>
      </c>
      <c r="I33" s="92">
        <f t="shared" si="14"/>
        <v>0</v>
      </c>
      <c r="J33" s="495">
        <f>AVERAGE(G33:I33)</f>
        <v>3.0724777823824359E-3</v>
      </c>
    </row>
    <row r="34" spans="1:31" s="85" customFormat="1">
      <c r="A34" s="85" t="s">
        <v>183</v>
      </c>
      <c r="B34" s="91"/>
      <c r="C34" s="92">
        <f t="shared" si="14"/>
        <v>0</v>
      </c>
      <c r="D34" s="92">
        <f t="shared" si="14"/>
        <v>0</v>
      </c>
      <c r="E34" s="92">
        <f t="shared" si="14"/>
        <v>0</v>
      </c>
      <c r="F34" s="92">
        <f t="shared" si="14"/>
        <v>0</v>
      </c>
      <c r="G34" s="92">
        <f t="shared" si="14"/>
        <v>0</v>
      </c>
      <c r="H34" s="92">
        <f t="shared" si="14"/>
        <v>0</v>
      </c>
      <c r="I34" s="92">
        <f t="shared" si="14"/>
        <v>0</v>
      </c>
      <c r="J34" s="495">
        <f t="shared" ref="J34:J37" si="15">AVERAGE(G34:I34)</f>
        <v>0</v>
      </c>
    </row>
    <row r="35" spans="1:31" s="85" customFormat="1">
      <c r="A35" s="85" t="s">
        <v>184</v>
      </c>
      <c r="B35" s="91"/>
      <c r="C35" s="92">
        <f t="shared" si="14"/>
        <v>0</v>
      </c>
      <c r="D35" s="92">
        <f t="shared" si="14"/>
        <v>0</v>
      </c>
      <c r="E35" s="92">
        <f t="shared" si="14"/>
        <v>0</v>
      </c>
      <c r="F35" s="92">
        <f t="shared" si="14"/>
        <v>0</v>
      </c>
      <c r="G35" s="92">
        <f t="shared" si="14"/>
        <v>0</v>
      </c>
      <c r="H35" s="92">
        <f t="shared" si="14"/>
        <v>0</v>
      </c>
      <c r="I35" s="92">
        <f t="shared" si="14"/>
        <v>0</v>
      </c>
      <c r="J35" s="495">
        <f t="shared" si="15"/>
        <v>0</v>
      </c>
    </row>
    <row r="36" spans="1:31" s="85" customFormat="1">
      <c r="A36" s="85" t="s">
        <v>185</v>
      </c>
      <c r="B36" s="91"/>
      <c r="C36" s="92">
        <f t="shared" si="14"/>
        <v>-0.27868852459016391</v>
      </c>
      <c r="D36" s="92">
        <f t="shared" si="14"/>
        <v>0.31818181818181812</v>
      </c>
      <c r="E36" s="92">
        <f t="shared" si="14"/>
        <v>0</v>
      </c>
      <c r="F36" s="92">
        <f t="shared" si="14"/>
        <v>9.4827586206896575E-2</v>
      </c>
      <c r="G36" s="92">
        <f t="shared" si="14"/>
        <v>-0.16535433070866135</v>
      </c>
      <c r="H36" s="92">
        <f t="shared" si="14"/>
        <v>0.16981132075471694</v>
      </c>
      <c r="I36" s="92">
        <f t="shared" si="14"/>
        <v>0</v>
      </c>
      <c r="J36" s="495">
        <f t="shared" si="15"/>
        <v>1.4856633486851993E-3</v>
      </c>
    </row>
    <row r="37" spans="1:31" s="85" customFormat="1">
      <c r="A37" s="85" t="s">
        <v>186</v>
      </c>
      <c r="B37" s="91"/>
      <c r="C37" s="92">
        <f t="shared" si="14"/>
        <v>-0.65934065934065944</v>
      </c>
      <c r="D37" s="92">
        <f t="shared" si="14"/>
        <v>-0.19354838709677413</v>
      </c>
      <c r="E37" s="92">
        <f t="shared" si="14"/>
        <v>0</v>
      </c>
      <c r="F37" s="92">
        <f t="shared" si="14"/>
        <v>-0.4</v>
      </c>
      <c r="G37" s="92">
        <f t="shared" si="14"/>
        <v>-0.4</v>
      </c>
      <c r="H37" s="92">
        <f>(H25/G25)-1</f>
        <v>-0.77777777777777779</v>
      </c>
      <c r="I37" s="92">
        <f>(I25/H25)-1</f>
        <v>0</v>
      </c>
      <c r="J37" s="495">
        <f t="shared" si="15"/>
        <v>-0.3925925925925926</v>
      </c>
    </row>
    <row r="38" spans="1:31" s="85" customFormat="1">
      <c r="A38" s="85" t="s">
        <v>187</v>
      </c>
      <c r="B38" s="91"/>
      <c r="C38" s="92"/>
      <c r="D38" s="92"/>
      <c r="E38" s="92"/>
      <c r="F38" s="92"/>
      <c r="G38" s="92"/>
      <c r="H38" s="92"/>
      <c r="I38" s="495"/>
    </row>
    <row r="39" spans="1:31" s="85" customFormat="1">
      <c r="A39" s="80"/>
      <c r="B39" s="91"/>
      <c r="C39" s="92"/>
      <c r="D39" s="92"/>
      <c r="E39" s="92"/>
      <c r="F39" s="92"/>
      <c r="G39" s="89"/>
    </row>
    <row r="41" spans="1:31">
      <c r="A41" s="80" t="s">
        <v>385</v>
      </c>
      <c r="B41" s="564"/>
      <c r="C41" s="564"/>
      <c r="D41" s="564"/>
      <c r="E41" s="564"/>
      <c r="F41" s="564"/>
      <c r="G41" s="566"/>
      <c r="H41" s="566"/>
      <c r="I41" s="566"/>
      <c r="J41" s="566"/>
      <c r="K41" s="566"/>
      <c r="L41" s="566"/>
      <c r="M41" s="566"/>
      <c r="N41" s="566"/>
      <c r="O41" s="566"/>
      <c r="P41" s="566"/>
      <c r="Q41" s="566"/>
      <c r="R41" s="566"/>
      <c r="S41" s="566"/>
      <c r="T41" s="566"/>
      <c r="U41" s="566"/>
      <c r="V41" s="566"/>
      <c r="W41" s="566"/>
      <c r="X41" s="566"/>
      <c r="Y41" s="566"/>
      <c r="Z41" s="566"/>
      <c r="AA41" s="566"/>
      <c r="AB41" s="566"/>
      <c r="AC41" s="566"/>
      <c r="AD41" s="566"/>
      <c r="AE41" s="566"/>
    </row>
    <row r="42" spans="1:31">
      <c r="A42" s="80"/>
      <c r="B42" s="564"/>
      <c r="C42" s="564"/>
      <c r="D42" s="564"/>
      <c r="E42" s="564"/>
      <c r="F42" s="564"/>
      <c r="G42" s="566"/>
      <c r="H42" s="566"/>
      <c r="I42" s="566"/>
      <c r="J42" s="566"/>
      <c r="K42" s="566"/>
      <c r="L42" s="566"/>
      <c r="M42" s="566"/>
      <c r="N42" s="566"/>
      <c r="O42" s="566"/>
      <c r="P42" s="566"/>
      <c r="Q42" s="566"/>
      <c r="R42" s="566"/>
      <c r="S42" s="566"/>
      <c r="T42" s="566"/>
      <c r="U42" s="566"/>
      <c r="V42" s="566"/>
      <c r="W42" s="566"/>
      <c r="X42" s="566"/>
      <c r="Y42" s="566"/>
      <c r="Z42" s="566"/>
      <c r="AA42" s="566"/>
      <c r="AB42" s="566"/>
      <c r="AC42" s="566"/>
      <c r="AD42" s="566"/>
      <c r="AE42" s="566"/>
    </row>
    <row r="43" spans="1:31">
      <c r="A43" s="555"/>
      <c r="B43" s="556"/>
      <c r="C43" s="556"/>
      <c r="D43" s="556"/>
      <c r="E43" s="659" t="s">
        <v>392</v>
      </c>
      <c r="F43" s="659"/>
      <c r="G43" s="494">
        <v>1.019353</v>
      </c>
      <c r="H43" s="555"/>
      <c r="I43" s="81" t="s">
        <v>387</v>
      </c>
      <c r="J43" s="81" t="s">
        <v>388</v>
      </c>
      <c r="K43" s="555"/>
      <c r="L43" s="555"/>
      <c r="M43" s="555"/>
      <c r="N43" s="555"/>
      <c r="O43" s="555"/>
      <c r="P43" s="555"/>
      <c r="Q43" s="555"/>
      <c r="R43" s="555"/>
      <c r="S43" s="555"/>
      <c r="T43" s="555"/>
      <c r="U43" s="555"/>
      <c r="V43" s="555"/>
      <c r="W43" s="555"/>
      <c r="X43" s="555"/>
      <c r="Y43" s="555"/>
      <c r="Z43" s="555"/>
      <c r="AA43" s="555"/>
      <c r="AB43" s="555"/>
      <c r="AC43" s="555"/>
      <c r="AD43" s="555"/>
      <c r="AE43" s="555"/>
    </row>
    <row r="44" spans="1:31">
      <c r="A44" s="555"/>
      <c r="B44" s="556"/>
      <c r="C44" s="556"/>
      <c r="D44" s="556"/>
      <c r="E44" s="556"/>
      <c r="F44" s="556"/>
      <c r="G44" s="555"/>
      <c r="H44" s="555"/>
      <c r="I44" s="81" t="s">
        <v>474</v>
      </c>
      <c r="J44" s="81" t="s">
        <v>475</v>
      </c>
      <c r="K44" s="555"/>
      <c r="L44" s="555"/>
      <c r="M44" s="555"/>
      <c r="N44" s="555"/>
      <c r="O44" s="555"/>
      <c r="P44" s="555"/>
      <c r="Q44" s="555"/>
      <c r="R44" s="555"/>
      <c r="S44" s="555"/>
      <c r="T44" s="555"/>
      <c r="U44" s="555"/>
      <c r="V44" s="555"/>
      <c r="W44" s="555"/>
      <c r="X44" s="555"/>
      <c r="Y44" s="555"/>
      <c r="Z44" s="555"/>
      <c r="AA44" s="555"/>
      <c r="AB44" s="555"/>
      <c r="AC44" s="555"/>
      <c r="AD44" s="555"/>
      <c r="AE44" s="555"/>
    </row>
    <row r="45" spans="1:31">
      <c r="A45" s="93"/>
      <c r="B45" s="87" t="s">
        <v>476</v>
      </c>
      <c r="C45" s="87" t="s">
        <v>436</v>
      </c>
      <c r="D45" s="87" t="s">
        <v>437</v>
      </c>
      <c r="E45" s="87" t="s">
        <v>438</v>
      </c>
      <c r="F45" s="87" t="s">
        <v>439</v>
      </c>
      <c r="G45" s="87" t="s">
        <v>440</v>
      </c>
      <c r="H45" s="87" t="s">
        <v>441</v>
      </c>
      <c r="I45" s="87" t="s">
        <v>442</v>
      </c>
      <c r="J45" s="88" t="s">
        <v>477</v>
      </c>
      <c r="K45" s="88" t="s">
        <v>435</v>
      </c>
      <c r="L45" s="88" t="s">
        <v>436</v>
      </c>
      <c r="M45" s="88" t="s">
        <v>437</v>
      </c>
      <c r="N45" s="88" t="s">
        <v>438</v>
      </c>
      <c r="O45" s="88" t="s">
        <v>439</v>
      </c>
      <c r="P45" s="88" t="s">
        <v>440</v>
      </c>
      <c r="Q45" s="88" t="s">
        <v>441</v>
      </c>
      <c r="R45" s="88" t="s">
        <v>442</v>
      </c>
      <c r="S45" s="88" t="s">
        <v>443</v>
      </c>
      <c r="T45" s="88" t="s">
        <v>478</v>
      </c>
      <c r="U45" s="88" t="s">
        <v>479</v>
      </c>
      <c r="V45" s="88" t="s">
        <v>480</v>
      </c>
      <c r="W45" s="88" t="s">
        <v>481</v>
      </c>
      <c r="X45" s="88" t="s">
        <v>482</v>
      </c>
      <c r="Y45" s="88" t="s">
        <v>483</v>
      </c>
      <c r="Z45" s="88" t="s">
        <v>484</v>
      </c>
      <c r="AA45" s="88" t="s">
        <v>485</v>
      </c>
      <c r="AB45" s="88" t="s">
        <v>486</v>
      </c>
      <c r="AC45" s="88" t="s">
        <v>487</v>
      </c>
      <c r="AD45" s="88" t="s">
        <v>488</v>
      </c>
      <c r="AE45" s="88" t="s">
        <v>489</v>
      </c>
    </row>
    <row r="46" spans="1:31">
      <c r="A46" s="555" t="s">
        <v>178</v>
      </c>
      <c r="B46" s="569">
        <v>0.15</v>
      </c>
      <c r="C46" s="569">
        <v>0.155</v>
      </c>
      <c r="D46" s="569">
        <v>0.16</v>
      </c>
      <c r="E46" s="569">
        <v>0.16500000000000001</v>
      </c>
      <c r="F46" s="569">
        <v>0.17</v>
      </c>
      <c r="G46" s="570">
        <v>0.17</v>
      </c>
      <c r="H46" s="491">
        <v>0.18</v>
      </c>
      <c r="I46" s="492">
        <v>0.19</v>
      </c>
      <c r="J46" s="492">
        <v>0.22</v>
      </c>
      <c r="K46" s="509">
        <f t="shared" ref="K46:Q46" si="16">J46*$G$43</f>
        <v>0.22425766</v>
      </c>
      <c r="L46" s="509">
        <f t="shared" si="16"/>
        <v>0.22859771849397997</v>
      </c>
      <c r="M46" s="509">
        <f t="shared" si="16"/>
        <v>0.23302177013999395</v>
      </c>
      <c r="N46" s="509">
        <f t="shared" si="16"/>
        <v>0.23753144045751323</v>
      </c>
      <c r="O46" s="509">
        <f t="shared" si="16"/>
        <v>0.24212838642468748</v>
      </c>
      <c r="P46" s="509">
        <f t="shared" si="16"/>
        <v>0.24681429708716446</v>
      </c>
      <c r="Q46" s="509">
        <f t="shared" si="16"/>
        <v>0.25159089417869235</v>
      </c>
      <c r="R46" s="509">
        <f t="shared" ref="R46:AE46" si="17">Q46*$G$43</f>
        <v>0.25645993275373258</v>
      </c>
      <c r="S46" s="509">
        <f t="shared" si="17"/>
        <v>0.26142320183231554</v>
      </c>
      <c r="T46" s="509">
        <f t="shared" si="17"/>
        <v>0.26648252505737635</v>
      </c>
      <c r="U46" s="509">
        <f t="shared" si="17"/>
        <v>0.27163976136481172</v>
      </c>
      <c r="V46" s="509">
        <f t="shared" si="17"/>
        <v>0.27689680566650493</v>
      </c>
      <c r="W46" s="509">
        <f t="shared" si="17"/>
        <v>0.28225558954656876</v>
      </c>
      <c r="X46" s="509">
        <f t="shared" si="17"/>
        <v>0.28771808197106352</v>
      </c>
      <c r="Y46" s="509">
        <f t="shared" si="17"/>
        <v>0.29328629001144951</v>
      </c>
      <c r="Z46" s="509">
        <f t="shared" si="17"/>
        <v>0.29896225958204109</v>
      </c>
      <c r="AA46" s="509">
        <f t="shared" si="17"/>
        <v>0.30474807619173233</v>
      </c>
      <c r="AB46" s="509">
        <f t="shared" si="17"/>
        <v>0.31064586571027092</v>
      </c>
      <c r="AC46" s="509">
        <f t="shared" si="17"/>
        <v>0.31665779514936176</v>
      </c>
      <c r="AD46" s="509">
        <f t="shared" si="17"/>
        <v>0.32278607345888732</v>
      </c>
      <c r="AE46" s="509">
        <f t="shared" si="17"/>
        <v>0.32903295233853713</v>
      </c>
    </row>
    <row r="47" spans="1:31">
      <c r="A47" s="555" t="s">
        <v>180</v>
      </c>
      <c r="B47" s="569">
        <v>7.9600000000000004E-2</v>
      </c>
      <c r="C47" s="569">
        <v>0.10349999999999999</v>
      </c>
      <c r="D47" s="569">
        <v>0.1012</v>
      </c>
      <c r="E47" s="569">
        <v>0.1012</v>
      </c>
      <c r="F47" s="569">
        <v>8.0699999999999994E-2</v>
      </c>
      <c r="G47" s="568">
        <v>9.3899999999999997E-2</v>
      </c>
      <c r="H47" s="492">
        <v>0.1014</v>
      </c>
      <c r="I47" s="492">
        <v>0.1014</v>
      </c>
      <c r="J47" s="492">
        <v>0.1014</v>
      </c>
      <c r="K47" s="509">
        <f t="shared" ref="K47:AE47" si="18">J47*$G$43</f>
        <v>0.1033623942</v>
      </c>
      <c r="L47" s="509">
        <f t="shared" si="18"/>
        <v>0.1053627666149526</v>
      </c>
      <c r="M47" s="509">
        <f t="shared" si="18"/>
        <v>0.10740185223725177</v>
      </c>
      <c r="N47" s="509">
        <f t="shared" si="18"/>
        <v>0.10948040028359929</v>
      </c>
      <c r="O47" s="509">
        <f t="shared" si="18"/>
        <v>0.11159917447028778</v>
      </c>
      <c r="P47" s="509">
        <f t="shared" si="18"/>
        <v>0.11375895329381125</v>
      </c>
      <c r="Q47" s="509">
        <f t="shared" si="18"/>
        <v>0.11596053031690637</v>
      </c>
      <c r="R47" s="509">
        <f t="shared" si="18"/>
        <v>0.11820471446012945</v>
      </c>
      <c r="S47" s="509">
        <f t="shared" si="18"/>
        <v>0.12049233029907633</v>
      </c>
      <c r="T47" s="509">
        <f t="shared" si="18"/>
        <v>0.12282421836735434</v>
      </c>
      <c r="U47" s="509">
        <f t="shared" si="18"/>
        <v>0.12520123546541775</v>
      </c>
      <c r="V47" s="509">
        <f t="shared" si="18"/>
        <v>0.12762425497537999</v>
      </c>
      <c r="W47" s="509">
        <f t="shared" si="18"/>
        <v>0.13009416718191852</v>
      </c>
      <c r="X47" s="509">
        <f t="shared" si="18"/>
        <v>0.13261187959939019</v>
      </c>
      <c r="Y47" s="509">
        <f t="shared" si="18"/>
        <v>0.13517831730527718</v>
      </c>
      <c r="Z47" s="509">
        <f t="shared" si="18"/>
        <v>0.1377944232800862</v>
      </c>
      <c r="AA47" s="509">
        <f t="shared" si="18"/>
        <v>0.1404611587538257</v>
      </c>
      <c r="AB47" s="509">
        <f t="shared" si="18"/>
        <v>0.14317950355918849</v>
      </c>
      <c r="AC47" s="509">
        <f t="shared" si="18"/>
        <v>0.14595045649156946</v>
      </c>
      <c r="AD47" s="509">
        <f t="shared" si="18"/>
        <v>0.1487750356760508</v>
      </c>
      <c r="AE47" s="509">
        <f t="shared" si="18"/>
        <v>0.15165427894148939</v>
      </c>
    </row>
    <row r="48" spans="1:31">
      <c r="A48" s="555" t="s">
        <v>181</v>
      </c>
      <c r="B48" s="569">
        <v>0</v>
      </c>
      <c r="C48" s="569">
        <v>0</v>
      </c>
      <c r="D48" s="569">
        <v>0</v>
      </c>
      <c r="E48" s="569">
        <v>0</v>
      </c>
      <c r="F48" s="569">
        <v>7.7799999999999994E-2</v>
      </c>
      <c r="G48" s="568">
        <v>0.12690000000000001</v>
      </c>
      <c r="H48" s="492">
        <v>0.14330000000000001</v>
      </c>
      <c r="I48" s="492">
        <v>0.14330000000000001</v>
      </c>
      <c r="J48" s="492">
        <v>0.14330000000000001</v>
      </c>
      <c r="K48" s="509">
        <f t="shared" ref="K48:AE48" si="19">J48*$G$43</f>
        <v>0.14607328490000002</v>
      </c>
      <c r="L48" s="509">
        <f t="shared" si="19"/>
        <v>0.1489002411826697</v>
      </c>
      <c r="M48" s="509">
        <f t="shared" si="19"/>
        <v>0.1517819075502779</v>
      </c>
      <c r="N48" s="509">
        <f t="shared" si="19"/>
        <v>0.15471934280709843</v>
      </c>
      <c r="O48" s="509">
        <f t="shared" si="19"/>
        <v>0.15771362624844421</v>
      </c>
      <c r="P48" s="509">
        <f t="shared" si="19"/>
        <v>0.16076585805723034</v>
      </c>
      <c r="Q48" s="509">
        <f t="shared" si="19"/>
        <v>0.16387715970821193</v>
      </c>
      <c r="R48" s="509">
        <f t="shared" si="19"/>
        <v>0.16704867438004495</v>
      </c>
      <c r="S48" s="509">
        <f t="shared" si="19"/>
        <v>0.17028156737532196</v>
      </c>
      <c r="T48" s="509">
        <f t="shared" si="19"/>
        <v>0.17357702654873655</v>
      </c>
      <c r="U48" s="509">
        <f t="shared" si="19"/>
        <v>0.17693626274353424</v>
      </c>
      <c r="V48" s="509">
        <f t="shared" si="19"/>
        <v>0.18036051023640987</v>
      </c>
      <c r="W48" s="509">
        <f t="shared" si="19"/>
        <v>0.18385102719101509</v>
      </c>
      <c r="X48" s="509">
        <f t="shared" si="19"/>
        <v>0.18740909612024281</v>
      </c>
      <c r="Y48" s="509">
        <f t="shared" si="19"/>
        <v>0.19103602435745787</v>
      </c>
      <c r="Z48" s="509">
        <f t="shared" si="19"/>
        <v>0.19473314453684773</v>
      </c>
      <c r="AA48" s="509">
        <f t="shared" si="19"/>
        <v>0.19850181508306933</v>
      </c>
      <c r="AB48" s="509">
        <f t="shared" si="19"/>
        <v>0.20234342071037195</v>
      </c>
      <c r="AC48" s="509">
        <f t="shared" si="19"/>
        <v>0.20625937293137978</v>
      </c>
      <c r="AD48" s="509">
        <f t="shared" si="19"/>
        <v>0.21025111057572077</v>
      </c>
      <c r="AE48" s="509">
        <f t="shared" si="19"/>
        <v>0.21432010031869267</v>
      </c>
    </row>
    <row r="49" spans="1:31">
      <c r="A49" s="555" t="s">
        <v>182</v>
      </c>
      <c r="B49" s="569">
        <v>7.0199999999999999E-2</v>
      </c>
      <c r="C49" s="569">
        <v>6.8400000000000002E-2</v>
      </c>
      <c r="D49" s="569">
        <v>6.8099999999999994E-2</v>
      </c>
      <c r="E49" s="569">
        <v>6.8099999999999994E-2</v>
      </c>
      <c r="F49" s="569">
        <v>7.6200000000000004E-2</v>
      </c>
      <c r="G49" s="568">
        <v>7.5999999999999998E-2</v>
      </c>
      <c r="H49" s="492">
        <v>7.6899999999999996E-2</v>
      </c>
      <c r="I49" s="492">
        <v>7.6899999999999996E-2</v>
      </c>
      <c r="J49" s="492">
        <v>7.6899999999999996E-2</v>
      </c>
      <c r="K49" s="509">
        <f t="shared" ref="K49:AE49" si="20">J49*$G$43</f>
        <v>7.8388245699999998E-2</v>
      </c>
      <c r="L49" s="509">
        <f t="shared" si="20"/>
        <v>7.9905293419032089E-2</v>
      </c>
      <c r="M49" s="509">
        <f t="shared" si="20"/>
        <v>8.1451700562570617E-2</v>
      </c>
      <c r="N49" s="509">
        <f t="shared" si="20"/>
        <v>8.3028035323558042E-2</v>
      </c>
      <c r="O49" s="509">
        <f t="shared" si="20"/>
        <v>8.4634876891174854E-2</v>
      </c>
      <c r="P49" s="509">
        <f t="shared" si="20"/>
        <v>8.6272815663649763E-2</v>
      </c>
      <c r="Q49" s="509">
        <f t="shared" si="20"/>
        <v>8.7942453465188378E-2</v>
      </c>
      <c r="R49" s="509">
        <f t="shared" si="20"/>
        <v>8.9644403767100159E-2</v>
      </c>
      <c r="S49" s="509">
        <f t="shared" si="20"/>
        <v>9.1379291913204846E-2</v>
      </c>
      <c r="T49" s="509">
        <f t="shared" si="20"/>
        <v>9.3147755349601097E-2</v>
      </c>
      <c r="U49" s="509">
        <f t="shared" si="20"/>
        <v>9.4950443858881919E-2</v>
      </c>
      <c r="V49" s="509">
        <f t="shared" si="20"/>
        <v>9.6788019798882852E-2</v>
      </c>
      <c r="W49" s="509">
        <f t="shared" si="20"/>
        <v>9.8661158346050631E-2</v>
      </c>
      <c r="X49" s="509">
        <f t="shared" si="20"/>
        <v>0.10057054774352174</v>
      </c>
      <c r="Y49" s="509">
        <f t="shared" si="20"/>
        <v>0.10251688955400211</v>
      </c>
      <c r="Z49" s="509">
        <f t="shared" si="20"/>
        <v>0.1045008989175407</v>
      </c>
      <c r="AA49" s="509">
        <f t="shared" si="20"/>
        <v>0.10652330481429187</v>
      </c>
      <c r="AB49" s="509">
        <f t="shared" si="20"/>
        <v>0.10858485033236286</v>
      </c>
      <c r="AC49" s="509">
        <f t="shared" si="20"/>
        <v>0.11068629294084507</v>
      </c>
      <c r="AD49" s="509">
        <f t="shared" si="20"/>
        <v>0.11282840476812925</v>
      </c>
      <c r="AE49" s="509">
        <f t="shared" si="20"/>
        <v>0.11501197288560684</v>
      </c>
    </row>
    <row r="50" spans="1:31">
      <c r="A50" s="555" t="s">
        <v>183</v>
      </c>
      <c r="B50" s="569">
        <v>6.2E-2</v>
      </c>
      <c r="C50" s="569">
        <v>6.2E-2</v>
      </c>
      <c r="D50" s="569">
        <v>6.2E-2</v>
      </c>
      <c r="E50" s="569">
        <v>6.2E-2</v>
      </c>
      <c r="F50" s="569">
        <v>6.2E-2</v>
      </c>
      <c r="G50" s="568">
        <v>6.2E-2</v>
      </c>
      <c r="H50" s="492">
        <f t="shared" ref="H50:I50" si="21">AVERAGE($B$22:$F$22)</f>
        <v>6.2E-2</v>
      </c>
      <c r="I50" s="492">
        <f t="shared" si="21"/>
        <v>6.2E-2</v>
      </c>
      <c r="J50" s="492">
        <v>6.2E-2</v>
      </c>
      <c r="K50" s="509">
        <f t="shared" ref="K50:AE50" si="22">J50*$G$43</f>
        <v>6.3199885999999997E-2</v>
      </c>
      <c r="L50" s="509">
        <f t="shared" si="22"/>
        <v>6.4422993393757996E-2</v>
      </c>
      <c r="M50" s="509">
        <f t="shared" si="22"/>
        <v>6.5669771584907388E-2</v>
      </c>
      <c r="N50" s="509">
        <f t="shared" si="22"/>
        <v>6.6940678674390103E-2</v>
      </c>
      <c r="O50" s="509">
        <f t="shared" si="22"/>
        <v>6.8236181628775566E-2</v>
      </c>
      <c r="P50" s="509">
        <f t="shared" si="22"/>
        <v>6.9556756451837259E-2</v>
      </c>
      <c r="Q50" s="509">
        <f t="shared" si="22"/>
        <v>7.0902888359449662E-2</v>
      </c>
      <c r="R50" s="509">
        <f t="shared" si="22"/>
        <v>7.2275071957870085E-2</v>
      </c>
      <c r="S50" s="509">
        <f t="shared" si="22"/>
        <v>7.3673811425470748E-2</v>
      </c>
      <c r="T50" s="509">
        <f t="shared" si="22"/>
        <v>7.5099620697987882E-2</v>
      </c>
      <c r="U50" s="509">
        <f t="shared" si="22"/>
        <v>7.6553023657356042E-2</v>
      </c>
      <c r="V50" s="509">
        <f t="shared" si="22"/>
        <v>7.8034554324196856E-2</v>
      </c>
      <c r="W50" s="509">
        <f t="shared" si="22"/>
        <v>7.9544757054033036E-2</v>
      </c>
      <c r="X50" s="509">
        <f t="shared" si="22"/>
        <v>8.1084186737299738E-2</v>
      </c>
      <c r="Y50" s="509">
        <f t="shared" si="22"/>
        <v>8.2653409003226694E-2</v>
      </c>
      <c r="Z50" s="509">
        <f t="shared" si="22"/>
        <v>8.4253000427666133E-2</v>
      </c>
      <c r="AA50" s="509">
        <f t="shared" si="22"/>
        <v>8.588354874494275E-2</v>
      </c>
      <c r="AB50" s="509">
        <f t="shared" si="22"/>
        <v>8.754565306380363E-2</v>
      </c>
      <c r="AC50" s="509">
        <f t="shared" si="22"/>
        <v>8.9239924087547412E-2</v>
      </c>
      <c r="AD50" s="509">
        <f t="shared" si="22"/>
        <v>9.0966984338413714E-2</v>
      </c>
      <c r="AE50" s="509">
        <f t="shared" si="22"/>
        <v>9.2727468386315029E-2</v>
      </c>
    </row>
    <row r="51" spans="1:31">
      <c r="A51" s="555" t="s">
        <v>184</v>
      </c>
      <c r="B51" s="569">
        <v>1.4500000000000001E-2</v>
      </c>
      <c r="C51" s="569">
        <v>1.4500000000000001E-2</v>
      </c>
      <c r="D51" s="569">
        <v>1.4500000000000001E-2</v>
      </c>
      <c r="E51" s="569">
        <v>1.4500000000000001E-2</v>
      </c>
      <c r="F51" s="569">
        <v>1.4500000000000001E-2</v>
      </c>
      <c r="G51" s="568">
        <v>1.4500000000000001E-2</v>
      </c>
      <c r="H51" s="492">
        <v>1.4500000000000001E-2</v>
      </c>
      <c r="I51" s="492">
        <f t="shared" ref="I51:J51" si="23">AVERAGE($B$23:$F$23)</f>
        <v>1.4500000000000002E-2</v>
      </c>
      <c r="J51" s="492">
        <f t="shared" si="23"/>
        <v>1.4500000000000002E-2</v>
      </c>
      <c r="K51" s="509">
        <f t="shared" ref="K51:AE51" si="24">J51*$G$43</f>
        <v>1.4780618500000002E-2</v>
      </c>
      <c r="L51" s="509">
        <f t="shared" si="24"/>
        <v>1.5066667809830502E-2</v>
      </c>
      <c r="M51" s="509">
        <f t="shared" si="24"/>
        <v>1.5358253031954152E-2</v>
      </c>
      <c r="N51" s="509">
        <f t="shared" si="24"/>
        <v>1.5655481302881559E-2</v>
      </c>
      <c r="O51" s="509">
        <f t="shared" si="24"/>
        <v>1.5958461832536224E-2</v>
      </c>
      <c r="P51" s="509">
        <f t="shared" si="24"/>
        <v>1.6267305944381298E-2</v>
      </c>
      <c r="Q51" s="509">
        <f t="shared" si="24"/>
        <v>1.6582127116322908E-2</v>
      </c>
      <c r="R51" s="509">
        <f t="shared" si="24"/>
        <v>1.6903041022405106E-2</v>
      </c>
      <c r="S51" s="509">
        <f t="shared" si="24"/>
        <v>1.723016557531171E-2</v>
      </c>
      <c r="T51" s="509">
        <f t="shared" si="24"/>
        <v>1.7563620969690715E-2</v>
      </c>
      <c r="U51" s="509">
        <f t="shared" si="24"/>
        <v>1.790352972631714E-2</v>
      </c>
      <c r="V51" s="509">
        <f t="shared" si="24"/>
        <v>1.8250016737110554E-2</v>
      </c>
      <c r="W51" s="509">
        <f t="shared" si="24"/>
        <v>1.8603209311023855E-2</v>
      </c>
      <c r="X51" s="509">
        <f t="shared" si="24"/>
        <v>1.8963237220820099E-2</v>
      </c>
      <c r="Y51" s="509">
        <f t="shared" si="24"/>
        <v>1.9330232750754631E-2</v>
      </c>
      <c r="Z51" s="509">
        <f t="shared" si="24"/>
        <v>1.9704330745179986E-2</v>
      </c>
      <c r="AA51" s="509">
        <f t="shared" si="24"/>
        <v>2.0085668658091454E-2</v>
      </c>
      <c r="AB51" s="509">
        <f t="shared" si="24"/>
        <v>2.0474386603631496E-2</v>
      </c>
      <c r="AC51" s="509">
        <f t="shared" si="24"/>
        <v>2.0870627407571576E-2</v>
      </c>
      <c r="AD51" s="509">
        <f t="shared" si="24"/>
        <v>2.1274536659790309E-2</v>
      </c>
      <c r="AE51" s="509">
        <f t="shared" si="24"/>
        <v>2.168626276776723E-2</v>
      </c>
    </row>
    <row r="52" spans="1:31">
      <c r="A52" s="555" t="s">
        <v>185</v>
      </c>
      <c r="B52" s="569">
        <v>1.2200000000000001E-2</v>
      </c>
      <c r="C52" s="569">
        <v>8.8000000000000005E-3</v>
      </c>
      <c r="D52" s="569">
        <v>1.1599999999999999E-2</v>
      </c>
      <c r="E52" s="569">
        <v>1.1599999999999999E-2</v>
      </c>
      <c r="F52" s="569">
        <v>1.2699999999999999E-2</v>
      </c>
      <c r="G52" s="568">
        <v>1.06E-2</v>
      </c>
      <c r="H52" s="492">
        <v>1.24E-2</v>
      </c>
      <c r="I52" s="492">
        <v>1.24E-2</v>
      </c>
      <c r="J52" s="492">
        <v>1.24E-2</v>
      </c>
      <c r="K52" s="509">
        <f t="shared" ref="K52:AE52" si="25">J52*$G$43</f>
        <v>1.2639977199999999E-2</v>
      </c>
      <c r="L52" s="509">
        <f t="shared" si="25"/>
        <v>1.2884598678751599E-2</v>
      </c>
      <c r="M52" s="509">
        <f t="shared" si="25"/>
        <v>1.3133954316981477E-2</v>
      </c>
      <c r="N52" s="509">
        <f t="shared" si="25"/>
        <v>1.3388135734878018E-2</v>
      </c>
      <c r="O52" s="509">
        <f t="shared" si="25"/>
        <v>1.3647236325755112E-2</v>
      </c>
      <c r="P52" s="509">
        <f t="shared" si="25"/>
        <v>1.3911351290367449E-2</v>
      </c>
      <c r="Q52" s="509">
        <f t="shared" si="25"/>
        <v>1.4180577671889931E-2</v>
      </c>
      <c r="R52" s="509">
        <f t="shared" si="25"/>
        <v>1.4455014391574015E-2</v>
      </c>
      <c r="S52" s="509">
        <f t="shared" si="25"/>
        <v>1.4734762285094146E-2</v>
      </c>
      <c r="T52" s="509">
        <f t="shared" si="25"/>
        <v>1.5019924139597574E-2</v>
      </c>
      <c r="U52" s="509">
        <f t="shared" si="25"/>
        <v>1.5310604731471205E-2</v>
      </c>
      <c r="V52" s="509">
        <f t="shared" si="25"/>
        <v>1.5606910864839367E-2</v>
      </c>
      <c r="W52" s="509">
        <f t="shared" si="25"/>
        <v>1.5908951410806602E-2</v>
      </c>
      <c r="X52" s="509">
        <f t="shared" si="25"/>
        <v>1.6216837347459941E-2</v>
      </c>
      <c r="Y52" s="509">
        <f t="shared" si="25"/>
        <v>1.6530681800645333E-2</v>
      </c>
      <c r="Z52" s="509">
        <f t="shared" si="25"/>
        <v>1.6850600085533223E-2</v>
      </c>
      <c r="AA52" s="509">
        <f t="shared" si="25"/>
        <v>1.7176709748988547E-2</v>
      </c>
      <c r="AB52" s="509">
        <f t="shared" si="25"/>
        <v>1.7509130612760722E-2</v>
      </c>
      <c r="AC52" s="509">
        <f t="shared" si="25"/>
        <v>1.7847984817509481E-2</v>
      </c>
      <c r="AD52" s="509">
        <f t="shared" si="25"/>
        <v>1.8193396867682742E-2</v>
      </c>
      <c r="AE52" s="509">
        <f t="shared" si="25"/>
        <v>1.8545493677263006E-2</v>
      </c>
    </row>
    <row r="53" spans="1:31">
      <c r="A53" s="555" t="s">
        <v>186</v>
      </c>
      <c r="B53" s="569">
        <v>9.1000000000000004E-3</v>
      </c>
      <c r="C53" s="569">
        <v>3.0999999999999999E-3</v>
      </c>
      <c r="D53" s="569">
        <v>2.5000000000000001E-3</v>
      </c>
      <c r="E53" s="569">
        <v>2.5000000000000001E-3</v>
      </c>
      <c r="F53" s="569">
        <v>1.5E-3</v>
      </c>
      <c r="G53" s="568">
        <v>8.9999999999999998E-4</v>
      </c>
      <c r="H53" s="492">
        <v>2.0000000000000001E-4</v>
      </c>
      <c r="I53" s="492">
        <v>2.0000000000000001E-4</v>
      </c>
      <c r="J53" s="492">
        <v>2.0000000000000001E-4</v>
      </c>
      <c r="K53" s="509">
        <f t="shared" ref="K53:AE53" si="26">J53*$G$43</f>
        <v>2.038706E-4</v>
      </c>
      <c r="L53" s="509">
        <f t="shared" si="26"/>
        <v>2.0781610772179998E-4</v>
      </c>
      <c r="M53" s="509">
        <f t="shared" si="26"/>
        <v>2.1183797285453997E-4</v>
      </c>
      <c r="N53" s="509">
        <f t="shared" si="26"/>
        <v>2.1593767314319386E-4</v>
      </c>
      <c r="O53" s="509">
        <f t="shared" si="26"/>
        <v>2.2011671493153408E-4</v>
      </c>
      <c r="P53" s="509">
        <f t="shared" si="26"/>
        <v>2.2437663371560403E-4</v>
      </c>
      <c r="Q53" s="509">
        <f t="shared" si="26"/>
        <v>2.2871899470790211E-4</v>
      </c>
      <c r="R53" s="509">
        <f t="shared" si="26"/>
        <v>2.3314539341248413E-4</v>
      </c>
      <c r="S53" s="509">
        <f t="shared" si="26"/>
        <v>2.3765745621119591E-4</v>
      </c>
      <c r="T53" s="509">
        <f t="shared" si="26"/>
        <v>2.4225684096125118E-4</v>
      </c>
      <c r="U53" s="509">
        <f t="shared" si="26"/>
        <v>2.4694523760437426E-4</v>
      </c>
      <c r="V53" s="509">
        <f t="shared" si="26"/>
        <v>2.5172436878773168E-4</v>
      </c>
      <c r="W53" s="509">
        <f t="shared" si="26"/>
        <v>2.5659599049688062E-4</v>
      </c>
      <c r="X53" s="509">
        <f t="shared" si="26"/>
        <v>2.6156189270096675E-4</v>
      </c>
      <c r="Y53" s="509">
        <f t="shared" si="26"/>
        <v>2.6662390001040855E-4</v>
      </c>
      <c r="Z53" s="509">
        <f t="shared" si="26"/>
        <v>2.7178387234731E-4</v>
      </c>
      <c r="AA53" s="509">
        <f t="shared" si="26"/>
        <v>2.7704370562884749E-4</v>
      </c>
      <c r="AB53" s="509">
        <f t="shared" si="26"/>
        <v>2.8240533246388255E-4</v>
      </c>
      <c r="AC53" s="509">
        <f t="shared" si="26"/>
        <v>2.8787072286305605E-4</v>
      </c>
      <c r="AD53" s="509">
        <f t="shared" si="26"/>
        <v>2.9344188496262474E-4</v>
      </c>
      <c r="AE53" s="509">
        <f t="shared" si="26"/>
        <v>2.9912086576230641E-4</v>
      </c>
    </row>
    <row r="54" spans="1:31">
      <c r="A54" s="555" t="s">
        <v>187</v>
      </c>
      <c r="B54" s="569">
        <v>0</v>
      </c>
      <c r="C54" s="569">
        <v>1E-4</v>
      </c>
      <c r="D54" s="569">
        <v>0</v>
      </c>
      <c r="E54" s="569">
        <v>0</v>
      </c>
      <c r="F54" s="569">
        <v>0</v>
      </c>
      <c r="G54" s="571">
        <f>AVERAGE($B$26:$F$26)</f>
        <v>2.0000000000000002E-5</v>
      </c>
      <c r="H54" s="493">
        <v>1E-4</v>
      </c>
      <c r="I54" s="492">
        <v>1E-4</v>
      </c>
      <c r="J54" s="492">
        <v>1E-4</v>
      </c>
      <c r="K54" s="509">
        <f t="shared" ref="K54:AE54" si="27">J54*$G$43</f>
        <v>1.019353E-4</v>
      </c>
      <c r="L54" s="509">
        <f t="shared" si="27"/>
        <v>1.0390805386089999E-4</v>
      </c>
      <c r="M54" s="509">
        <f t="shared" si="27"/>
        <v>1.0591898642726998E-4</v>
      </c>
      <c r="N54" s="509">
        <f t="shared" si="27"/>
        <v>1.0796883657159693E-4</v>
      </c>
      <c r="O54" s="509">
        <f t="shared" si="27"/>
        <v>1.1005835746576704E-4</v>
      </c>
      <c r="P54" s="509">
        <f t="shared" si="27"/>
        <v>1.1218831685780202E-4</v>
      </c>
      <c r="Q54" s="509">
        <f t="shared" si="27"/>
        <v>1.1435949735395105E-4</v>
      </c>
      <c r="R54" s="509">
        <f t="shared" si="27"/>
        <v>1.1657269670624206E-4</v>
      </c>
      <c r="S54" s="509">
        <f t="shared" si="27"/>
        <v>1.1882872810559796E-4</v>
      </c>
      <c r="T54" s="509">
        <f t="shared" si="27"/>
        <v>1.2112842048062559E-4</v>
      </c>
      <c r="U54" s="509">
        <f t="shared" si="27"/>
        <v>1.2347261880218713E-4</v>
      </c>
      <c r="V54" s="509">
        <f t="shared" si="27"/>
        <v>1.2586218439386584E-4</v>
      </c>
      <c r="W54" s="509">
        <f t="shared" si="27"/>
        <v>1.2829799524844031E-4</v>
      </c>
      <c r="X54" s="509">
        <f t="shared" si="27"/>
        <v>1.3078094635048337E-4</v>
      </c>
      <c r="Y54" s="509">
        <f t="shared" si="27"/>
        <v>1.3331195000520428E-4</v>
      </c>
      <c r="Z54" s="509">
        <f t="shared" si="27"/>
        <v>1.35891936173655E-4</v>
      </c>
      <c r="AA54" s="509">
        <f t="shared" si="27"/>
        <v>1.3852185281442375E-4</v>
      </c>
      <c r="AB54" s="509">
        <f t="shared" si="27"/>
        <v>1.4120266623194127E-4</v>
      </c>
      <c r="AC54" s="509">
        <f t="shared" si="27"/>
        <v>1.4393536143152803E-4</v>
      </c>
      <c r="AD54" s="509">
        <f t="shared" si="27"/>
        <v>1.4672094248131237E-4</v>
      </c>
      <c r="AE54" s="509">
        <f t="shared" si="27"/>
        <v>1.495604328811532E-4</v>
      </c>
    </row>
    <row r="55" spans="1:31" ht="15" thickBot="1">
      <c r="A55" s="72" t="s">
        <v>389</v>
      </c>
      <c r="B55" s="524">
        <f t="shared" ref="B55:E55" si="28">SUM(B46:B54)</f>
        <v>0.39760000000000001</v>
      </c>
      <c r="C55" s="524">
        <f t="shared" si="28"/>
        <v>0.41539999999999999</v>
      </c>
      <c r="D55" s="524">
        <f t="shared" si="28"/>
        <v>0.4199</v>
      </c>
      <c r="E55" s="524">
        <f t="shared" si="28"/>
        <v>0.4249</v>
      </c>
      <c r="F55" s="524">
        <f>SUM(F46:F54)</f>
        <v>0.49540000000000001</v>
      </c>
      <c r="G55" s="524">
        <f>SUM(G46:G54)</f>
        <v>0.55482000000000009</v>
      </c>
      <c r="H55" s="524">
        <f>SUM(H46:H54)</f>
        <v>0.59079999999999977</v>
      </c>
      <c r="I55" s="524">
        <f t="shared" ref="I55:T55" si="29">SUM(I46:I54)</f>
        <v>0.60079999999999978</v>
      </c>
      <c r="J55" s="524">
        <f t="shared" si="29"/>
        <v>0.63079999999999981</v>
      </c>
      <c r="K55" s="524">
        <f t="shared" si="29"/>
        <v>0.64300787240000012</v>
      </c>
      <c r="L55" s="524">
        <f t="shared" si="29"/>
        <v>0.65545200375455703</v>
      </c>
      <c r="M55" s="524">
        <f t="shared" si="29"/>
        <v>0.66813696638321907</v>
      </c>
      <c r="N55" s="524">
        <f t="shared" si="29"/>
        <v>0.68106742109363361</v>
      </c>
      <c r="O55" s="524">
        <f t="shared" si="29"/>
        <v>0.69424811889405857</v>
      </c>
      <c r="P55" s="524">
        <f t="shared" si="29"/>
        <v>0.70768390273901516</v>
      </c>
      <c r="Q55" s="524">
        <f t="shared" si="29"/>
        <v>0.72137970930872342</v>
      </c>
      <c r="R55" s="524">
        <f t="shared" si="29"/>
        <v>0.7353405708229751</v>
      </c>
      <c r="S55" s="524">
        <f t="shared" si="29"/>
        <v>0.74957161689011209</v>
      </c>
      <c r="T55" s="524">
        <f t="shared" si="29"/>
        <v>0.76407807639178638</v>
      </c>
      <c r="U55" s="524">
        <f>SUM(U46:U54)</f>
        <v>0.77886527940419659</v>
      </c>
      <c r="V55" s="524">
        <f>SUM(V46:V54)</f>
        <v>0.79393865915650608</v>
      </c>
      <c r="W55" s="524">
        <f t="shared" ref="W55:AC55" si="30">SUM(W46:W54)</f>
        <v>0.80930375402716193</v>
      </c>
      <c r="X55" s="524">
        <f t="shared" si="30"/>
        <v>0.82496620957884936</v>
      </c>
      <c r="Y55" s="524">
        <f t="shared" si="30"/>
        <v>0.84093178063282892</v>
      </c>
      <c r="Z55" s="524">
        <f t="shared" si="30"/>
        <v>0.85720633338341601</v>
      </c>
      <c r="AA55" s="524">
        <f t="shared" si="30"/>
        <v>0.87379584755338524</v>
      </c>
      <c r="AB55" s="524">
        <f t="shared" si="30"/>
        <v>0.89070641859108601</v>
      </c>
      <c r="AC55" s="524">
        <f t="shared" si="30"/>
        <v>0.90794425991007921</v>
      </c>
      <c r="AD55" s="524">
        <f>SUM(AD46:AD54)</f>
        <v>0.92551570517211879</v>
      </c>
      <c r="AE55" s="524">
        <f>SUM(AE46:AE54)</f>
        <v>0.94342721061431478</v>
      </c>
    </row>
    <row r="56" spans="1:31" ht="15" thickTop="1">
      <c r="A56" s="566"/>
      <c r="B56" s="564"/>
      <c r="C56" s="564"/>
      <c r="D56" s="564"/>
      <c r="E56" s="564"/>
      <c r="F56" s="564"/>
      <c r="G56" s="566"/>
      <c r="H56" s="566"/>
      <c r="I56" s="566"/>
      <c r="J56" s="566"/>
      <c r="K56" s="566"/>
      <c r="L56" s="566"/>
      <c r="M56" s="566"/>
      <c r="N56" s="566"/>
      <c r="O56" s="566"/>
      <c r="P56" s="566"/>
      <c r="Q56" s="566"/>
      <c r="R56" s="566"/>
      <c r="S56" s="566"/>
      <c r="T56" s="566"/>
      <c r="U56" s="566"/>
      <c r="V56" s="566"/>
      <c r="W56" s="566"/>
      <c r="X56" s="566"/>
      <c r="Y56" s="566"/>
      <c r="Z56" s="566"/>
      <c r="AA56" s="566"/>
      <c r="AB56" s="566"/>
      <c r="AC56" s="566"/>
      <c r="AD56" s="566"/>
      <c r="AE56" s="566"/>
    </row>
    <row r="58" spans="1:31">
      <c r="A58" s="80" t="s">
        <v>386</v>
      </c>
      <c r="B58" s="564"/>
      <c r="C58" s="564"/>
      <c r="D58" s="564"/>
      <c r="E58" s="564"/>
      <c r="F58" s="564"/>
      <c r="G58" s="566"/>
      <c r="H58" s="566"/>
      <c r="I58" s="566"/>
      <c r="J58" s="566"/>
      <c r="K58" s="566"/>
      <c r="L58" s="566"/>
      <c r="M58" s="566"/>
      <c r="N58" s="566"/>
      <c r="O58" s="566"/>
      <c r="P58" s="566"/>
      <c r="Q58" s="566"/>
      <c r="R58" s="566"/>
      <c r="S58" s="566"/>
      <c r="T58" s="566"/>
      <c r="U58" s="566"/>
      <c r="V58" s="566"/>
      <c r="W58" s="566"/>
      <c r="X58" s="566"/>
      <c r="Y58" s="566"/>
      <c r="Z58" s="566"/>
      <c r="AA58" s="566"/>
      <c r="AB58" s="566"/>
      <c r="AC58" s="566"/>
      <c r="AD58" s="566"/>
      <c r="AE58" s="566"/>
    </row>
    <row r="60" spans="1:31">
      <c r="A60" s="555"/>
      <c r="B60" s="556"/>
      <c r="C60" s="556"/>
      <c r="D60" s="556"/>
      <c r="E60" s="659" t="s">
        <v>393</v>
      </c>
      <c r="F60" s="659"/>
      <c r="G60" s="494">
        <v>1.0657700000000001</v>
      </c>
      <c r="H60" s="555"/>
      <c r="I60" s="81" t="s">
        <v>387</v>
      </c>
      <c r="J60" s="81" t="s">
        <v>388</v>
      </c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55"/>
      <c r="AB60" s="555"/>
      <c r="AC60" s="555"/>
      <c r="AD60" s="555"/>
      <c r="AE60" s="555"/>
    </row>
    <row r="61" spans="1:31">
      <c r="A61" s="555"/>
      <c r="B61" s="556"/>
      <c r="C61" s="556"/>
      <c r="D61" s="556"/>
      <c r="E61" s="556"/>
      <c r="F61" s="556"/>
      <c r="G61" s="555"/>
      <c r="H61" s="555"/>
      <c r="I61" s="81" t="s">
        <v>474</v>
      </c>
      <c r="J61" s="81" t="s">
        <v>475</v>
      </c>
      <c r="K61" s="555"/>
      <c r="L61" s="555"/>
      <c r="M61" s="555"/>
      <c r="N61" s="555"/>
      <c r="O61" s="555"/>
      <c r="P61" s="555"/>
      <c r="Q61" s="555"/>
      <c r="R61" s="555"/>
      <c r="S61" s="555"/>
      <c r="T61" s="555"/>
      <c r="U61" s="555"/>
      <c r="V61" s="555"/>
      <c r="W61" s="555"/>
      <c r="X61" s="555"/>
      <c r="Y61" s="555"/>
      <c r="Z61" s="555"/>
      <c r="AA61" s="555"/>
      <c r="AB61" s="555"/>
      <c r="AC61" s="555"/>
      <c r="AD61" s="555"/>
      <c r="AE61" s="555"/>
    </row>
    <row r="62" spans="1:31">
      <c r="A62" s="93"/>
      <c r="B62" s="87" t="s">
        <v>476</v>
      </c>
      <c r="C62" s="87" t="s">
        <v>436</v>
      </c>
      <c r="D62" s="87" t="s">
        <v>437</v>
      </c>
      <c r="E62" s="87" t="s">
        <v>438</v>
      </c>
      <c r="F62" s="87" t="s">
        <v>439</v>
      </c>
      <c r="G62" s="87" t="s">
        <v>440</v>
      </c>
      <c r="H62" s="87" t="s">
        <v>441</v>
      </c>
      <c r="I62" s="87" t="s">
        <v>442</v>
      </c>
      <c r="J62" s="88" t="s">
        <v>477</v>
      </c>
      <c r="K62" s="88" t="s">
        <v>435</v>
      </c>
      <c r="L62" s="88" t="s">
        <v>436</v>
      </c>
      <c r="M62" s="88" t="s">
        <v>437</v>
      </c>
      <c r="N62" s="88" t="s">
        <v>438</v>
      </c>
      <c r="O62" s="88" t="s">
        <v>439</v>
      </c>
      <c r="P62" s="88" t="s">
        <v>440</v>
      </c>
      <c r="Q62" s="88" t="s">
        <v>441</v>
      </c>
      <c r="R62" s="88" t="s">
        <v>442</v>
      </c>
      <c r="S62" s="88" t="s">
        <v>443</v>
      </c>
      <c r="T62" s="88" t="s">
        <v>478</v>
      </c>
      <c r="U62" s="88" t="s">
        <v>479</v>
      </c>
      <c r="V62" s="88" t="s">
        <v>480</v>
      </c>
      <c r="W62" s="88" t="s">
        <v>481</v>
      </c>
      <c r="X62" s="88" t="s">
        <v>482</v>
      </c>
      <c r="Y62" s="88" t="s">
        <v>483</v>
      </c>
      <c r="Z62" s="88" t="s">
        <v>484</v>
      </c>
      <c r="AA62" s="88" t="s">
        <v>485</v>
      </c>
      <c r="AB62" s="88" t="s">
        <v>486</v>
      </c>
      <c r="AC62" s="88" t="s">
        <v>487</v>
      </c>
      <c r="AD62" s="88" t="s">
        <v>488</v>
      </c>
      <c r="AE62" s="88" t="s">
        <v>489</v>
      </c>
    </row>
    <row r="63" spans="1:31">
      <c r="A63" s="555" t="s">
        <v>178</v>
      </c>
      <c r="B63" s="569">
        <v>0.15</v>
      </c>
      <c r="C63" s="569">
        <v>0.155</v>
      </c>
      <c r="D63" s="569">
        <v>0.16</v>
      </c>
      <c r="E63" s="569">
        <v>0.16500000000000001</v>
      </c>
      <c r="F63" s="569">
        <v>0.17</v>
      </c>
      <c r="G63" s="568">
        <v>0.17</v>
      </c>
      <c r="H63" s="491">
        <v>0.18</v>
      </c>
      <c r="I63" s="492">
        <v>0.19</v>
      </c>
      <c r="J63" s="492">
        <v>0.22</v>
      </c>
      <c r="K63" s="509">
        <f t="shared" ref="K63:W64" si="31">J63</f>
        <v>0.22</v>
      </c>
      <c r="L63" s="509">
        <f t="shared" si="31"/>
        <v>0.22</v>
      </c>
      <c r="M63" s="509">
        <f t="shared" si="31"/>
        <v>0.22</v>
      </c>
      <c r="N63" s="509">
        <f t="shared" si="31"/>
        <v>0.22</v>
      </c>
      <c r="O63" s="509">
        <f t="shared" si="31"/>
        <v>0.22</v>
      </c>
      <c r="P63" s="509">
        <f t="shared" si="31"/>
        <v>0.22</v>
      </c>
      <c r="Q63" s="509">
        <f t="shared" si="31"/>
        <v>0.22</v>
      </c>
      <c r="R63" s="509">
        <f t="shared" si="31"/>
        <v>0.22</v>
      </c>
      <c r="S63" s="509">
        <f t="shared" si="31"/>
        <v>0.22</v>
      </c>
      <c r="T63" s="509">
        <f t="shared" si="31"/>
        <v>0.22</v>
      </c>
      <c r="U63" s="509">
        <f t="shared" si="31"/>
        <v>0.22</v>
      </c>
      <c r="V63" s="509">
        <f t="shared" si="31"/>
        <v>0.22</v>
      </c>
      <c r="W63" s="509">
        <f t="shared" si="31"/>
        <v>0.22</v>
      </c>
      <c r="X63" s="509">
        <f t="shared" ref="X63:AD64" si="32">W63</f>
        <v>0.22</v>
      </c>
      <c r="Y63" s="509">
        <f t="shared" si="32"/>
        <v>0.22</v>
      </c>
      <c r="Z63" s="509">
        <f t="shared" si="32"/>
        <v>0.22</v>
      </c>
      <c r="AA63" s="509">
        <f t="shared" si="32"/>
        <v>0.22</v>
      </c>
      <c r="AB63" s="509">
        <f t="shared" si="32"/>
        <v>0.22</v>
      </c>
      <c r="AC63" s="509">
        <f t="shared" si="32"/>
        <v>0.22</v>
      </c>
      <c r="AD63" s="509">
        <f t="shared" si="32"/>
        <v>0.22</v>
      </c>
      <c r="AE63" s="509">
        <f>AD63</f>
        <v>0.22</v>
      </c>
    </row>
    <row r="64" spans="1:31">
      <c r="A64" s="555" t="s">
        <v>180</v>
      </c>
      <c r="B64" s="569">
        <v>7.9600000000000004E-2</v>
      </c>
      <c r="C64" s="569">
        <v>0.10349999999999999</v>
      </c>
      <c r="D64" s="569">
        <v>0.1012</v>
      </c>
      <c r="E64" s="569">
        <v>0.1012</v>
      </c>
      <c r="F64" s="569">
        <v>8.0699999999999994E-2</v>
      </c>
      <c r="G64" s="568">
        <v>9.3899999999999997E-2</v>
      </c>
      <c r="H64" s="492">
        <v>0.1014</v>
      </c>
      <c r="I64" s="492">
        <v>0.1014</v>
      </c>
      <c r="J64" s="492">
        <v>0.1014</v>
      </c>
      <c r="K64" s="509">
        <f t="shared" si="31"/>
        <v>0.1014</v>
      </c>
      <c r="L64" s="509">
        <f t="shared" si="31"/>
        <v>0.1014</v>
      </c>
      <c r="M64" s="509">
        <f t="shared" si="31"/>
        <v>0.1014</v>
      </c>
      <c r="N64" s="509">
        <f t="shared" si="31"/>
        <v>0.1014</v>
      </c>
      <c r="O64" s="509">
        <f t="shared" si="31"/>
        <v>0.1014</v>
      </c>
      <c r="P64" s="509">
        <f t="shared" si="31"/>
        <v>0.1014</v>
      </c>
      <c r="Q64" s="509">
        <f t="shared" si="31"/>
        <v>0.1014</v>
      </c>
      <c r="R64" s="509">
        <f t="shared" si="31"/>
        <v>0.1014</v>
      </c>
      <c r="S64" s="509">
        <f t="shared" si="31"/>
        <v>0.1014</v>
      </c>
      <c r="T64" s="509">
        <f t="shared" si="31"/>
        <v>0.1014</v>
      </c>
      <c r="U64" s="509">
        <f t="shared" si="31"/>
        <v>0.1014</v>
      </c>
      <c r="V64" s="509">
        <f t="shared" si="31"/>
        <v>0.1014</v>
      </c>
      <c r="W64" s="509">
        <f t="shared" si="31"/>
        <v>0.1014</v>
      </c>
      <c r="X64" s="509">
        <f t="shared" si="32"/>
        <v>0.1014</v>
      </c>
      <c r="Y64" s="509">
        <f t="shared" si="32"/>
        <v>0.1014</v>
      </c>
      <c r="Z64" s="509">
        <f t="shared" si="32"/>
        <v>0.1014</v>
      </c>
      <c r="AA64" s="509">
        <f t="shared" si="32"/>
        <v>0.1014</v>
      </c>
      <c r="AB64" s="509">
        <f t="shared" si="32"/>
        <v>0.1014</v>
      </c>
      <c r="AC64" s="509">
        <f t="shared" si="32"/>
        <v>0.1014</v>
      </c>
      <c r="AD64" s="509">
        <f t="shared" si="32"/>
        <v>0.1014</v>
      </c>
      <c r="AE64" s="509">
        <f>AD64</f>
        <v>0.1014</v>
      </c>
    </row>
    <row r="65" spans="1:31">
      <c r="A65" s="555" t="s">
        <v>181</v>
      </c>
      <c r="B65" s="572">
        <v>0</v>
      </c>
      <c r="C65" s="572">
        <v>0</v>
      </c>
      <c r="D65" s="572">
        <v>0</v>
      </c>
      <c r="E65" s="572">
        <v>0</v>
      </c>
      <c r="F65" s="572">
        <v>7.7799999999999994E-2</v>
      </c>
      <c r="G65" s="568">
        <v>0.12690000000000001</v>
      </c>
      <c r="H65" s="492">
        <v>0.14330000000000001</v>
      </c>
      <c r="I65" s="492">
        <v>0.14330000000000001</v>
      </c>
      <c r="J65" s="492">
        <v>0.14330000000000001</v>
      </c>
      <c r="K65" s="510">
        <f t="shared" ref="K65:AE65" si="33">J65*$G$60</f>
        <v>0.15272484100000003</v>
      </c>
      <c r="L65" s="510">
        <f t="shared" si="33"/>
        <v>0.16276955379257005</v>
      </c>
      <c r="M65" s="510">
        <f t="shared" si="33"/>
        <v>0.17347490734550738</v>
      </c>
      <c r="N65" s="510">
        <f t="shared" si="33"/>
        <v>0.18488435200162143</v>
      </c>
      <c r="O65" s="510">
        <f t="shared" si="33"/>
        <v>0.19704419583276808</v>
      </c>
      <c r="P65" s="510">
        <f t="shared" si="33"/>
        <v>0.21000379259268925</v>
      </c>
      <c r="Q65" s="510">
        <f t="shared" si="33"/>
        <v>0.22381574203151045</v>
      </c>
      <c r="R65" s="510">
        <f t="shared" si="33"/>
        <v>0.2385361033849229</v>
      </c>
      <c r="S65" s="510">
        <f t="shared" si="33"/>
        <v>0.25422462290454928</v>
      </c>
      <c r="T65" s="510">
        <f t="shared" si="33"/>
        <v>0.27094497635298154</v>
      </c>
      <c r="U65" s="510">
        <f t="shared" si="33"/>
        <v>0.28876502744771715</v>
      </c>
      <c r="V65" s="510">
        <f t="shared" si="33"/>
        <v>0.30775710330295353</v>
      </c>
      <c r="W65" s="510">
        <f t="shared" si="33"/>
        <v>0.32799828798718883</v>
      </c>
      <c r="X65" s="510">
        <f t="shared" si="33"/>
        <v>0.34957073538810629</v>
      </c>
      <c r="Y65" s="510">
        <f t="shared" si="33"/>
        <v>0.37256200265458206</v>
      </c>
      <c r="Z65" s="510">
        <f t="shared" si="33"/>
        <v>0.39706540556917397</v>
      </c>
      <c r="AA65" s="510">
        <f t="shared" si="33"/>
        <v>0.42318039729345858</v>
      </c>
      <c r="AB65" s="510">
        <f t="shared" si="33"/>
        <v>0.45101297202344937</v>
      </c>
      <c r="AC65" s="510">
        <f t="shared" si="33"/>
        <v>0.48067609519343169</v>
      </c>
      <c r="AD65" s="510">
        <f t="shared" si="33"/>
        <v>0.51229016197430377</v>
      </c>
      <c r="AE65" s="510">
        <f t="shared" si="33"/>
        <v>0.5459834859273538</v>
      </c>
    </row>
    <row r="66" spans="1:31">
      <c r="A66" s="555" t="s">
        <v>182</v>
      </c>
      <c r="B66" s="569">
        <v>7.0199999999999999E-2</v>
      </c>
      <c r="C66" s="569">
        <v>6.8400000000000002E-2</v>
      </c>
      <c r="D66" s="569">
        <v>6.8099999999999994E-2</v>
      </c>
      <c r="E66" s="569">
        <v>6.8099999999999994E-2</v>
      </c>
      <c r="F66" s="569">
        <v>7.6200000000000004E-2</v>
      </c>
      <c r="G66" s="568">
        <v>7.5999999999999998E-2</v>
      </c>
      <c r="H66" s="492">
        <v>7.6899999999999996E-2</v>
      </c>
      <c r="I66" s="492">
        <v>7.6899999999999996E-2</v>
      </c>
      <c r="J66" s="492">
        <v>7.6899999999999996E-2</v>
      </c>
      <c r="K66" s="509">
        <f t="shared" ref="K66:W66" si="34">J66</f>
        <v>7.6899999999999996E-2</v>
      </c>
      <c r="L66" s="509">
        <f t="shared" si="34"/>
        <v>7.6899999999999996E-2</v>
      </c>
      <c r="M66" s="509">
        <f t="shared" si="34"/>
        <v>7.6899999999999996E-2</v>
      </c>
      <c r="N66" s="509">
        <f t="shared" si="34"/>
        <v>7.6899999999999996E-2</v>
      </c>
      <c r="O66" s="509">
        <f t="shared" si="34"/>
        <v>7.6899999999999996E-2</v>
      </c>
      <c r="P66" s="509">
        <f t="shared" si="34"/>
        <v>7.6899999999999996E-2</v>
      </c>
      <c r="Q66" s="509">
        <f t="shared" si="34"/>
        <v>7.6899999999999996E-2</v>
      </c>
      <c r="R66" s="509">
        <f t="shared" si="34"/>
        <v>7.6899999999999996E-2</v>
      </c>
      <c r="S66" s="509">
        <f t="shared" si="34"/>
        <v>7.6899999999999996E-2</v>
      </c>
      <c r="T66" s="509">
        <f t="shared" si="34"/>
        <v>7.6899999999999996E-2</v>
      </c>
      <c r="U66" s="509">
        <f t="shared" si="34"/>
        <v>7.6899999999999996E-2</v>
      </c>
      <c r="V66" s="509">
        <f t="shared" si="34"/>
        <v>7.6899999999999996E-2</v>
      </c>
      <c r="W66" s="509">
        <f t="shared" si="34"/>
        <v>7.6899999999999996E-2</v>
      </c>
      <c r="X66" s="509">
        <f t="shared" ref="W66:AD71" si="35">W66</f>
        <v>7.6899999999999996E-2</v>
      </c>
      <c r="Y66" s="509">
        <f t="shared" si="35"/>
        <v>7.6899999999999996E-2</v>
      </c>
      <c r="Z66" s="509">
        <f t="shared" si="35"/>
        <v>7.6899999999999996E-2</v>
      </c>
      <c r="AA66" s="509">
        <f t="shared" si="35"/>
        <v>7.6899999999999996E-2</v>
      </c>
      <c r="AB66" s="509">
        <f t="shared" si="35"/>
        <v>7.6899999999999996E-2</v>
      </c>
      <c r="AC66" s="509">
        <f t="shared" si="35"/>
        <v>7.6899999999999996E-2</v>
      </c>
      <c r="AD66" s="509">
        <f t="shared" si="35"/>
        <v>7.6899999999999996E-2</v>
      </c>
      <c r="AE66" s="509">
        <f t="shared" ref="AE66:AE71" si="36">AD66</f>
        <v>7.6899999999999996E-2</v>
      </c>
    </row>
    <row r="67" spans="1:31">
      <c r="A67" s="555" t="s">
        <v>183</v>
      </c>
      <c r="B67" s="569">
        <v>6.2E-2</v>
      </c>
      <c r="C67" s="569">
        <v>6.2E-2</v>
      </c>
      <c r="D67" s="569">
        <v>6.2E-2</v>
      </c>
      <c r="E67" s="569">
        <v>6.2E-2</v>
      </c>
      <c r="F67" s="569">
        <v>6.2E-2</v>
      </c>
      <c r="G67" s="568">
        <v>6.2E-2</v>
      </c>
      <c r="H67" s="492">
        <f t="shared" ref="H67:I67" si="37">AVERAGE($B$22:$F$22)</f>
        <v>6.2E-2</v>
      </c>
      <c r="I67" s="492">
        <f t="shared" si="37"/>
        <v>6.2E-2</v>
      </c>
      <c r="J67" s="492">
        <v>6.2E-2</v>
      </c>
      <c r="K67" s="509">
        <f t="shared" ref="K67:V71" si="38">J67</f>
        <v>6.2E-2</v>
      </c>
      <c r="L67" s="509">
        <f t="shared" si="38"/>
        <v>6.2E-2</v>
      </c>
      <c r="M67" s="509">
        <f t="shared" si="38"/>
        <v>6.2E-2</v>
      </c>
      <c r="N67" s="509">
        <f t="shared" si="38"/>
        <v>6.2E-2</v>
      </c>
      <c r="O67" s="509">
        <f t="shared" si="38"/>
        <v>6.2E-2</v>
      </c>
      <c r="P67" s="509">
        <f t="shared" si="38"/>
        <v>6.2E-2</v>
      </c>
      <c r="Q67" s="509">
        <f t="shared" si="38"/>
        <v>6.2E-2</v>
      </c>
      <c r="R67" s="509">
        <f t="shared" si="38"/>
        <v>6.2E-2</v>
      </c>
      <c r="S67" s="509">
        <f t="shared" si="38"/>
        <v>6.2E-2</v>
      </c>
      <c r="T67" s="509">
        <f t="shared" si="38"/>
        <v>6.2E-2</v>
      </c>
      <c r="U67" s="509">
        <f t="shared" si="38"/>
        <v>6.2E-2</v>
      </c>
      <c r="V67" s="509">
        <f t="shared" si="38"/>
        <v>6.2E-2</v>
      </c>
      <c r="W67" s="509">
        <f t="shared" si="35"/>
        <v>6.2E-2</v>
      </c>
      <c r="X67" s="509">
        <f t="shared" si="35"/>
        <v>6.2E-2</v>
      </c>
      <c r="Y67" s="509">
        <f t="shared" si="35"/>
        <v>6.2E-2</v>
      </c>
      <c r="Z67" s="509">
        <f t="shared" si="35"/>
        <v>6.2E-2</v>
      </c>
      <c r="AA67" s="509">
        <f t="shared" si="35"/>
        <v>6.2E-2</v>
      </c>
      <c r="AB67" s="509">
        <f t="shared" si="35"/>
        <v>6.2E-2</v>
      </c>
      <c r="AC67" s="509">
        <f t="shared" si="35"/>
        <v>6.2E-2</v>
      </c>
      <c r="AD67" s="509">
        <f t="shared" si="35"/>
        <v>6.2E-2</v>
      </c>
      <c r="AE67" s="509">
        <f t="shared" si="36"/>
        <v>6.2E-2</v>
      </c>
    </row>
    <row r="68" spans="1:31">
      <c r="A68" s="555" t="s">
        <v>184</v>
      </c>
      <c r="B68" s="569">
        <v>1.4500000000000001E-2</v>
      </c>
      <c r="C68" s="569">
        <v>1.4500000000000001E-2</v>
      </c>
      <c r="D68" s="569">
        <v>1.4500000000000001E-2</v>
      </c>
      <c r="E68" s="569">
        <v>1.4500000000000001E-2</v>
      </c>
      <c r="F68" s="569">
        <v>1.4500000000000001E-2</v>
      </c>
      <c r="G68" s="568">
        <v>1.4500000000000001E-2</v>
      </c>
      <c r="H68" s="492">
        <v>1.4500000000000001E-2</v>
      </c>
      <c r="I68" s="492">
        <f t="shared" ref="I68:J68" si="39">AVERAGE($B$23:$F$23)</f>
        <v>1.4500000000000002E-2</v>
      </c>
      <c r="J68" s="492">
        <f t="shared" si="39"/>
        <v>1.4500000000000002E-2</v>
      </c>
      <c r="K68" s="509">
        <f t="shared" si="38"/>
        <v>1.4500000000000002E-2</v>
      </c>
      <c r="L68" s="509">
        <f t="shared" si="38"/>
        <v>1.4500000000000002E-2</v>
      </c>
      <c r="M68" s="509">
        <f t="shared" si="38"/>
        <v>1.4500000000000002E-2</v>
      </c>
      <c r="N68" s="509">
        <f t="shared" si="38"/>
        <v>1.4500000000000002E-2</v>
      </c>
      <c r="O68" s="509">
        <f t="shared" si="38"/>
        <v>1.4500000000000002E-2</v>
      </c>
      <c r="P68" s="509">
        <f t="shared" si="38"/>
        <v>1.4500000000000002E-2</v>
      </c>
      <c r="Q68" s="509">
        <f t="shared" si="38"/>
        <v>1.4500000000000002E-2</v>
      </c>
      <c r="R68" s="509">
        <f t="shared" si="38"/>
        <v>1.4500000000000002E-2</v>
      </c>
      <c r="S68" s="509">
        <f t="shared" si="38"/>
        <v>1.4500000000000002E-2</v>
      </c>
      <c r="T68" s="509">
        <f t="shared" si="38"/>
        <v>1.4500000000000002E-2</v>
      </c>
      <c r="U68" s="509">
        <f t="shared" si="38"/>
        <v>1.4500000000000002E-2</v>
      </c>
      <c r="V68" s="509">
        <f t="shared" si="38"/>
        <v>1.4500000000000002E-2</v>
      </c>
      <c r="W68" s="509">
        <f t="shared" si="35"/>
        <v>1.4500000000000002E-2</v>
      </c>
      <c r="X68" s="509">
        <f t="shared" si="35"/>
        <v>1.4500000000000002E-2</v>
      </c>
      <c r="Y68" s="509">
        <f t="shared" si="35"/>
        <v>1.4500000000000002E-2</v>
      </c>
      <c r="Z68" s="509">
        <f t="shared" si="35"/>
        <v>1.4500000000000002E-2</v>
      </c>
      <c r="AA68" s="509">
        <f t="shared" si="35"/>
        <v>1.4500000000000002E-2</v>
      </c>
      <c r="AB68" s="509">
        <f t="shared" si="35"/>
        <v>1.4500000000000002E-2</v>
      </c>
      <c r="AC68" s="509">
        <f t="shared" si="35"/>
        <v>1.4500000000000002E-2</v>
      </c>
      <c r="AD68" s="509">
        <f t="shared" si="35"/>
        <v>1.4500000000000002E-2</v>
      </c>
      <c r="AE68" s="509">
        <f t="shared" si="36"/>
        <v>1.4500000000000002E-2</v>
      </c>
    </row>
    <row r="69" spans="1:31">
      <c r="A69" s="555" t="s">
        <v>185</v>
      </c>
      <c r="B69" s="569">
        <v>1.2200000000000001E-2</v>
      </c>
      <c r="C69" s="569">
        <v>8.8000000000000005E-3</v>
      </c>
      <c r="D69" s="569">
        <v>1.1599999999999999E-2</v>
      </c>
      <c r="E69" s="569">
        <v>1.1599999999999999E-2</v>
      </c>
      <c r="F69" s="569">
        <v>1.2699999999999999E-2</v>
      </c>
      <c r="G69" s="568">
        <v>1.06E-2</v>
      </c>
      <c r="H69" s="492">
        <v>1.24E-2</v>
      </c>
      <c r="I69" s="492">
        <v>1.24E-2</v>
      </c>
      <c r="J69" s="492">
        <v>1.24E-2</v>
      </c>
      <c r="K69" s="509">
        <f t="shared" si="38"/>
        <v>1.24E-2</v>
      </c>
      <c r="L69" s="509">
        <f t="shared" si="38"/>
        <v>1.24E-2</v>
      </c>
      <c r="M69" s="509">
        <f t="shared" si="38"/>
        <v>1.24E-2</v>
      </c>
      <c r="N69" s="509">
        <f t="shared" si="38"/>
        <v>1.24E-2</v>
      </c>
      <c r="O69" s="509">
        <f t="shared" si="38"/>
        <v>1.24E-2</v>
      </c>
      <c r="P69" s="509">
        <f t="shared" si="38"/>
        <v>1.24E-2</v>
      </c>
      <c r="Q69" s="509">
        <f t="shared" si="38"/>
        <v>1.24E-2</v>
      </c>
      <c r="R69" s="509">
        <f t="shared" si="38"/>
        <v>1.24E-2</v>
      </c>
      <c r="S69" s="509">
        <f t="shared" si="38"/>
        <v>1.24E-2</v>
      </c>
      <c r="T69" s="509">
        <f t="shared" si="38"/>
        <v>1.24E-2</v>
      </c>
      <c r="U69" s="509">
        <f t="shared" si="38"/>
        <v>1.24E-2</v>
      </c>
      <c r="V69" s="509">
        <f t="shared" si="38"/>
        <v>1.24E-2</v>
      </c>
      <c r="W69" s="509">
        <f t="shared" si="35"/>
        <v>1.24E-2</v>
      </c>
      <c r="X69" s="509">
        <f t="shared" si="35"/>
        <v>1.24E-2</v>
      </c>
      <c r="Y69" s="509">
        <f t="shared" si="35"/>
        <v>1.24E-2</v>
      </c>
      <c r="Z69" s="509">
        <f t="shared" si="35"/>
        <v>1.24E-2</v>
      </c>
      <c r="AA69" s="509">
        <f t="shared" si="35"/>
        <v>1.24E-2</v>
      </c>
      <c r="AB69" s="509">
        <f t="shared" si="35"/>
        <v>1.24E-2</v>
      </c>
      <c r="AC69" s="509">
        <f t="shared" si="35"/>
        <v>1.24E-2</v>
      </c>
      <c r="AD69" s="509">
        <f t="shared" si="35"/>
        <v>1.24E-2</v>
      </c>
      <c r="AE69" s="509">
        <f t="shared" si="36"/>
        <v>1.24E-2</v>
      </c>
    </row>
    <row r="70" spans="1:31">
      <c r="A70" s="555" t="s">
        <v>186</v>
      </c>
      <c r="B70" s="569">
        <v>9.1000000000000004E-3</v>
      </c>
      <c r="C70" s="569">
        <v>3.0999999999999999E-3</v>
      </c>
      <c r="D70" s="569">
        <v>2.5000000000000001E-3</v>
      </c>
      <c r="E70" s="569">
        <v>2.5000000000000001E-3</v>
      </c>
      <c r="F70" s="569">
        <v>1.5E-3</v>
      </c>
      <c r="G70" s="568">
        <v>8.9999999999999998E-4</v>
      </c>
      <c r="H70" s="492">
        <v>2.0000000000000001E-4</v>
      </c>
      <c r="I70" s="492">
        <v>2.0000000000000001E-4</v>
      </c>
      <c r="J70" s="492">
        <v>2.0000000000000001E-4</v>
      </c>
      <c r="K70" s="509">
        <f t="shared" si="38"/>
        <v>2.0000000000000001E-4</v>
      </c>
      <c r="L70" s="509">
        <f t="shared" si="38"/>
        <v>2.0000000000000001E-4</v>
      </c>
      <c r="M70" s="509">
        <f t="shared" si="38"/>
        <v>2.0000000000000001E-4</v>
      </c>
      <c r="N70" s="509">
        <f t="shared" si="38"/>
        <v>2.0000000000000001E-4</v>
      </c>
      <c r="O70" s="509">
        <f t="shared" si="38"/>
        <v>2.0000000000000001E-4</v>
      </c>
      <c r="P70" s="509">
        <f t="shared" si="38"/>
        <v>2.0000000000000001E-4</v>
      </c>
      <c r="Q70" s="509">
        <f t="shared" si="38"/>
        <v>2.0000000000000001E-4</v>
      </c>
      <c r="R70" s="509">
        <f t="shared" si="38"/>
        <v>2.0000000000000001E-4</v>
      </c>
      <c r="S70" s="509">
        <f t="shared" si="38"/>
        <v>2.0000000000000001E-4</v>
      </c>
      <c r="T70" s="509">
        <f t="shared" si="38"/>
        <v>2.0000000000000001E-4</v>
      </c>
      <c r="U70" s="509">
        <f t="shared" si="38"/>
        <v>2.0000000000000001E-4</v>
      </c>
      <c r="V70" s="509">
        <f t="shared" si="38"/>
        <v>2.0000000000000001E-4</v>
      </c>
      <c r="W70" s="509">
        <f t="shared" si="35"/>
        <v>2.0000000000000001E-4</v>
      </c>
      <c r="X70" s="509">
        <f t="shared" si="35"/>
        <v>2.0000000000000001E-4</v>
      </c>
      <c r="Y70" s="509">
        <f t="shared" si="35"/>
        <v>2.0000000000000001E-4</v>
      </c>
      <c r="Z70" s="509">
        <f t="shared" si="35"/>
        <v>2.0000000000000001E-4</v>
      </c>
      <c r="AA70" s="509">
        <f t="shared" si="35"/>
        <v>2.0000000000000001E-4</v>
      </c>
      <c r="AB70" s="509">
        <f t="shared" si="35"/>
        <v>2.0000000000000001E-4</v>
      </c>
      <c r="AC70" s="509">
        <f t="shared" si="35"/>
        <v>2.0000000000000001E-4</v>
      </c>
      <c r="AD70" s="509">
        <f t="shared" si="35"/>
        <v>2.0000000000000001E-4</v>
      </c>
      <c r="AE70" s="509">
        <f t="shared" si="36"/>
        <v>2.0000000000000001E-4</v>
      </c>
    </row>
    <row r="71" spans="1:31">
      <c r="A71" s="555" t="s">
        <v>187</v>
      </c>
      <c r="B71" s="569">
        <v>0</v>
      </c>
      <c r="C71" s="569">
        <v>1E-4</v>
      </c>
      <c r="D71" s="569">
        <v>0</v>
      </c>
      <c r="E71" s="569">
        <v>0</v>
      </c>
      <c r="F71" s="569">
        <v>0</v>
      </c>
      <c r="G71" s="568">
        <f>AVERAGE($B$26:$F$26)</f>
        <v>2.0000000000000002E-5</v>
      </c>
      <c r="H71" s="493">
        <v>1E-4</v>
      </c>
      <c r="I71" s="492">
        <v>1E-4</v>
      </c>
      <c r="J71" s="492">
        <v>1E-4</v>
      </c>
      <c r="K71" s="509">
        <f t="shared" si="38"/>
        <v>1E-4</v>
      </c>
      <c r="L71" s="509">
        <f t="shared" si="38"/>
        <v>1E-4</v>
      </c>
      <c r="M71" s="509">
        <f t="shared" si="38"/>
        <v>1E-4</v>
      </c>
      <c r="N71" s="509">
        <f t="shared" si="38"/>
        <v>1E-4</v>
      </c>
      <c r="O71" s="509">
        <f t="shared" si="38"/>
        <v>1E-4</v>
      </c>
      <c r="P71" s="509">
        <f t="shared" si="38"/>
        <v>1E-4</v>
      </c>
      <c r="Q71" s="509">
        <f t="shared" si="38"/>
        <v>1E-4</v>
      </c>
      <c r="R71" s="509">
        <f t="shared" si="38"/>
        <v>1E-4</v>
      </c>
      <c r="S71" s="509">
        <f t="shared" si="38"/>
        <v>1E-4</v>
      </c>
      <c r="T71" s="509">
        <f t="shared" si="38"/>
        <v>1E-4</v>
      </c>
      <c r="U71" s="509">
        <f t="shared" si="38"/>
        <v>1E-4</v>
      </c>
      <c r="V71" s="509">
        <f t="shared" si="38"/>
        <v>1E-4</v>
      </c>
      <c r="W71" s="509">
        <f t="shared" si="35"/>
        <v>1E-4</v>
      </c>
      <c r="X71" s="509">
        <f t="shared" si="35"/>
        <v>1E-4</v>
      </c>
      <c r="Y71" s="509">
        <f t="shared" si="35"/>
        <v>1E-4</v>
      </c>
      <c r="Z71" s="509">
        <f t="shared" si="35"/>
        <v>1E-4</v>
      </c>
      <c r="AA71" s="509">
        <f t="shared" si="35"/>
        <v>1E-4</v>
      </c>
      <c r="AB71" s="509">
        <f t="shared" si="35"/>
        <v>1E-4</v>
      </c>
      <c r="AC71" s="509">
        <f t="shared" si="35"/>
        <v>1E-4</v>
      </c>
      <c r="AD71" s="509">
        <f t="shared" si="35"/>
        <v>1E-4</v>
      </c>
      <c r="AE71" s="509">
        <f t="shared" si="36"/>
        <v>1E-4</v>
      </c>
    </row>
    <row r="72" spans="1:31" ht="15" thickBot="1">
      <c r="A72" s="72" t="s">
        <v>389</v>
      </c>
      <c r="B72" s="524">
        <f t="shared" ref="B72:E72" si="40">SUM(B63:B71)</f>
        <v>0.39760000000000001</v>
      </c>
      <c r="C72" s="524">
        <f t="shared" si="40"/>
        <v>0.41539999999999999</v>
      </c>
      <c r="D72" s="524">
        <f t="shared" si="40"/>
        <v>0.4199</v>
      </c>
      <c r="E72" s="524">
        <f t="shared" si="40"/>
        <v>0.4249</v>
      </c>
      <c r="F72" s="524">
        <f>SUM(F63:F71)</f>
        <v>0.49540000000000001</v>
      </c>
      <c r="G72" s="524">
        <f>SUM(G63:G71)</f>
        <v>0.55482000000000009</v>
      </c>
      <c r="H72" s="524">
        <f t="shared" ref="H72:T72" si="41">SUM(H63:H71)</f>
        <v>0.59079999999999977</v>
      </c>
      <c r="I72" s="524">
        <f>SUM(I63:I71)</f>
        <v>0.60079999999999978</v>
      </c>
      <c r="J72" s="524">
        <f t="shared" si="41"/>
        <v>0.63079999999999981</v>
      </c>
      <c r="K72" s="524">
        <f t="shared" si="41"/>
        <v>0.64022484099999999</v>
      </c>
      <c r="L72" s="524">
        <f t="shared" si="41"/>
        <v>0.65026955379257001</v>
      </c>
      <c r="M72" s="524">
        <f t="shared" si="41"/>
        <v>0.66097490734550735</v>
      </c>
      <c r="N72" s="524">
        <f t="shared" si="41"/>
        <v>0.67238435200162128</v>
      </c>
      <c r="O72" s="524">
        <f t="shared" si="41"/>
        <v>0.68454419583276804</v>
      </c>
      <c r="P72" s="524">
        <f t="shared" si="41"/>
        <v>0.69750379259268924</v>
      </c>
      <c r="Q72" s="524">
        <f t="shared" si="41"/>
        <v>0.71131574203151038</v>
      </c>
      <c r="R72" s="524">
        <f t="shared" si="41"/>
        <v>0.72603610338492275</v>
      </c>
      <c r="S72" s="524">
        <f t="shared" si="41"/>
        <v>0.7417246229045491</v>
      </c>
      <c r="T72" s="524">
        <f t="shared" si="41"/>
        <v>0.75844497635298147</v>
      </c>
      <c r="U72" s="524">
        <f>SUM(U63:U71)</f>
        <v>0.77626502744771697</v>
      </c>
      <c r="V72" s="524">
        <f>SUM(V63:V71)</f>
        <v>0.79525710330295341</v>
      </c>
      <c r="W72" s="524">
        <f t="shared" ref="W72:AC72" si="42">SUM(W63:W71)</f>
        <v>0.81549828798718882</v>
      </c>
      <c r="X72" s="524">
        <f t="shared" si="42"/>
        <v>0.83707073538810617</v>
      </c>
      <c r="Y72" s="524">
        <f t="shared" si="42"/>
        <v>0.86006200265458199</v>
      </c>
      <c r="Z72" s="524">
        <f t="shared" si="42"/>
        <v>0.88456540556917385</v>
      </c>
      <c r="AA72" s="524">
        <f t="shared" si="42"/>
        <v>0.91068039729345851</v>
      </c>
      <c r="AB72" s="524">
        <f t="shared" si="42"/>
        <v>0.9385129720234493</v>
      </c>
      <c r="AC72" s="524">
        <f t="shared" si="42"/>
        <v>0.96817609519343151</v>
      </c>
      <c r="AD72" s="524">
        <f>SUM(AD63:AD71)</f>
        <v>0.9997901619743037</v>
      </c>
      <c r="AE72" s="524">
        <f>SUM(AE63:AE71)</f>
        <v>1.0334834859273536</v>
      </c>
    </row>
    <row r="73" spans="1:31" ht="15" thickTop="1">
      <c r="A73" s="566"/>
      <c r="B73" s="564"/>
      <c r="C73" s="564"/>
      <c r="D73" s="564"/>
      <c r="E73" s="564"/>
      <c r="F73" s="564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66"/>
      <c r="AB73" s="566"/>
      <c r="AC73" s="566"/>
      <c r="AD73" s="566"/>
      <c r="AE73" s="566"/>
    </row>
  </sheetData>
  <mergeCells count="2">
    <mergeCell ref="E43:F43"/>
    <mergeCell ref="E60:F60"/>
  </mergeCells>
  <phoneticPr fontId="73" type="noConversion"/>
  <pageMargins left="0.7" right="0.7" top="0.75" bottom="0.75" header="0.3" footer="0.3"/>
  <pageSetup orientation="portrait" verticalDpi="0" r:id="rId1"/>
  <customProperties>
    <customPr name="OrphanNamesChecked" r:id="rId2"/>
  </customProperties>
  <ignoredErrors>
    <ignoredError sqref="K20:AE20 K65:AE65 J32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4">
    <tabColor rgb="FF0070C0"/>
  </sheetPr>
  <dimension ref="A1:V45"/>
  <sheetViews>
    <sheetView showGridLines="0" zoomScale="90" zoomScaleNormal="90" workbookViewId="0"/>
  </sheetViews>
  <sheetFormatPr defaultColWidth="9.1796875" defaultRowHeight="14.5" outlineLevelRow="1"/>
  <cols>
    <col min="1" max="1" width="15.453125" style="50" customWidth="1"/>
    <col min="2" max="2" width="22.26953125" style="50" bestFit="1" customWidth="1"/>
    <col min="3" max="3" width="29.26953125" style="50" bestFit="1" customWidth="1"/>
    <col min="4" max="4" width="12.26953125" style="50" hidden="1" customWidth="1"/>
    <col min="5" max="18" width="12.26953125" style="50" customWidth="1"/>
    <col min="19" max="19" width="2.7265625" style="50" customWidth="1"/>
    <col min="20" max="20" width="12.26953125" style="50" bestFit="1" customWidth="1"/>
    <col min="21" max="16384" width="9.1796875" style="50"/>
  </cols>
  <sheetData>
    <row r="1" spans="1:20">
      <c r="A1" s="588" t="s">
        <v>451</v>
      </c>
      <c r="B1" s="49"/>
    </row>
    <row r="2" spans="1:20">
      <c r="B2" s="49"/>
    </row>
    <row r="3" spans="1:20" hidden="1">
      <c r="A3" s="51"/>
      <c r="B3" s="52"/>
    </row>
    <row r="4" spans="1:20" hidden="1">
      <c r="A4" s="660"/>
      <c r="B4" s="660"/>
    </row>
    <row r="5" spans="1:20" hidden="1">
      <c r="C5" s="76"/>
    </row>
    <row r="6" spans="1:20">
      <c r="A6" s="53" t="s">
        <v>394</v>
      </c>
      <c r="B6" s="53" t="s">
        <v>3</v>
      </c>
      <c r="D6" s="54" t="s">
        <v>379</v>
      </c>
      <c r="E6" s="55" t="s">
        <v>439</v>
      </c>
      <c r="F6" s="55" t="s">
        <v>440</v>
      </c>
      <c r="G6" s="55" t="s">
        <v>441</v>
      </c>
      <c r="H6" s="55" t="s">
        <v>442</v>
      </c>
      <c r="I6" s="592" t="s">
        <v>434</v>
      </c>
      <c r="J6" s="592" t="s">
        <v>435</v>
      </c>
      <c r="K6" s="592" t="s">
        <v>436</v>
      </c>
      <c r="L6" s="592" t="s">
        <v>437</v>
      </c>
      <c r="M6" s="592" t="s">
        <v>438</v>
      </c>
      <c r="N6" s="592" t="s">
        <v>439</v>
      </c>
      <c r="O6" s="592" t="s">
        <v>440</v>
      </c>
      <c r="P6" s="592" t="s">
        <v>441</v>
      </c>
      <c r="Q6" s="592" t="s">
        <v>442</v>
      </c>
      <c r="R6" s="592" t="s">
        <v>443</v>
      </c>
      <c r="S6" s="56"/>
      <c r="T6" s="54" t="s">
        <v>338</v>
      </c>
    </row>
    <row r="7" spans="1:20">
      <c r="A7" s="5"/>
      <c r="B7" s="5"/>
      <c r="C7" s="57" t="s">
        <v>395</v>
      </c>
    </row>
    <row r="8" spans="1:20" outlineLevel="1">
      <c r="A8" s="5"/>
      <c r="B8" s="5"/>
      <c r="C8" s="50" t="s">
        <v>337</v>
      </c>
      <c r="D8" s="58">
        <v>2338</v>
      </c>
      <c r="E8" s="58">
        <v>46926</v>
      </c>
      <c r="F8" s="58">
        <v>91114</v>
      </c>
      <c r="G8" s="58">
        <v>96447</v>
      </c>
      <c r="H8" s="58">
        <v>51060</v>
      </c>
      <c r="I8" s="58">
        <v>8510</v>
      </c>
      <c r="J8" s="58"/>
      <c r="K8" s="58"/>
      <c r="L8" s="58"/>
      <c r="M8" s="58"/>
      <c r="N8" s="58"/>
      <c r="O8" s="58"/>
      <c r="P8" s="58"/>
      <c r="Q8" s="58"/>
      <c r="R8" s="58"/>
      <c r="S8" s="59"/>
      <c r="T8" s="58">
        <f>SUM(D8:M8)</f>
        <v>296395</v>
      </c>
    </row>
    <row r="9" spans="1:20" outlineLevel="1">
      <c r="A9" s="5"/>
      <c r="B9" s="5"/>
      <c r="C9" s="50" t="s">
        <v>336</v>
      </c>
      <c r="D9" s="58"/>
      <c r="E9" s="58"/>
      <c r="F9" s="58">
        <f>308333+1</f>
        <v>308334</v>
      </c>
      <c r="G9" s="58">
        <v>1233333</v>
      </c>
      <c r="H9" s="58">
        <v>1233333</v>
      </c>
      <c r="I9" s="58">
        <v>925000</v>
      </c>
      <c r="J9" s="58"/>
      <c r="K9" s="58"/>
      <c r="L9" s="58"/>
      <c r="M9" s="58"/>
      <c r="N9" s="58"/>
      <c r="O9" s="58"/>
      <c r="P9" s="58"/>
      <c r="Q9" s="58"/>
      <c r="R9" s="58"/>
      <c r="S9" s="59"/>
      <c r="T9" s="58">
        <f>SUM(D9:M9)</f>
        <v>3700000</v>
      </c>
    </row>
    <row r="10" spans="1:20" s="57" customFormat="1">
      <c r="A10" s="533">
        <v>0</v>
      </c>
      <c r="B10" s="60" t="s">
        <v>396</v>
      </c>
      <c r="C10" s="57" t="s">
        <v>397</v>
      </c>
      <c r="D10" s="61">
        <f>SUM(D8:D9)</f>
        <v>2338</v>
      </c>
      <c r="E10" s="61">
        <f t="shared" ref="E10:I10" si="0">SUM(E8:E9)</f>
        <v>46926</v>
      </c>
      <c r="F10" s="61">
        <f t="shared" si="0"/>
        <v>399448</v>
      </c>
      <c r="G10" s="61">
        <f t="shared" si="0"/>
        <v>1329780</v>
      </c>
      <c r="H10" s="61">
        <f t="shared" si="0"/>
        <v>1284393</v>
      </c>
      <c r="I10" s="61">
        <f t="shared" si="0"/>
        <v>933510</v>
      </c>
      <c r="J10" s="62"/>
      <c r="K10" s="62"/>
      <c r="L10" s="62"/>
      <c r="M10" s="62"/>
      <c r="N10" s="62"/>
      <c r="O10" s="62"/>
      <c r="P10" s="62"/>
      <c r="Q10" s="62"/>
      <c r="R10" s="62"/>
      <c r="S10" s="63"/>
      <c r="T10" s="64">
        <f>SUM(D10:M10)</f>
        <v>3996395</v>
      </c>
    </row>
    <row r="11" spans="1:20">
      <c r="A11" s="5"/>
      <c r="B11" s="65"/>
      <c r="C11" s="50" t="s">
        <v>398</v>
      </c>
      <c r="D11" s="66">
        <f>D10/D$25</f>
        <v>6.6625044536619543E-5</v>
      </c>
      <c r="E11" s="66">
        <f t="shared" ref="E11:I11" si="1">E10/E$25</f>
        <v>1.3276729788049058E-3</v>
      </c>
      <c r="F11" s="66">
        <f t="shared" si="1"/>
        <v>1.1205750703915149E-2</v>
      </c>
      <c r="G11" s="66">
        <f t="shared" si="1"/>
        <v>3.7112889686318526E-2</v>
      </c>
      <c r="H11" s="66">
        <f t="shared" si="1"/>
        <v>3.5521991092018444E-2</v>
      </c>
      <c r="I11" s="66">
        <f t="shared" si="1"/>
        <v>2.5567031519498549E-2</v>
      </c>
    </row>
    <row r="12" spans="1:20">
      <c r="A12" s="5"/>
      <c r="B12" s="65"/>
    </row>
    <row r="13" spans="1:20">
      <c r="A13" s="5"/>
      <c r="B13" s="65"/>
      <c r="C13" s="57" t="s">
        <v>399</v>
      </c>
    </row>
    <row r="14" spans="1:20" outlineLevel="1">
      <c r="A14" s="5"/>
      <c r="B14" s="65"/>
      <c r="C14" s="50" t="s">
        <v>337</v>
      </c>
      <c r="D14" s="58">
        <v>2338</v>
      </c>
      <c r="E14" s="58">
        <v>46926</v>
      </c>
      <c r="F14" s="67">
        <v>99279</v>
      </c>
      <c r="G14" s="67">
        <v>136753</v>
      </c>
      <c r="H14" s="67">
        <v>103601</v>
      </c>
      <c r="I14" s="67">
        <v>70449</v>
      </c>
      <c r="J14" s="67">
        <v>37296</v>
      </c>
      <c r="K14" s="67">
        <v>6216</v>
      </c>
      <c r="L14" s="67"/>
      <c r="M14" s="67"/>
      <c r="N14" s="67"/>
      <c r="O14" s="67"/>
      <c r="P14" s="67"/>
      <c r="Q14" s="67"/>
      <c r="R14" s="67"/>
      <c r="S14" s="67"/>
      <c r="T14" s="67">
        <f>SUM(D14:M14)</f>
        <v>502858</v>
      </c>
    </row>
    <row r="15" spans="1:20" outlineLevel="1">
      <c r="A15" s="5"/>
      <c r="B15" s="65"/>
      <c r="C15" s="50" t="s">
        <v>336</v>
      </c>
      <c r="D15" s="67"/>
      <c r="E15" s="67"/>
      <c r="F15" s="67">
        <v>185000</v>
      </c>
      <c r="G15" s="67">
        <v>740000</v>
      </c>
      <c r="H15" s="67">
        <v>740000</v>
      </c>
      <c r="I15" s="67">
        <v>740000</v>
      </c>
      <c r="J15" s="67">
        <v>740000</v>
      </c>
      <c r="K15" s="67">
        <v>555000</v>
      </c>
      <c r="L15" s="67"/>
      <c r="M15" s="67"/>
      <c r="N15" s="67"/>
      <c r="O15" s="67"/>
      <c r="P15" s="67"/>
      <c r="Q15" s="67"/>
      <c r="R15" s="67"/>
      <c r="S15" s="67"/>
      <c r="T15" s="67">
        <f>SUM(D15:M15)</f>
        <v>3700000</v>
      </c>
    </row>
    <row r="16" spans="1:20">
      <c r="A16" s="533">
        <v>0</v>
      </c>
      <c r="B16" s="60" t="s">
        <v>400</v>
      </c>
      <c r="C16" s="57" t="s">
        <v>397</v>
      </c>
      <c r="D16" s="61">
        <f t="shared" ref="D16:K16" si="2">SUM(D14:D15)</f>
        <v>2338</v>
      </c>
      <c r="E16" s="61">
        <f t="shared" si="2"/>
        <v>46926</v>
      </c>
      <c r="F16" s="61">
        <f t="shared" si="2"/>
        <v>284279</v>
      </c>
      <c r="G16" s="61">
        <f t="shared" si="2"/>
        <v>876753</v>
      </c>
      <c r="H16" s="61">
        <f t="shared" si="2"/>
        <v>843601</v>
      </c>
      <c r="I16" s="61">
        <f t="shared" si="2"/>
        <v>810449</v>
      </c>
      <c r="J16" s="61">
        <f t="shared" si="2"/>
        <v>777296</v>
      </c>
      <c r="K16" s="61">
        <f t="shared" si="2"/>
        <v>561216</v>
      </c>
      <c r="L16" s="67"/>
      <c r="M16" s="67"/>
      <c r="N16" s="67"/>
      <c r="O16" s="67"/>
      <c r="P16" s="67"/>
      <c r="Q16" s="67"/>
      <c r="R16" s="67"/>
      <c r="S16" s="67"/>
      <c r="T16" s="68">
        <f>SUM(D16:M16)</f>
        <v>4202858</v>
      </c>
    </row>
    <row r="17" spans="1:22">
      <c r="A17" s="5"/>
      <c r="B17" s="65"/>
      <c r="C17" s="50" t="s">
        <v>398</v>
      </c>
      <c r="D17" s="66">
        <f t="shared" ref="D17:K17" si="3">D16/D$25</f>
        <v>6.6625044536619543E-5</v>
      </c>
      <c r="E17" s="66">
        <f t="shared" si="3"/>
        <v>1.3276729788049058E-3</v>
      </c>
      <c r="F17" s="66">
        <f t="shared" si="3"/>
        <v>7.9749043789386718E-3</v>
      </c>
      <c r="G17" s="66">
        <f t="shared" si="3"/>
        <v>2.4469338816307078E-2</v>
      </c>
      <c r="H17" s="66">
        <f t="shared" si="3"/>
        <v>2.3331166712383087E-2</v>
      </c>
      <c r="I17" s="66">
        <f t="shared" si="3"/>
        <v>2.2196628989454938E-2</v>
      </c>
      <c r="J17" s="66">
        <f t="shared" si="3"/>
        <v>2.1046155542368286E-2</v>
      </c>
      <c r="K17" s="66">
        <f t="shared" si="3"/>
        <v>1.5014227126301873E-2</v>
      </c>
    </row>
    <row r="18" spans="1:22">
      <c r="A18" s="5"/>
      <c r="B18" s="65"/>
    </row>
    <row r="19" spans="1:22">
      <c r="A19" s="5"/>
      <c r="B19" s="65"/>
      <c r="C19" s="57" t="s">
        <v>203</v>
      </c>
    </row>
    <row r="20" spans="1:22" outlineLevel="1">
      <c r="A20" s="5"/>
      <c r="B20" s="65"/>
      <c r="C20" s="50" t="s">
        <v>337</v>
      </c>
      <c r="D20" s="58">
        <v>2338</v>
      </c>
      <c r="E20" s="21">
        <v>15891.099999999999</v>
      </c>
      <c r="F20" s="21">
        <v>37206.350000000006</v>
      </c>
      <c r="G20" s="21">
        <v>45414.342857142859</v>
      </c>
      <c r="H20" s="21">
        <v>62102.671428571441</v>
      </c>
      <c r="I20" s="21">
        <v>63800.64285714287</v>
      </c>
      <c r="J20" s="21">
        <v>59416.328571428574</v>
      </c>
      <c r="K20" s="21">
        <v>48594.92857142858</v>
      </c>
      <c r="L20" s="21">
        <v>29619.464285714297</v>
      </c>
      <c r="M20" s="21">
        <v>8078.0357142857192</v>
      </c>
      <c r="N20" s="21"/>
      <c r="O20" s="58"/>
      <c r="P20" s="58"/>
      <c r="Q20" s="58"/>
      <c r="R20" s="58"/>
      <c r="S20" s="59"/>
      <c r="T20" s="58">
        <f>SUM(D20:M20)</f>
        <v>372461.8642857144</v>
      </c>
      <c r="V20" s="71"/>
    </row>
    <row r="21" spans="1:22" outlineLevel="1">
      <c r="A21" s="5"/>
      <c r="B21" s="65"/>
      <c r="C21" s="50" t="s">
        <v>336</v>
      </c>
      <c r="D21" s="58"/>
      <c r="E21" s="21"/>
      <c r="F21" s="21"/>
      <c r="G21" s="21">
        <v>506857.14285714284</v>
      </c>
      <c r="H21" s="21">
        <v>506857.14285714284</v>
      </c>
      <c r="I21" s="21">
        <v>506857.14285714284</v>
      </c>
      <c r="J21" s="21">
        <v>506857.14285714284</v>
      </c>
      <c r="K21" s="21">
        <v>506857.14285714284</v>
      </c>
      <c r="L21" s="21">
        <v>506857.14285714284</v>
      </c>
      <c r="M21" s="21">
        <v>506857.14285714284</v>
      </c>
      <c r="N21" s="21">
        <v>152000</v>
      </c>
      <c r="O21" s="58"/>
      <c r="P21" s="58"/>
      <c r="Q21" s="58"/>
      <c r="R21" s="58"/>
      <c r="S21" s="59"/>
      <c r="T21" s="58">
        <f>SUM(D21:N21)</f>
        <v>3699999.9999999995</v>
      </c>
    </row>
    <row r="22" spans="1:22">
      <c r="A22" s="533">
        <v>1</v>
      </c>
      <c r="B22" s="60" t="s">
        <v>401</v>
      </c>
      <c r="C22" s="57" t="s">
        <v>397</v>
      </c>
      <c r="D22" s="61">
        <f t="shared" ref="D22" si="4">SUM(D20:D21)</f>
        <v>2338</v>
      </c>
      <c r="E22" s="61">
        <f t="shared" ref="E22" si="5">SUM(E20:E21)</f>
        <v>15891.099999999999</v>
      </c>
      <c r="F22" s="61">
        <f t="shared" ref="F22" si="6">SUM(F20:F21)</f>
        <v>37206.350000000006</v>
      </c>
      <c r="G22" s="61">
        <f t="shared" ref="G22" si="7">SUM(G20:G21)</f>
        <v>552271.48571428575</v>
      </c>
      <c r="H22" s="61">
        <f t="shared" ref="H22" si="8">SUM(H20:H21)</f>
        <v>568959.8142857143</v>
      </c>
      <c r="I22" s="61">
        <f t="shared" ref="I22" si="9">SUM(I20:I21)</f>
        <v>570657.78571428568</v>
      </c>
      <c r="J22" s="61">
        <f t="shared" ref="J22" si="10">SUM(J20:J21)</f>
        <v>566273.47142857139</v>
      </c>
      <c r="K22" s="61">
        <f t="shared" ref="K22" si="11">SUM(K20:K21)</f>
        <v>555452.07142857136</v>
      </c>
      <c r="L22" s="61">
        <f t="shared" ref="L22" si="12">SUM(L20:L21)</f>
        <v>536476.60714285716</v>
      </c>
      <c r="M22" s="61">
        <f t="shared" ref="M22" si="13">SUM(M20:M21)</f>
        <v>514935.17857142858</v>
      </c>
      <c r="N22" s="61"/>
      <c r="O22" s="61"/>
      <c r="P22" s="61"/>
      <c r="Q22" s="61"/>
      <c r="R22" s="61"/>
      <c r="S22" s="63"/>
      <c r="T22" s="61">
        <f t="shared" ref="T22" si="14">SUM(T20:T21)</f>
        <v>4072461.864285714</v>
      </c>
    </row>
    <row r="23" spans="1:22">
      <c r="C23" s="50" t="s">
        <v>398</v>
      </c>
      <c r="D23" s="66">
        <f>D22/D$25</f>
        <v>6.6625044536619543E-5</v>
      </c>
      <c r="E23" s="66">
        <f t="shared" ref="E23" si="15">E22/E$25</f>
        <v>4.4960542286763495E-4</v>
      </c>
      <c r="F23" s="66">
        <f t="shared" ref="F23" si="16">F22/F$25</f>
        <v>1.0437530860152346E-3</v>
      </c>
      <c r="G23" s="66">
        <f>G22/G$25</f>
        <v>1.5413369674843601E-2</v>
      </c>
      <c r="H23" s="66">
        <f t="shared" ref="H23" si="17">H22/H$25</f>
        <v>1.573551510695995E-2</v>
      </c>
      <c r="I23" s="66">
        <f t="shared" ref="I23" si="18">I22/I$25</f>
        <v>1.5629211892967822E-2</v>
      </c>
      <c r="J23" s="66">
        <f t="shared" ref="J23" si="19">J22/J$25</f>
        <v>1.5332485384206989E-2</v>
      </c>
      <c r="K23" s="66">
        <f t="shared" ref="K23" si="20">K22/K$25</f>
        <v>1.4860024586261655E-2</v>
      </c>
      <c r="L23" s="66">
        <f t="shared" ref="L23" si="21">L22/L$25</f>
        <v>1.4352373466883835E-2</v>
      </c>
      <c r="M23" s="66">
        <f t="shared" ref="M23" si="22">M22/M$25</f>
        <v>1.3639678421490527E-2</v>
      </c>
      <c r="N23" s="66"/>
      <c r="O23" s="66"/>
      <c r="P23" s="66"/>
      <c r="Q23" s="66"/>
      <c r="R23" s="66"/>
      <c r="S23" s="69"/>
    </row>
    <row r="25" spans="1:22">
      <c r="C25" s="57" t="s">
        <v>402</v>
      </c>
      <c r="D25" s="58">
        <v>35091909</v>
      </c>
      <c r="E25" s="58">
        <v>35344547</v>
      </c>
      <c r="F25" s="58">
        <v>35646697</v>
      </c>
      <c r="G25" s="58">
        <v>35830678</v>
      </c>
      <c r="H25" s="58">
        <v>36157686</v>
      </c>
      <c r="I25" s="58">
        <v>36512256</v>
      </c>
      <c r="J25" s="58">
        <v>36932921</v>
      </c>
      <c r="K25" s="58">
        <v>37378947</v>
      </c>
      <c r="L25" s="58">
        <v>37378947</v>
      </c>
      <c r="M25" s="58">
        <v>37752736</v>
      </c>
      <c r="N25" s="58"/>
      <c r="O25" s="58"/>
      <c r="P25" s="58"/>
      <c r="Q25" s="58"/>
      <c r="R25" s="58"/>
      <c r="S25" s="59"/>
    </row>
    <row r="28" spans="1:22">
      <c r="C28" s="70" t="s">
        <v>403</v>
      </c>
    </row>
    <row r="30" spans="1:22">
      <c r="D30" s="54" t="s">
        <v>379</v>
      </c>
      <c r="E30" s="55" t="s">
        <v>439</v>
      </c>
      <c r="F30" s="55" t="s">
        <v>440</v>
      </c>
      <c r="G30" s="55" t="s">
        <v>441</v>
      </c>
      <c r="H30" s="55" t="s">
        <v>442</v>
      </c>
      <c r="I30" s="592" t="s">
        <v>434</v>
      </c>
      <c r="J30" s="592" t="s">
        <v>435</v>
      </c>
      <c r="K30" s="592" t="s">
        <v>436</v>
      </c>
      <c r="L30" s="592" t="s">
        <v>437</v>
      </c>
      <c r="M30" s="592" t="s">
        <v>438</v>
      </c>
      <c r="N30" s="592" t="s">
        <v>439</v>
      </c>
      <c r="O30" s="592" t="s">
        <v>440</v>
      </c>
      <c r="P30" s="592" t="s">
        <v>441</v>
      </c>
      <c r="Q30" s="592" t="s">
        <v>442</v>
      </c>
      <c r="R30" s="592" t="s">
        <v>443</v>
      </c>
    </row>
    <row r="31" spans="1:22">
      <c r="C31" s="50" t="s">
        <v>396</v>
      </c>
      <c r="D31" s="67">
        <f>D8</f>
        <v>2338</v>
      </c>
      <c r="E31" s="67">
        <f t="shared" ref="E31:I31" si="23">E8</f>
        <v>46926</v>
      </c>
      <c r="F31" s="67">
        <f>F8</f>
        <v>91114</v>
      </c>
      <c r="G31" s="67">
        <f t="shared" si="23"/>
        <v>96447</v>
      </c>
      <c r="H31" s="67">
        <f t="shared" si="23"/>
        <v>51060</v>
      </c>
      <c r="I31" s="67">
        <f t="shared" si="23"/>
        <v>8510</v>
      </c>
    </row>
    <row r="32" spans="1:22">
      <c r="C32" s="50" t="s">
        <v>400</v>
      </c>
      <c r="D32" s="67">
        <f>D14</f>
        <v>2338</v>
      </c>
      <c r="E32" s="67">
        <f t="shared" ref="E32:K32" si="24">E14</f>
        <v>46926</v>
      </c>
      <c r="F32" s="67">
        <f t="shared" si="24"/>
        <v>99279</v>
      </c>
      <c r="G32" s="67">
        <f t="shared" si="24"/>
        <v>136753</v>
      </c>
      <c r="H32" s="67">
        <f t="shared" si="24"/>
        <v>103601</v>
      </c>
      <c r="I32" s="67">
        <f t="shared" si="24"/>
        <v>70449</v>
      </c>
      <c r="J32" s="67">
        <f t="shared" si="24"/>
        <v>37296</v>
      </c>
      <c r="K32" s="67">
        <f t="shared" si="24"/>
        <v>6216</v>
      </c>
    </row>
    <row r="33" spans="3:13">
      <c r="C33" s="50" t="s">
        <v>401</v>
      </c>
      <c r="D33" s="67">
        <f>D20</f>
        <v>2338</v>
      </c>
      <c r="E33" s="67">
        <f t="shared" ref="E33:M33" si="25">E20</f>
        <v>15891.099999999999</v>
      </c>
      <c r="F33" s="67">
        <f t="shared" si="25"/>
        <v>37206.350000000006</v>
      </c>
      <c r="G33" s="67">
        <f t="shared" si="25"/>
        <v>45414.342857142859</v>
      </c>
      <c r="H33" s="67">
        <f t="shared" si="25"/>
        <v>62102.671428571441</v>
      </c>
      <c r="I33" s="67">
        <f t="shared" si="25"/>
        <v>63800.64285714287</v>
      </c>
      <c r="J33" s="67">
        <f t="shared" si="25"/>
        <v>59416.328571428574</v>
      </c>
      <c r="K33" s="67">
        <f t="shared" si="25"/>
        <v>48594.92857142858</v>
      </c>
      <c r="L33" s="67">
        <f t="shared" si="25"/>
        <v>29619.464285714297</v>
      </c>
      <c r="M33" s="67">
        <f t="shared" si="25"/>
        <v>8078.0357142857192</v>
      </c>
    </row>
    <row r="36" spans="3:13">
      <c r="C36" s="70" t="s">
        <v>404</v>
      </c>
    </row>
    <row r="37" spans="3:13">
      <c r="C37" s="50" t="s">
        <v>396</v>
      </c>
      <c r="D37" s="58">
        <v>3700000</v>
      </c>
      <c r="E37" s="67">
        <f>D37</f>
        <v>3700000</v>
      </c>
      <c r="F37" s="67">
        <f>E37-F9</f>
        <v>3391666</v>
      </c>
      <c r="G37" s="67">
        <f t="shared" ref="G37:M37" si="26">F37-G9</f>
        <v>2158333</v>
      </c>
      <c r="H37" s="67">
        <f t="shared" si="26"/>
        <v>925000</v>
      </c>
      <c r="I37" s="67">
        <f t="shared" si="26"/>
        <v>0</v>
      </c>
      <c r="J37" s="67">
        <f t="shared" si="26"/>
        <v>0</v>
      </c>
      <c r="K37" s="67">
        <f t="shared" si="26"/>
        <v>0</v>
      </c>
      <c r="L37" s="67">
        <f t="shared" si="26"/>
        <v>0</v>
      </c>
      <c r="M37" s="67">
        <f t="shared" si="26"/>
        <v>0</v>
      </c>
    </row>
    <row r="38" spans="3:13">
      <c r="C38" s="50" t="s">
        <v>400</v>
      </c>
      <c r="D38" s="58">
        <v>3700000</v>
      </c>
      <c r="E38" s="67">
        <f t="shared" ref="E38:E39" si="27">D38</f>
        <v>3700000</v>
      </c>
      <c r="F38" s="67">
        <f>E38-F15</f>
        <v>3515000</v>
      </c>
      <c r="G38" s="67">
        <f t="shared" ref="G38:M38" si="28">F38-G15</f>
        <v>2775000</v>
      </c>
      <c r="H38" s="67">
        <f t="shared" si="28"/>
        <v>2035000</v>
      </c>
      <c r="I38" s="67">
        <f t="shared" si="28"/>
        <v>1295000</v>
      </c>
      <c r="J38" s="67">
        <f t="shared" si="28"/>
        <v>555000</v>
      </c>
      <c r="K38" s="67">
        <f t="shared" si="28"/>
        <v>0</v>
      </c>
      <c r="L38" s="67">
        <f t="shared" si="28"/>
        <v>0</v>
      </c>
      <c r="M38" s="67">
        <f t="shared" si="28"/>
        <v>0</v>
      </c>
    </row>
    <row r="39" spans="3:13">
      <c r="C39" s="50" t="s">
        <v>401</v>
      </c>
      <c r="D39" s="58">
        <v>3700000</v>
      </c>
      <c r="E39" s="67">
        <f t="shared" si="27"/>
        <v>3700000</v>
      </c>
      <c r="F39" s="67">
        <f>E39-F21</f>
        <v>3700000</v>
      </c>
      <c r="G39" s="67">
        <f t="shared" ref="G39:M39" si="29">F39-G21</f>
        <v>3193142.8571428573</v>
      </c>
      <c r="H39" s="67">
        <f t="shared" si="29"/>
        <v>2686285.7142857146</v>
      </c>
      <c r="I39" s="67">
        <f t="shared" si="29"/>
        <v>2179428.5714285718</v>
      </c>
      <c r="J39" s="67">
        <f t="shared" si="29"/>
        <v>1672571.4285714291</v>
      </c>
      <c r="K39" s="67">
        <f t="shared" si="29"/>
        <v>1165714.2857142864</v>
      </c>
      <c r="L39" s="67">
        <f t="shared" si="29"/>
        <v>658857.14285714354</v>
      </c>
      <c r="M39" s="67">
        <f t="shared" si="29"/>
        <v>152000.0000000007</v>
      </c>
    </row>
    <row r="40" spans="3:13">
      <c r="D40" s="67"/>
    </row>
    <row r="42" spans="3:13">
      <c r="C42" s="70" t="s">
        <v>405</v>
      </c>
    </row>
    <row r="43" spans="3:13">
      <c r="C43" s="50" t="s">
        <v>396</v>
      </c>
      <c r="D43" s="67">
        <f>D37-D31</f>
        <v>3697662</v>
      </c>
      <c r="E43" s="67">
        <f>-E10</f>
        <v>-46926</v>
      </c>
      <c r="F43" s="67">
        <f t="shared" ref="F43:M43" si="30">-F10</f>
        <v>-399448</v>
      </c>
      <c r="G43" s="67">
        <f t="shared" si="30"/>
        <v>-1329780</v>
      </c>
      <c r="H43" s="67">
        <f t="shared" si="30"/>
        <v>-1284393</v>
      </c>
      <c r="I43" s="67">
        <f t="shared" si="30"/>
        <v>-933510</v>
      </c>
      <c r="J43" s="67">
        <f t="shared" si="30"/>
        <v>0</v>
      </c>
      <c r="K43" s="67">
        <f t="shared" si="30"/>
        <v>0</v>
      </c>
      <c r="L43" s="67">
        <f t="shared" si="30"/>
        <v>0</v>
      </c>
      <c r="M43" s="67">
        <f t="shared" si="30"/>
        <v>0</v>
      </c>
    </row>
    <row r="44" spans="3:13">
      <c r="C44" s="50" t="s">
        <v>400</v>
      </c>
      <c r="D44" s="67">
        <f t="shared" ref="D44:D45" si="31">D38-D32</f>
        <v>3697662</v>
      </c>
      <c r="E44" s="67">
        <f>-E16</f>
        <v>-46926</v>
      </c>
      <c r="F44" s="67">
        <f t="shared" ref="F44:M44" si="32">-F16</f>
        <v>-284279</v>
      </c>
      <c r="G44" s="67">
        <f t="shared" si="32"/>
        <v>-876753</v>
      </c>
      <c r="H44" s="67">
        <f t="shared" si="32"/>
        <v>-843601</v>
      </c>
      <c r="I44" s="67">
        <f t="shared" si="32"/>
        <v>-810449</v>
      </c>
      <c r="J44" s="67">
        <f t="shared" si="32"/>
        <v>-777296</v>
      </c>
      <c r="K44" s="67">
        <f t="shared" si="32"/>
        <v>-561216</v>
      </c>
      <c r="L44" s="67">
        <f t="shared" si="32"/>
        <v>0</v>
      </c>
      <c r="M44" s="67">
        <f t="shared" si="32"/>
        <v>0</v>
      </c>
    </row>
    <row r="45" spans="3:13">
      <c r="C45" s="50" t="s">
        <v>401</v>
      </c>
      <c r="D45" s="67">
        <f t="shared" si="31"/>
        <v>3697662</v>
      </c>
      <c r="E45" s="67">
        <f>-E22</f>
        <v>-15891.099999999999</v>
      </c>
      <c r="F45" s="67">
        <f t="shared" ref="F45:M45" si="33">-F22</f>
        <v>-37206.350000000006</v>
      </c>
      <c r="G45" s="67">
        <f t="shared" si="33"/>
        <v>-552271.48571428575</v>
      </c>
      <c r="H45" s="67">
        <f t="shared" si="33"/>
        <v>-568959.8142857143</v>
      </c>
      <c r="I45" s="67">
        <f t="shared" si="33"/>
        <v>-570657.78571428568</v>
      </c>
      <c r="J45" s="67">
        <f t="shared" si="33"/>
        <v>-566273.47142857139</v>
      </c>
      <c r="K45" s="67">
        <f t="shared" si="33"/>
        <v>-555452.07142857136</v>
      </c>
      <c r="L45" s="67">
        <f t="shared" si="33"/>
        <v>-536476.60714285716</v>
      </c>
      <c r="M45" s="67">
        <f t="shared" si="33"/>
        <v>-514935.17857142858</v>
      </c>
    </row>
  </sheetData>
  <mergeCells count="1">
    <mergeCell ref="A4:B4"/>
  </mergeCells>
  <phoneticPr fontId="73" type="noConversion"/>
  <pageMargins left="0.7" right="0.7" top="0.75" bottom="0.75" header="0.3" footer="0.3"/>
  <pageSetup orientation="portrait" horizontalDpi="1200" verticalDpi="1200" r:id="rId1"/>
  <customProperties>
    <customPr name="OrphanNamesChecke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2">
    <tabColor rgb="FF0070C0"/>
  </sheetPr>
  <dimension ref="A1:AK63"/>
  <sheetViews>
    <sheetView showGridLines="0" zoomScale="90" zoomScaleNormal="90" workbookViewId="0"/>
  </sheetViews>
  <sheetFormatPr defaultColWidth="9.1796875" defaultRowHeight="14.5"/>
  <cols>
    <col min="1" max="1" width="12.26953125" style="7" bestFit="1" customWidth="1"/>
    <col min="2" max="2" width="25.26953125" style="7" bestFit="1" customWidth="1"/>
    <col min="3" max="3" width="16.26953125" style="7" bestFit="1" customWidth="1"/>
    <col min="4" max="4" width="17" style="7" bestFit="1" customWidth="1"/>
    <col min="5" max="6" width="15.1796875" style="7" bestFit="1" customWidth="1"/>
    <col min="7" max="15" width="15.1796875" style="7" customWidth="1"/>
    <col min="16" max="16" width="18.453125" style="7" bestFit="1" customWidth="1"/>
    <col min="17" max="36" width="15.1796875" style="7" customWidth="1"/>
    <col min="37" max="16384" width="9.1796875" style="7"/>
  </cols>
  <sheetData>
    <row r="1" spans="1:33">
      <c r="A1" s="591" t="s">
        <v>451</v>
      </c>
    </row>
    <row r="2" spans="1:33">
      <c r="A2" s="591"/>
    </row>
    <row r="3" spans="1:33" hidden="1">
      <c r="A3" s="14"/>
    </row>
    <row r="4" spans="1:33" hidden="1">
      <c r="A4" s="660"/>
      <c r="B4" s="660"/>
    </row>
    <row r="5" spans="1:33" hidden="1">
      <c r="A5" s="6"/>
    </row>
    <row r="6" spans="1:33" hidden="1">
      <c r="A6" s="15"/>
    </row>
    <row r="7" spans="1:33" hidden="1"/>
    <row r="8" spans="1:33" hidden="1">
      <c r="A8" s="15"/>
    </row>
    <row r="9" spans="1:33" hidden="1">
      <c r="A9" s="15"/>
    </row>
    <row r="10" spans="1:33" hidden="1"/>
    <row r="11" spans="1:33">
      <c r="K11" s="6" t="s">
        <v>534</v>
      </c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33">
      <c r="K12" s="79">
        <v>21000000</v>
      </c>
      <c r="L12" s="79">
        <v>21000000</v>
      </c>
      <c r="M12" s="79">
        <v>21000000</v>
      </c>
      <c r="N12" s="79">
        <v>21000000</v>
      </c>
      <c r="O12" s="79">
        <v>21000000</v>
      </c>
      <c r="P12" s="79">
        <v>21000000</v>
      </c>
      <c r="Q12" s="79">
        <v>21000000</v>
      </c>
      <c r="R12" s="79">
        <v>21000000</v>
      </c>
      <c r="S12" s="79">
        <v>21000000</v>
      </c>
      <c r="T12" s="79">
        <v>21000000</v>
      </c>
      <c r="U12" s="79">
        <v>21000000</v>
      </c>
      <c r="V12" s="519">
        <v>21000000</v>
      </c>
    </row>
    <row r="13" spans="1:33">
      <c r="A13" s="6" t="s">
        <v>406</v>
      </c>
      <c r="B13" s="6" t="s">
        <v>53</v>
      </c>
      <c r="C13" s="16" t="s">
        <v>490</v>
      </c>
      <c r="D13" s="16" t="s">
        <v>434</v>
      </c>
      <c r="E13" s="16" t="s">
        <v>435</v>
      </c>
      <c r="F13" s="16" t="s">
        <v>436</v>
      </c>
      <c r="G13" s="16" t="s">
        <v>437</v>
      </c>
      <c r="H13" s="16" t="s">
        <v>438</v>
      </c>
      <c r="I13" s="16" t="s">
        <v>439</v>
      </c>
      <c r="J13" s="16" t="s">
        <v>440</v>
      </c>
      <c r="K13" s="16" t="s">
        <v>441</v>
      </c>
      <c r="L13" s="16" t="s">
        <v>442</v>
      </c>
      <c r="M13" s="17" t="s">
        <v>434</v>
      </c>
      <c r="N13" s="17" t="s">
        <v>435</v>
      </c>
      <c r="O13" s="17" t="s">
        <v>436</v>
      </c>
      <c r="P13" s="17" t="s">
        <v>437</v>
      </c>
      <c r="Q13" s="17" t="s">
        <v>438</v>
      </c>
      <c r="R13" s="17" t="s">
        <v>439</v>
      </c>
      <c r="S13" s="17" t="s">
        <v>440</v>
      </c>
      <c r="T13" s="17" t="s">
        <v>441</v>
      </c>
      <c r="U13" s="17" t="s">
        <v>442</v>
      </c>
      <c r="V13" s="17" t="s">
        <v>443</v>
      </c>
      <c r="W13" s="16" t="s">
        <v>478</v>
      </c>
      <c r="X13" s="16" t="s">
        <v>479</v>
      </c>
      <c r="Y13" s="16" t="s">
        <v>480</v>
      </c>
      <c r="Z13" s="16" t="s">
        <v>481</v>
      </c>
      <c r="AA13" s="16" t="s">
        <v>482</v>
      </c>
      <c r="AB13" s="16" t="s">
        <v>483</v>
      </c>
      <c r="AC13" s="16" t="s">
        <v>484</v>
      </c>
      <c r="AD13" s="16" t="s">
        <v>485</v>
      </c>
      <c r="AE13" s="16" t="s">
        <v>486</v>
      </c>
      <c r="AF13" s="16" t="s">
        <v>487</v>
      </c>
      <c r="AG13" s="16"/>
    </row>
    <row r="14" spans="1:33">
      <c r="A14" s="12"/>
      <c r="B14" s="18" t="s">
        <v>407</v>
      </c>
      <c r="C14" s="18">
        <v>1</v>
      </c>
      <c r="D14" s="18">
        <v>2</v>
      </c>
      <c r="E14" s="18">
        <v>3</v>
      </c>
      <c r="F14" s="18">
        <v>4</v>
      </c>
      <c r="G14" s="18">
        <v>5</v>
      </c>
      <c r="H14" s="18">
        <v>6</v>
      </c>
      <c r="I14" s="18">
        <v>7</v>
      </c>
      <c r="J14" s="18">
        <v>8</v>
      </c>
      <c r="K14" s="18">
        <v>9</v>
      </c>
      <c r="L14" s="18">
        <v>10</v>
      </c>
      <c r="M14" s="19">
        <v>11</v>
      </c>
      <c r="N14" s="19">
        <v>12</v>
      </c>
      <c r="O14" s="19">
        <v>13</v>
      </c>
      <c r="P14" s="19">
        <v>14</v>
      </c>
      <c r="Q14" s="19">
        <v>15</v>
      </c>
      <c r="R14" s="19">
        <v>16</v>
      </c>
      <c r="S14" s="19">
        <v>17</v>
      </c>
      <c r="T14" s="19">
        <v>18</v>
      </c>
      <c r="U14" s="19">
        <v>19</v>
      </c>
      <c r="V14" s="19">
        <v>20</v>
      </c>
      <c r="W14" s="18">
        <v>21</v>
      </c>
      <c r="X14" s="18">
        <v>22</v>
      </c>
      <c r="Y14" s="18">
        <v>23</v>
      </c>
      <c r="Z14" s="18">
        <v>24</v>
      </c>
      <c r="AA14" s="18">
        <v>25</v>
      </c>
      <c r="AB14" s="18">
        <v>26</v>
      </c>
      <c r="AC14" s="18">
        <v>27</v>
      </c>
      <c r="AD14" s="18">
        <v>28</v>
      </c>
      <c r="AE14" s="18">
        <v>29</v>
      </c>
      <c r="AF14" s="18">
        <v>30</v>
      </c>
    </row>
    <row r="15" spans="1:33">
      <c r="A15" s="6" t="s">
        <v>370</v>
      </c>
      <c r="B15" s="6" t="s">
        <v>491</v>
      </c>
    </row>
    <row r="16" spans="1:33">
      <c r="B16" s="7" t="s">
        <v>408</v>
      </c>
      <c r="C16" s="20">
        <v>3000000</v>
      </c>
      <c r="D16" s="20">
        <v>3000000</v>
      </c>
      <c r="E16" s="20">
        <v>3000000</v>
      </c>
      <c r="F16" s="20">
        <v>3000000</v>
      </c>
      <c r="G16" s="20">
        <v>3000000</v>
      </c>
      <c r="H16" s="20">
        <v>3000000</v>
      </c>
      <c r="I16" s="20">
        <v>3000000</v>
      </c>
      <c r="J16" s="20">
        <v>3000000</v>
      </c>
      <c r="K16" s="20">
        <v>3000000</v>
      </c>
      <c r="L16" s="20">
        <v>3000000</v>
      </c>
      <c r="M16" s="20">
        <v>3000000</v>
      </c>
      <c r="N16" s="20">
        <v>3000000</v>
      </c>
      <c r="O16" s="20">
        <v>3000000</v>
      </c>
      <c r="P16" s="20">
        <v>3000000</v>
      </c>
      <c r="Q16" s="20">
        <v>3000000</v>
      </c>
      <c r="R16" s="20">
        <v>3000000</v>
      </c>
      <c r="S16" s="20">
        <v>3000000</v>
      </c>
      <c r="T16" s="20">
        <v>3000000</v>
      </c>
      <c r="U16" s="20">
        <v>3000000</v>
      </c>
      <c r="V16" s="20">
        <v>3000000</v>
      </c>
      <c r="W16" s="20">
        <v>3000000</v>
      </c>
      <c r="X16" s="20">
        <v>3000000</v>
      </c>
      <c r="Y16" s="20">
        <v>3000000</v>
      </c>
      <c r="Z16" s="20">
        <v>3000000</v>
      </c>
      <c r="AA16" s="20">
        <v>3000000</v>
      </c>
      <c r="AB16" s="20">
        <v>3000000</v>
      </c>
      <c r="AC16" s="20">
        <v>3000000</v>
      </c>
      <c r="AD16" s="20">
        <v>3000000</v>
      </c>
      <c r="AE16" s="20">
        <v>3000000</v>
      </c>
      <c r="AF16" s="20">
        <v>3000000</v>
      </c>
    </row>
    <row r="17" spans="1:37">
      <c r="B17" s="7" t="s">
        <v>409</v>
      </c>
      <c r="C17" s="20">
        <f>C16</f>
        <v>3000000</v>
      </c>
      <c r="D17" s="20">
        <f t="shared" ref="D17:AF17" si="0">D16</f>
        <v>3000000</v>
      </c>
      <c r="E17" s="20">
        <f t="shared" si="0"/>
        <v>3000000</v>
      </c>
      <c r="F17" s="20">
        <f t="shared" si="0"/>
        <v>3000000</v>
      </c>
      <c r="G17" s="20">
        <f t="shared" si="0"/>
        <v>3000000</v>
      </c>
      <c r="H17" s="20">
        <f t="shared" si="0"/>
        <v>3000000</v>
      </c>
      <c r="I17" s="20">
        <f t="shared" si="0"/>
        <v>3000000</v>
      </c>
      <c r="J17" s="20">
        <f t="shared" si="0"/>
        <v>3000000</v>
      </c>
      <c r="K17" s="20">
        <f t="shared" si="0"/>
        <v>3000000</v>
      </c>
      <c r="L17" s="20">
        <f t="shared" si="0"/>
        <v>3000000</v>
      </c>
      <c r="M17" s="20">
        <f t="shared" si="0"/>
        <v>3000000</v>
      </c>
      <c r="N17" s="20">
        <f t="shared" si="0"/>
        <v>3000000</v>
      </c>
      <c r="O17" s="20">
        <f t="shared" si="0"/>
        <v>3000000</v>
      </c>
      <c r="P17" s="20">
        <f t="shared" si="0"/>
        <v>3000000</v>
      </c>
      <c r="Q17" s="20">
        <f t="shared" si="0"/>
        <v>3000000</v>
      </c>
      <c r="R17" s="20">
        <f t="shared" si="0"/>
        <v>3000000</v>
      </c>
      <c r="S17" s="20">
        <f t="shared" si="0"/>
        <v>3000000</v>
      </c>
      <c r="T17" s="20">
        <f t="shared" si="0"/>
        <v>3000000</v>
      </c>
      <c r="U17" s="20">
        <f t="shared" si="0"/>
        <v>3000000</v>
      </c>
      <c r="V17" s="20">
        <f t="shared" si="0"/>
        <v>3000000</v>
      </c>
      <c r="W17" s="20">
        <f t="shared" si="0"/>
        <v>3000000</v>
      </c>
      <c r="X17" s="20">
        <f t="shared" si="0"/>
        <v>3000000</v>
      </c>
      <c r="Y17" s="20">
        <f t="shared" si="0"/>
        <v>3000000</v>
      </c>
      <c r="Z17" s="20">
        <f t="shared" si="0"/>
        <v>3000000</v>
      </c>
      <c r="AA17" s="20">
        <f t="shared" si="0"/>
        <v>3000000</v>
      </c>
      <c r="AB17" s="20">
        <f t="shared" si="0"/>
        <v>3000000</v>
      </c>
      <c r="AC17" s="20">
        <f t="shared" si="0"/>
        <v>3000000</v>
      </c>
      <c r="AD17" s="20">
        <f t="shared" si="0"/>
        <v>3000000</v>
      </c>
      <c r="AE17" s="20">
        <f t="shared" si="0"/>
        <v>3000000</v>
      </c>
      <c r="AF17" s="20">
        <f t="shared" si="0"/>
        <v>3000000</v>
      </c>
    </row>
    <row r="18" spans="1:37">
      <c r="B18" s="7" t="s">
        <v>410</v>
      </c>
      <c r="C18" s="21">
        <f>(C16*30)-C17</f>
        <v>87000000</v>
      </c>
      <c r="D18" s="21">
        <f>C18-D16</f>
        <v>84000000</v>
      </c>
      <c r="E18" s="21">
        <f t="shared" ref="E18:AF18" si="1">D18-E16</f>
        <v>81000000</v>
      </c>
      <c r="F18" s="21">
        <f t="shared" si="1"/>
        <v>78000000</v>
      </c>
      <c r="G18" s="21">
        <f t="shared" si="1"/>
        <v>75000000</v>
      </c>
      <c r="H18" s="21">
        <f t="shared" si="1"/>
        <v>72000000</v>
      </c>
      <c r="I18" s="21">
        <f t="shared" si="1"/>
        <v>69000000</v>
      </c>
      <c r="J18" s="21">
        <f t="shared" si="1"/>
        <v>66000000</v>
      </c>
      <c r="K18" s="21">
        <f t="shared" si="1"/>
        <v>63000000</v>
      </c>
      <c r="L18" s="21">
        <f t="shared" si="1"/>
        <v>60000000</v>
      </c>
      <c r="M18" s="21">
        <f t="shared" si="1"/>
        <v>57000000</v>
      </c>
      <c r="N18" s="21">
        <f t="shared" si="1"/>
        <v>54000000</v>
      </c>
      <c r="O18" s="21">
        <f t="shared" si="1"/>
        <v>51000000</v>
      </c>
      <c r="P18" s="21">
        <f t="shared" si="1"/>
        <v>48000000</v>
      </c>
      <c r="Q18" s="21">
        <f t="shared" si="1"/>
        <v>45000000</v>
      </c>
      <c r="R18" s="21">
        <f t="shared" si="1"/>
        <v>42000000</v>
      </c>
      <c r="S18" s="21">
        <f t="shared" si="1"/>
        <v>39000000</v>
      </c>
      <c r="T18" s="21">
        <f t="shared" si="1"/>
        <v>36000000</v>
      </c>
      <c r="U18" s="21">
        <f t="shared" si="1"/>
        <v>33000000</v>
      </c>
      <c r="V18" s="21">
        <f t="shared" si="1"/>
        <v>30000000</v>
      </c>
      <c r="W18" s="21">
        <f t="shared" si="1"/>
        <v>27000000</v>
      </c>
      <c r="X18" s="21">
        <f t="shared" si="1"/>
        <v>24000000</v>
      </c>
      <c r="Y18" s="21">
        <f t="shared" si="1"/>
        <v>21000000</v>
      </c>
      <c r="Z18" s="21">
        <f t="shared" si="1"/>
        <v>18000000</v>
      </c>
      <c r="AA18" s="21">
        <f t="shared" si="1"/>
        <v>15000000</v>
      </c>
      <c r="AB18" s="21">
        <f t="shared" si="1"/>
        <v>12000000</v>
      </c>
      <c r="AC18" s="21">
        <f t="shared" si="1"/>
        <v>9000000</v>
      </c>
      <c r="AD18" s="21">
        <f t="shared" si="1"/>
        <v>6000000</v>
      </c>
      <c r="AE18" s="21">
        <f t="shared" si="1"/>
        <v>3000000</v>
      </c>
      <c r="AF18" s="21">
        <f t="shared" si="1"/>
        <v>0</v>
      </c>
    </row>
    <row r="19" spans="1:37">
      <c r="J19" s="10" t="s">
        <v>411</v>
      </c>
      <c r="K19" s="521">
        <f>K18-K12</f>
        <v>42000000</v>
      </c>
      <c r="L19" s="521">
        <f t="shared" ref="L19:V19" si="2">L18-L12</f>
        <v>39000000</v>
      </c>
      <c r="M19" s="521">
        <f t="shared" si="2"/>
        <v>36000000</v>
      </c>
      <c r="N19" s="521">
        <f t="shared" si="2"/>
        <v>33000000</v>
      </c>
      <c r="O19" s="521">
        <f t="shared" si="2"/>
        <v>30000000</v>
      </c>
      <c r="P19" s="521">
        <f t="shared" si="2"/>
        <v>27000000</v>
      </c>
      <c r="Q19" s="521">
        <f t="shared" si="2"/>
        <v>24000000</v>
      </c>
      <c r="R19" s="521">
        <f t="shared" si="2"/>
        <v>21000000</v>
      </c>
      <c r="S19" s="521">
        <f t="shared" si="2"/>
        <v>18000000</v>
      </c>
      <c r="T19" s="521">
        <f t="shared" si="2"/>
        <v>15000000</v>
      </c>
      <c r="U19" s="521">
        <f t="shared" si="2"/>
        <v>12000000</v>
      </c>
      <c r="V19" s="520">
        <f t="shared" si="2"/>
        <v>9000000</v>
      </c>
    </row>
    <row r="21" spans="1:37" ht="15" thickBot="1">
      <c r="A21" s="14"/>
      <c r="H21" s="14"/>
      <c r="N21" s="14"/>
    </row>
    <row r="22" spans="1:37">
      <c r="A22" s="1" t="s">
        <v>494</v>
      </c>
      <c r="B22" s="22"/>
      <c r="C22" s="22"/>
      <c r="D22" s="22"/>
      <c r="E22" s="23"/>
      <c r="H22" s="24" t="s">
        <v>492</v>
      </c>
      <c r="I22" s="22"/>
      <c r="J22" s="22"/>
      <c r="K22" s="22"/>
      <c r="L22" s="23"/>
      <c r="N22" s="24" t="s">
        <v>493</v>
      </c>
      <c r="O22" s="22"/>
      <c r="P22" s="22"/>
      <c r="Q22" s="22"/>
      <c r="R22" s="23"/>
    </row>
    <row r="23" spans="1:37">
      <c r="A23" s="25"/>
      <c r="E23" s="26"/>
      <c r="H23" s="25"/>
      <c r="L23" s="26"/>
      <c r="N23" s="25"/>
      <c r="R23" s="26"/>
    </row>
    <row r="24" spans="1:37">
      <c r="A24" s="25" t="s">
        <v>412</v>
      </c>
      <c r="B24" s="27">
        <v>3000000</v>
      </c>
      <c r="E24" s="26"/>
      <c r="H24" s="25" t="s">
        <v>412</v>
      </c>
      <c r="I24" s="27"/>
      <c r="L24" s="26"/>
      <c r="N24" s="25" t="s">
        <v>412</v>
      </c>
      <c r="O24" s="27"/>
      <c r="R24" s="26"/>
    </row>
    <row r="25" spans="1:37">
      <c r="A25" s="25" t="s">
        <v>413</v>
      </c>
      <c r="B25" s="7">
        <v>30</v>
      </c>
      <c r="C25" s="7" t="s">
        <v>414</v>
      </c>
      <c r="E25" s="26"/>
      <c r="H25" s="25" t="s">
        <v>413</v>
      </c>
      <c r="J25" s="7" t="s">
        <v>414</v>
      </c>
      <c r="L25" s="26"/>
      <c r="N25" s="25" t="s">
        <v>413</v>
      </c>
      <c r="P25" s="7" t="s">
        <v>414</v>
      </c>
      <c r="R25" s="26"/>
    </row>
    <row r="26" spans="1:37">
      <c r="A26" s="25" t="s">
        <v>415</v>
      </c>
      <c r="B26" s="573">
        <v>42500000</v>
      </c>
      <c r="E26" s="26"/>
      <c r="H26" s="25" t="s">
        <v>415</v>
      </c>
      <c r="I26" s="573"/>
      <c r="L26" s="26"/>
      <c r="N26" s="25" t="s">
        <v>415</v>
      </c>
      <c r="O26" s="573"/>
      <c r="R26" s="26"/>
    </row>
    <row r="27" spans="1:37">
      <c r="A27" s="25" t="s">
        <v>337</v>
      </c>
      <c r="B27" s="2">
        <f>RATE(B25,-B24,B26,0,0)</f>
        <v>5.7333426910128236E-2</v>
      </c>
      <c r="E27" s="26"/>
      <c r="H27" s="25" t="s">
        <v>337</v>
      </c>
      <c r="I27" s="2"/>
      <c r="L27" s="26"/>
      <c r="N27" s="25" t="s">
        <v>337</v>
      </c>
      <c r="O27" s="2"/>
      <c r="R27" s="26"/>
    </row>
    <row r="28" spans="1:37">
      <c r="A28" s="25"/>
      <c r="B28" s="28"/>
      <c r="E28" s="26"/>
      <c r="G28" s="16"/>
      <c r="H28" s="29"/>
      <c r="I28" s="16"/>
      <c r="J28" s="16"/>
      <c r="K28" s="16"/>
      <c r="L28" s="30"/>
      <c r="M28" s="16"/>
      <c r="N28" s="29"/>
      <c r="O28" s="16"/>
      <c r="P28" s="16"/>
      <c r="Q28" s="16"/>
      <c r="R28" s="30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</row>
    <row r="29" spans="1:37">
      <c r="A29" s="25"/>
      <c r="B29" s="3" t="s">
        <v>335</v>
      </c>
      <c r="C29" s="3" t="s">
        <v>337</v>
      </c>
      <c r="D29" s="3" t="s">
        <v>336</v>
      </c>
      <c r="E29" s="4" t="s">
        <v>416</v>
      </c>
      <c r="G29" s="31"/>
      <c r="H29" s="32"/>
      <c r="I29" s="3" t="s">
        <v>417</v>
      </c>
      <c r="J29" s="3" t="s">
        <v>337</v>
      </c>
      <c r="K29" s="3" t="s">
        <v>336</v>
      </c>
      <c r="L29" s="4" t="s">
        <v>416</v>
      </c>
      <c r="M29" s="31"/>
      <c r="N29" s="32"/>
      <c r="O29" s="3" t="s">
        <v>417</v>
      </c>
      <c r="P29" s="3" t="s">
        <v>337</v>
      </c>
      <c r="Q29" s="3" t="s">
        <v>336</v>
      </c>
      <c r="R29" s="4" t="s">
        <v>416</v>
      </c>
      <c r="S29" s="33" t="s">
        <v>418</v>
      </c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</row>
    <row r="30" spans="1:37">
      <c r="A30" s="25"/>
      <c r="B30" s="34"/>
      <c r="C30" s="34"/>
      <c r="D30" s="34"/>
      <c r="E30" s="35"/>
      <c r="F30" s="36"/>
      <c r="H30" s="25"/>
      <c r="L30" s="26"/>
      <c r="N30" s="25"/>
      <c r="R30" s="26"/>
    </row>
    <row r="31" spans="1:37">
      <c r="A31" s="37">
        <v>38897</v>
      </c>
      <c r="B31" s="38">
        <v>42500000</v>
      </c>
      <c r="C31" s="38">
        <f>B31*$B$27</f>
        <v>2436670.64368045</v>
      </c>
      <c r="D31" s="38">
        <f>$B$24-C31</f>
        <v>563329.35631954996</v>
      </c>
      <c r="E31" s="39">
        <f>C31+D31</f>
        <v>3000000</v>
      </c>
      <c r="F31" s="40">
        <f>B24*B25-E31</f>
        <v>87000000</v>
      </c>
      <c r="H31" s="25"/>
      <c r="L31" s="26"/>
      <c r="N31" s="25"/>
      <c r="R31" s="26"/>
    </row>
    <row r="32" spans="1:37">
      <c r="A32" s="37">
        <v>39262</v>
      </c>
      <c r="B32" s="41">
        <f>B31-D31</f>
        <v>41936670.643680453</v>
      </c>
      <c r="C32" s="38">
        <f t="shared" ref="C32:C60" si="3">B32*$B$27</f>
        <v>2404373.0412035738</v>
      </c>
      <c r="D32" s="38">
        <f t="shared" ref="D32:D60" si="4">$B$24-C32</f>
        <v>595626.95879642619</v>
      </c>
      <c r="E32" s="39">
        <f>C32+D32</f>
        <v>3000000</v>
      </c>
      <c r="F32" s="40">
        <f>F31-E32</f>
        <v>84000000</v>
      </c>
      <c r="H32" s="25"/>
      <c r="L32" s="26"/>
      <c r="N32" s="25"/>
      <c r="R32" s="26"/>
    </row>
    <row r="33" spans="1:19">
      <c r="A33" s="37">
        <v>39628</v>
      </c>
      <c r="B33" s="41">
        <f>B32-D32</f>
        <v>41341043.684884027</v>
      </c>
      <c r="C33" s="38">
        <f t="shared" si="3"/>
        <v>2370223.7064957167</v>
      </c>
      <c r="D33" s="38">
        <f t="shared" si="4"/>
        <v>629776.2935042833</v>
      </c>
      <c r="E33" s="39">
        <f>C33+D33</f>
        <v>3000000</v>
      </c>
      <c r="F33" s="40">
        <f t="shared" ref="F33:F60" si="5">F32-E33</f>
        <v>81000000</v>
      </c>
      <c r="H33" s="25"/>
      <c r="L33" s="26"/>
      <c r="N33" s="25"/>
      <c r="R33" s="26"/>
    </row>
    <row r="34" spans="1:19">
      <c r="A34" s="37">
        <v>39993</v>
      </c>
      <c r="B34" s="41">
        <f t="shared" ref="B34:B60" si="6">B33-D33</f>
        <v>40711267.391379744</v>
      </c>
      <c r="C34" s="38">
        <f t="shared" si="3"/>
        <v>2334116.4734023577</v>
      </c>
      <c r="D34" s="38">
        <f t="shared" si="4"/>
        <v>665883.52659764234</v>
      </c>
      <c r="E34" s="39">
        <f t="shared" ref="E34:E60" si="7">C34+D34</f>
        <v>3000000</v>
      </c>
      <c r="F34" s="40">
        <f t="shared" si="5"/>
        <v>78000000</v>
      </c>
      <c r="H34" s="25"/>
      <c r="L34" s="26"/>
      <c r="N34" s="25"/>
      <c r="R34" s="26"/>
    </row>
    <row r="35" spans="1:19">
      <c r="A35" s="37">
        <v>40358</v>
      </c>
      <c r="B35" s="41">
        <f t="shared" si="6"/>
        <v>40045383.864782102</v>
      </c>
      <c r="C35" s="38">
        <f t="shared" si="3"/>
        <v>2295939.0888995132</v>
      </c>
      <c r="D35" s="38">
        <f t="shared" si="4"/>
        <v>704060.91110048676</v>
      </c>
      <c r="E35" s="39">
        <f t="shared" si="7"/>
        <v>3000000</v>
      </c>
      <c r="F35" s="40">
        <f t="shared" si="5"/>
        <v>75000000</v>
      </c>
      <c r="H35" s="25"/>
      <c r="L35" s="26"/>
      <c r="N35" s="25"/>
      <c r="R35" s="26"/>
    </row>
    <row r="36" spans="1:19">
      <c r="A36" s="37">
        <v>40723</v>
      </c>
      <c r="B36" s="41">
        <f t="shared" si="6"/>
        <v>39341322.953681618</v>
      </c>
      <c r="C36" s="38">
        <f t="shared" si="3"/>
        <v>2255572.8641126552</v>
      </c>
      <c r="D36" s="38">
        <f t="shared" si="4"/>
        <v>744427.13588734483</v>
      </c>
      <c r="E36" s="39">
        <f t="shared" si="7"/>
        <v>3000000</v>
      </c>
      <c r="F36" s="40">
        <f t="shared" si="5"/>
        <v>72000000</v>
      </c>
      <c r="H36" s="25"/>
      <c r="L36" s="26"/>
      <c r="N36" s="25"/>
      <c r="R36" s="26"/>
    </row>
    <row r="37" spans="1:19">
      <c r="A37" s="37">
        <v>41089</v>
      </c>
      <c r="B37" s="41">
        <f t="shared" si="6"/>
        <v>38596895.817794271</v>
      </c>
      <c r="C37" s="38">
        <f t="shared" si="3"/>
        <v>2212892.3053273419</v>
      </c>
      <c r="D37" s="38">
        <f t="shared" si="4"/>
        <v>787107.69467265811</v>
      </c>
      <c r="E37" s="39">
        <f t="shared" si="7"/>
        <v>3000000</v>
      </c>
      <c r="F37" s="40">
        <f t="shared" si="5"/>
        <v>69000000</v>
      </c>
      <c r="H37" s="25"/>
      <c r="L37" s="26"/>
      <c r="N37" s="25"/>
      <c r="R37" s="26"/>
    </row>
    <row r="38" spans="1:19">
      <c r="A38" s="37">
        <v>41454</v>
      </c>
      <c r="B38" s="41">
        <f t="shared" si="6"/>
        <v>37809788.123121612</v>
      </c>
      <c r="C38" s="38">
        <f>B38*$B$27</f>
        <v>2167764.7238444276</v>
      </c>
      <c r="D38" s="38">
        <f t="shared" si="4"/>
        <v>832235.27615557238</v>
      </c>
      <c r="E38" s="39">
        <f t="shared" si="7"/>
        <v>3000000</v>
      </c>
      <c r="F38" s="40">
        <f t="shared" si="5"/>
        <v>66000000</v>
      </c>
      <c r="H38" s="25"/>
      <c r="L38" s="26"/>
      <c r="N38" s="25"/>
      <c r="P38" s="42"/>
      <c r="R38" s="26"/>
    </row>
    <row r="39" spans="1:19">
      <c r="A39" s="37">
        <v>41819</v>
      </c>
      <c r="B39" s="41">
        <f>B38-D38</f>
        <v>36977552.846966043</v>
      </c>
      <c r="C39" s="38">
        <f t="shared" si="3"/>
        <v>2120049.8234669319</v>
      </c>
      <c r="D39" s="38">
        <f t="shared" si="4"/>
        <v>879950.17653306806</v>
      </c>
      <c r="E39" s="39">
        <f t="shared" si="7"/>
        <v>3000000</v>
      </c>
      <c r="F39" s="40">
        <f t="shared" si="5"/>
        <v>63000000</v>
      </c>
      <c r="H39" s="37">
        <v>41729</v>
      </c>
      <c r="I39" s="43">
        <v>0</v>
      </c>
      <c r="J39" s="38">
        <v>2120794</v>
      </c>
      <c r="K39" s="38">
        <v>890000</v>
      </c>
      <c r="L39" s="39">
        <f t="shared" ref="L39" si="8">J39+K39</f>
        <v>3010794</v>
      </c>
      <c r="N39" s="37">
        <v>41729</v>
      </c>
      <c r="O39" s="43">
        <v>0.04</v>
      </c>
      <c r="P39" s="38">
        <f>887220+1013770</f>
        <v>1900990</v>
      </c>
      <c r="Q39" s="38">
        <v>1100000</v>
      </c>
      <c r="R39" s="39">
        <f t="shared" ref="R39:R53" si="9">P39+Q39</f>
        <v>3000990</v>
      </c>
      <c r="S39" s="41">
        <f>L39-R39</f>
        <v>9804</v>
      </c>
    </row>
    <row r="40" spans="1:19">
      <c r="A40" s="37">
        <v>42184</v>
      </c>
      <c r="B40" s="41">
        <f t="shared" si="6"/>
        <v>36097602.670432977</v>
      </c>
      <c r="C40" s="38">
        <f t="shared" si="3"/>
        <v>2069599.2643361189</v>
      </c>
      <c r="D40" s="38">
        <f t="shared" si="4"/>
        <v>930400.73566388106</v>
      </c>
      <c r="E40" s="39">
        <f t="shared" si="7"/>
        <v>3000000</v>
      </c>
      <c r="F40" s="40">
        <f t="shared" si="5"/>
        <v>60000000</v>
      </c>
      <c r="H40" s="37">
        <v>42094</v>
      </c>
      <c r="I40" s="43">
        <v>0</v>
      </c>
      <c r="J40" s="38">
        <v>2076725</v>
      </c>
      <c r="K40" s="38">
        <v>935000</v>
      </c>
      <c r="L40" s="39">
        <f t="shared" ref="L40:L60" si="10">J40+K40</f>
        <v>3011725</v>
      </c>
      <c r="N40" s="37">
        <v>42094</v>
      </c>
      <c r="O40" s="43">
        <v>0.04</v>
      </c>
      <c r="P40" s="38">
        <v>1434700</v>
      </c>
      <c r="Q40" s="38">
        <v>1575000</v>
      </c>
      <c r="R40" s="39">
        <f t="shared" si="9"/>
        <v>3009700</v>
      </c>
      <c r="S40" s="41">
        <f t="shared" ref="S40:S60" si="11">L40-R40</f>
        <v>2025</v>
      </c>
    </row>
    <row r="41" spans="1:19">
      <c r="A41" s="37">
        <v>42550</v>
      </c>
      <c r="B41" s="41">
        <f t="shared" si="6"/>
        <v>35167201.934769094</v>
      </c>
      <c r="C41" s="38">
        <f t="shared" si="3"/>
        <v>2016256.201760804</v>
      </c>
      <c r="D41" s="38">
        <f t="shared" si="4"/>
        <v>983743.79823919595</v>
      </c>
      <c r="E41" s="39">
        <f t="shared" si="7"/>
        <v>3000000</v>
      </c>
      <c r="F41" s="40">
        <f t="shared" si="5"/>
        <v>57000000</v>
      </c>
      <c r="H41" s="37">
        <v>42460</v>
      </c>
      <c r="I41" s="43">
        <v>5.5E-2</v>
      </c>
      <c r="J41" s="38">
        <v>2030706</v>
      </c>
      <c r="K41" s="38">
        <v>1000000</v>
      </c>
      <c r="L41" s="39">
        <f t="shared" si="10"/>
        <v>3030706</v>
      </c>
      <c r="N41" s="37">
        <v>42460</v>
      </c>
      <c r="O41" s="43">
        <v>0.04</v>
      </c>
      <c r="P41" s="38">
        <v>1371700</v>
      </c>
      <c r="Q41" s="38">
        <v>1655000</v>
      </c>
      <c r="R41" s="39">
        <f t="shared" si="9"/>
        <v>3026700</v>
      </c>
      <c r="S41" s="41">
        <f t="shared" si="11"/>
        <v>4006</v>
      </c>
    </row>
    <row r="42" spans="1:19">
      <c r="A42" s="37">
        <v>42915</v>
      </c>
      <c r="B42" s="41">
        <f t="shared" si="6"/>
        <v>34183458.1365299</v>
      </c>
      <c r="C42" s="38">
        <f t="shared" si="3"/>
        <v>1959854.7986061655</v>
      </c>
      <c r="D42" s="38">
        <f>$B$24-C42</f>
        <v>1040145.2013938345</v>
      </c>
      <c r="E42" s="39">
        <f t="shared" si="7"/>
        <v>3000000</v>
      </c>
      <c r="F42" s="40">
        <f t="shared" si="5"/>
        <v>54000000</v>
      </c>
      <c r="H42" s="37">
        <v>42825</v>
      </c>
      <c r="I42" s="43">
        <v>5.1249999999999997E-2</v>
      </c>
      <c r="J42" s="38">
        <v>1975706</v>
      </c>
      <c r="K42" s="38">
        <v>1025000</v>
      </c>
      <c r="L42" s="39">
        <f t="shared" si="10"/>
        <v>3000706</v>
      </c>
      <c r="N42" s="37">
        <v>42825</v>
      </c>
      <c r="O42" s="43">
        <v>0.05</v>
      </c>
      <c r="P42" s="38">
        <v>1305500</v>
      </c>
      <c r="Q42" s="38">
        <v>1695000</v>
      </c>
      <c r="R42" s="39">
        <f t="shared" si="9"/>
        <v>3000500</v>
      </c>
      <c r="S42" s="41">
        <f t="shared" si="11"/>
        <v>206</v>
      </c>
    </row>
    <row r="43" spans="1:19">
      <c r="A43" s="37">
        <v>43280</v>
      </c>
      <c r="B43" s="41">
        <f t="shared" si="6"/>
        <v>33143312.935136065</v>
      </c>
      <c r="C43" s="38">
        <f t="shared" si="3"/>
        <v>1900219.7097261313</v>
      </c>
      <c r="D43" s="38">
        <f t="shared" si="4"/>
        <v>1099780.2902738687</v>
      </c>
      <c r="E43" s="39">
        <f t="shared" si="7"/>
        <v>3000000</v>
      </c>
      <c r="F43" s="40">
        <f t="shared" si="5"/>
        <v>51000000</v>
      </c>
      <c r="H43" s="37">
        <v>43190</v>
      </c>
      <c r="I43" s="43">
        <v>0</v>
      </c>
      <c r="J43" s="38">
        <v>1923175</v>
      </c>
      <c r="K43" s="38">
        <v>1090000</v>
      </c>
      <c r="L43" s="39">
        <f t="shared" si="10"/>
        <v>3013175</v>
      </c>
      <c r="N43" s="37">
        <v>43190</v>
      </c>
      <c r="O43" s="43">
        <v>0.05</v>
      </c>
      <c r="P43" s="38">
        <v>1220750</v>
      </c>
      <c r="Q43" s="38">
        <v>1790000</v>
      </c>
      <c r="R43" s="39">
        <f t="shared" si="9"/>
        <v>3010750</v>
      </c>
      <c r="S43" s="41">
        <f t="shared" si="11"/>
        <v>2425</v>
      </c>
    </row>
    <row r="44" spans="1:19">
      <c r="A44" s="37">
        <v>43645</v>
      </c>
      <c r="B44" s="41">
        <f t="shared" si="6"/>
        <v>32043532.644862197</v>
      </c>
      <c r="C44" s="38">
        <f t="shared" si="3"/>
        <v>1837165.5368365149</v>
      </c>
      <c r="D44" s="38">
        <f t="shared" si="4"/>
        <v>1162834.4631634851</v>
      </c>
      <c r="E44" s="39">
        <f t="shared" si="7"/>
        <v>3000000</v>
      </c>
      <c r="F44" s="40">
        <f t="shared" si="5"/>
        <v>48000000</v>
      </c>
      <c r="H44" s="37">
        <v>43555</v>
      </c>
      <c r="I44" s="43">
        <v>5.5E-2</v>
      </c>
      <c r="J44" s="38">
        <v>1864863</v>
      </c>
      <c r="K44" s="38">
        <v>1145000</v>
      </c>
      <c r="L44" s="39">
        <f t="shared" si="10"/>
        <v>3009863</v>
      </c>
      <c r="N44" s="37">
        <v>43555</v>
      </c>
      <c r="O44" s="43">
        <v>0.05</v>
      </c>
      <c r="P44" s="38">
        <v>1131250</v>
      </c>
      <c r="Q44" s="38">
        <v>1875000</v>
      </c>
      <c r="R44" s="39">
        <f t="shared" si="9"/>
        <v>3006250</v>
      </c>
      <c r="S44" s="41">
        <f t="shared" si="11"/>
        <v>3613</v>
      </c>
    </row>
    <row r="45" spans="1:19">
      <c r="A45" s="37">
        <v>44011</v>
      </c>
      <c r="B45" s="41">
        <f t="shared" si="6"/>
        <v>30880698.181698713</v>
      </c>
      <c r="C45" s="38">
        <f t="shared" si="3"/>
        <v>1770496.2521341532</v>
      </c>
      <c r="D45" s="38">
        <f t="shared" si="4"/>
        <v>1229503.7478658468</v>
      </c>
      <c r="E45" s="39">
        <f t="shared" si="7"/>
        <v>3000000</v>
      </c>
      <c r="F45" s="40">
        <f t="shared" si="5"/>
        <v>45000000</v>
      </c>
      <c r="H45" s="37">
        <v>43921</v>
      </c>
      <c r="I45" s="43">
        <v>5.5E-2</v>
      </c>
      <c r="J45" s="38">
        <v>1801888</v>
      </c>
      <c r="K45" s="38">
        <v>1210000</v>
      </c>
      <c r="L45" s="39">
        <f t="shared" si="10"/>
        <v>3011888</v>
      </c>
      <c r="N45" s="37">
        <v>43921</v>
      </c>
      <c r="O45" s="43">
        <v>0.05</v>
      </c>
      <c r="P45" s="38">
        <v>1037500</v>
      </c>
      <c r="Q45" s="38">
        <v>1970000</v>
      </c>
      <c r="R45" s="39">
        <f t="shared" si="9"/>
        <v>3007500</v>
      </c>
      <c r="S45" s="41">
        <f t="shared" si="11"/>
        <v>4388</v>
      </c>
    </row>
    <row r="46" spans="1:19">
      <c r="A46" s="37">
        <v>44376</v>
      </c>
      <c r="B46" s="41">
        <f t="shared" si="6"/>
        <v>29651194.433832865</v>
      </c>
      <c r="C46" s="38">
        <f t="shared" si="3"/>
        <v>1700004.5888701577</v>
      </c>
      <c r="D46" s="38">
        <f t="shared" si="4"/>
        <v>1299995.4111298423</v>
      </c>
      <c r="E46" s="39">
        <f t="shared" si="7"/>
        <v>3000000</v>
      </c>
      <c r="F46" s="40">
        <f t="shared" si="5"/>
        <v>42000000</v>
      </c>
      <c r="H46" s="37">
        <v>44286</v>
      </c>
      <c r="I46" s="43">
        <v>0</v>
      </c>
      <c r="J46" s="38">
        <v>1735338</v>
      </c>
      <c r="K46" s="38">
        <v>1275000</v>
      </c>
      <c r="L46" s="39">
        <f t="shared" si="10"/>
        <v>3010338</v>
      </c>
      <c r="N46" s="37">
        <v>44286</v>
      </c>
      <c r="O46" s="43">
        <v>0.05</v>
      </c>
      <c r="P46" s="38">
        <v>939000</v>
      </c>
      <c r="Q46" s="38">
        <v>2070000</v>
      </c>
      <c r="R46" s="39">
        <f t="shared" si="9"/>
        <v>3009000</v>
      </c>
      <c r="S46" s="41">
        <f t="shared" si="11"/>
        <v>1338</v>
      </c>
    </row>
    <row r="47" spans="1:19">
      <c r="A47" s="37">
        <v>44741</v>
      </c>
      <c r="B47" s="41">
        <f t="shared" si="6"/>
        <v>28351199.022703022</v>
      </c>
      <c r="C47" s="38">
        <f t="shared" si="3"/>
        <v>1625471.3969826428</v>
      </c>
      <c r="D47" s="38">
        <f t="shared" si="4"/>
        <v>1374528.6030173572</v>
      </c>
      <c r="E47" s="39">
        <f t="shared" si="7"/>
        <v>3000000</v>
      </c>
      <c r="F47" s="40">
        <f t="shared" si="5"/>
        <v>39000000</v>
      </c>
      <c r="H47" s="37">
        <v>44651</v>
      </c>
      <c r="I47" s="43">
        <v>0</v>
      </c>
      <c r="J47" s="38">
        <v>1662306</v>
      </c>
      <c r="K47" s="38">
        <v>1350000</v>
      </c>
      <c r="L47" s="39">
        <f t="shared" si="10"/>
        <v>3012306</v>
      </c>
      <c r="N47" s="37">
        <v>44651</v>
      </c>
      <c r="O47" s="43">
        <v>0.05</v>
      </c>
      <c r="P47" s="38">
        <v>835500</v>
      </c>
      <c r="Q47" s="38">
        <v>2175000</v>
      </c>
      <c r="R47" s="39">
        <f t="shared" si="9"/>
        <v>3010500</v>
      </c>
      <c r="S47" s="41">
        <f t="shared" si="11"/>
        <v>1806</v>
      </c>
    </row>
    <row r="48" spans="1:19">
      <c r="A48" s="37">
        <v>45106</v>
      </c>
      <c r="B48" s="41">
        <f t="shared" si="6"/>
        <v>26976670.419685666</v>
      </c>
      <c r="C48" s="38">
        <f t="shared" si="3"/>
        <v>1546664.9617856664</v>
      </c>
      <c r="D48" s="38">
        <f t="shared" si="4"/>
        <v>1453335.0382143336</v>
      </c>
      <c r="E48" s="39">
        <f t="shared" si="7"/>
        <v>3000000</v>
      </c>
      <c r="F48" s="40">
        <f t="shared" si="5"/>
        <v>36000000</v>
      </c>
      <c r="H48" s="37">
        <v>45016</v>
      </c>
      <c r="I48" s="43">
        <v>0</v>
      </c>
      <c r="J48" s="38">
        <v>1584281</v>
      </c>
      <c r="K48" s="38">
        <v>1425000</v>
      </c>
      <c r="L48" s="39">
        <f t="shared" si="10"/>
        <v>3009281</v>
      </c>
      <c r="N48" s="37">
        <v>45016</v>
      </c>
      <c r="O48" s="43">
        <v>0.05</v>
      </c>
      <c r="P48" s="38">
        <v>726750</v>
      </c>
      <c r="Q48" s="38">
        <v>2280000</v>
      </c>
      <c r="R48" s="39">
        <f t="shared" si="9"/>
        <v>3006750</v>
      </c>
      <c r="S48" s="41">
        <f t="shared" si="11"/>
        <v>2531</v>
      </c>
    </row>
    <row r="49" spans="1:19">
      <c r="A49" s="37">
        <v>45472</v>
      </c>
      <c r="B49" s="41">
        <f t="shared" si="6"/>
        <v>25523335.381471332</v>
      </c>
      <c r="C49" s="38">
        <f t="shared" si="3"/>
        <v>1463340.2835962765</v>
      </c>
      <c r="D49" s="38">
        <f t="shared" si="4"/>
        <v>1536659.7164037235</v>
      </c>
      <c r="E49" s="39">
        <f t="shared" si="7"/>
        <v>3000000</v>
      </c>
      <c r="F49" s="40">
        <f t="shared" si="5"/>
        <v>33000000</v>
      </c>
      <c r="H49" s="37">
        <v>45382</v>
      </c>
      <c r="I49" s="43">
        <v>5.8749999999999997E-2</v>
      </c>
      <c r="J49" s="38">
        <v>1501938</v>
      </c>
      <c r="K49" s="38">
        <v>1510000</v>
      </c>
      <c r="L49" s="39">
        <f t="shared" si="10"/>
        <v>3011938</v>
      </c>
      <c r="N49" s="37">
        <v>45382</v>
      </c>
      <c r="O49" s="43">
        <v>0.05</v>
      </c>
      <c r="P49" s="38">
        <v>612750</v>
      </c>
      <c r="Q49" s="38">
        <v>2395000</v>
      </c>
      <c r="R49" s="39">
        <f t="shared" si="9"/>
        <v>3007750</v>
      </c>
      <c r="S49" s="41">
        <f t="shared" si="11"/>
        <v>4188</v>
      </c>
    </row>
    <row r="50" spans="1:19">
      <c r="A50" s="37">
        <v>45837</v>
      </c>
      <c r="B50" s="41">
        <f t="shared" si="6"/>
        <v>23986675.665067609</v>
      </c>
      <c r="C50" s="38">
        <f t="shared" si="3"/>
        <v>1375238.3160601053</v>
      </c>
      <c r="D50" s="38">
        <f t="shared" si="4"/>
        <v>1624761.6839398947</v>
      </c>
      <c r="E50" s="39">
        <f t="shared" si="7"/>
        <v>3000000</v>
      </c>
      <c r="F50" s="40">
        <f t="shared" si="5"/>
        <v>30000000</v>
      </c>
      <c r="H50" s="37">
        <v>45747</v>
      </c>
      <c r="I50" s="43">
        <v>5.8749999999999997E-2</v>
      </c>
      <c r="J50" s="38">
        <v>1413225</v>
      </c>
      <c r="K50" s="38">
        <v>1595000</v>
      </c>
      <c r="L50" s="39">
        <f t="shared" si="10"/>
        <v>3008225</v>
      </c>
      <c r="N50" s="37">
        <v>45747</v>
      </c>
      <c r="O50" s="43">
        <v>0.05</v>
      </c>
      <c r="P50" s="38">
        <v>493000</v>
      </c>
      <c r="Q50" s="38">
        <v>2515000</v>
      </c>
      <c r="R50" s="39">
        <f t="shared" si="9"/>
        <v>3008000</v>
      </c>
      <c r="S50" s="41">
        <f t="shared" si="11"/>
        <v>225</v>
      </c>
    </row>
    <row r="51" spans="1:19">
      <c r="A51" s="37">
        <v>46202</v>
      </c>
      <c r="B51" s="41">
        <f t="shared" si="6"/>
        <v>22361913.981127717</v>
      </c>
      <c r="C51" s="38">
        <f t="shared" si="3"/>
        <v>1282085.1608075607</v>
      </c>
      <c r="D51" s="38">
        <f t="shared" si="4"/>
        <v>1717914.8391924393</v>
      </c>
      <c r="E51" s="39">
        <f t="shared" si="7"/>
        <v>3000000</v>
      </c>
      <c r="F51" s="40">
        <f t="shared" si="5"/>
        <v>27000000</v>
      </c>
      <c r="H51" s="37">
        <v>46112</v>
      </c>
      <c r="I51" s="43">
        <v>5.8749999999999997E-2</v>
      </c>
      <c r="J51" s="38">
        <v>1319519</v>
      </c>
      <c r="K51" s="38">
        <v>1690000</v>
      </c>
      <c r="L51" s="39">
        <f t="shared" si="10"/>
        <v>3009519</v>
      </c>
      <c r="N51" s="37">
        <v>46112</v>
      </c>
      <c r="O51" s="43">
        <v>0.05</v>
      </c>
      <c r="P51" s="38">
        <v>367250</v>
      </c>
      <c r="Q51" s="38">
        <v>2640000</v>
      </c>
      <c r="R51" s="39">
        <f t="shared" si="9"/>
        <v>3007250</v>
      </c>
      <c r="S51" s="41">
        <f t="shared" si="11"/>
        <v>2269</v>
      </c>
    </row>
    <row r="52" spans="1:19">
      <c r="A52" s="37">
        <v>46567</v>
      </c>
      <c r="B52" s="41">
        <f t="shared" si="6"/>
        <v>20643999.141935278</v>
      </c>
      <c r="C52" s="38">
        <f t="shared" si="3"/>
        <v>1183591.2159368964</v>
      </c>
      <c r="D52" s="38">
        <f t="shared" si="4"/>
        <v>1816408.7840631036</v>
      </c>
      <c r="E52" s="39">
        <f t="shared" si="7"/>
        <v>3000000</v>
      </c>
      <c r="F52" s="40">
        <f t="shared" si="5"/>
        <v>24000000</v>
      </c>
      <c r="H52" s="37">
        <v>46477</v>
      </c>
      <c r="I52" s="43">
        <v>5.8749999999999997E-2</v>
      </c>
      <c r="J52" s="38">
        <v>1220231</v>
      </c>
      <c r="K52" s="38">
        <v>1790000</v>
      </c>
      <c r="L52" s="39">
        <f t="shared" si="10"/>
        <v>3010231</v>
      </c>
      <c r="N52" s="37">
        <v>46477</v>
      </c>
      <c r="O52" s="43">
        <v>0</v>
      </c>
      <c r="P52" s="38">
        <v>235250</v>
      </c>
      <c r="Q52" s="38">
        <v>2770000</v>
      </c>
      <c r="R52" s="39">
        <f t="shared" si="9"/>
        <v>3005250</v>
      </c>
      <c r="S52" s="41">
        <f t="shared" si="11"/>
        <v>4981</v>
      </c>
    </row>
    <row r="53" spans="1:19">
      <c r="A53" s="37">
        <v>46933</v>
      </c>
      <c r="B53" s="41">
        <f t="shared" si="6"/>
        <v>18827590.357872173</v>
      </c>
      <c r="C53" s="38">
        <f t="shared" si="3"/>
        <v>1079450.2756768994</v>
      </c>
      <c r="D53" s="38">
        <f t="shared" si="4"/>
        <v>1920549.7243231006</v>
      </c>
      <c r="E53" s="39">
        <f t="shared" si="7"/>
        <v>3000000</v>
      </c>
      <c r="F53" s="40">
        <f t="shared" si="5"/>
        <v>21000000</v>
      </c>
      <c r="H53" s="37">
        <v>46843</v>
      </c>
      <c r="I53" s="43">
        <v>5.8749999999999997E-2</v>
      </c>
      <c r="J53" s="38">
        <v>1115069</v>
      </c>
      <c r="K53" s="38">
        <v>1895000</v>
      </c>
      <c r="L53" s="39">
        <f t="shared" si="10"/>
        <v>3010069</v>
      </c>
      <c r="N53" s="37">
        <v>46843</v>
      </c>
      <c r="O53" s="43">
        <v>0</v>
      </c>
      <c r="P53" s="38">
        <v>106750</v>
      </c>
      <c r="Q53" s="38">
        <v>2435000</v>
      </c>
      <c r="R53" s="39">
        <f t="shared" si="9"/>
        <v>2541750</v>
      </c>
      <c r="S53" s="41">
        <f t="shared" si="11"/>
        <v>468319</v>
      </c>
    </row>
    <row r="54" spans="1:19">
      <c r="A54" s="37">
        <v>47298</v>
      </c>
      <c r="B54" s="41">
        <f t="shared" si="6"/>
        <v>16907040.633549072</v>
      </c>
      <c r="C54" s="38">
        <f t="shared" si="3"/>
        <v>969338.5784301539</v>
      </c>
      <c r="D54" s="38">
        <f t="shared" si="4"/>
        <v>2030661.4215698461</v>
      </c>
      <c r="E54" s="39">
        <f t="shared" si="7"/>
        <v>3000000</v>
      </c>
      <c r="F54" s="40">
        <f t="shared" si="5"/>
        <v>18000000</v>
      </c>
      <c r="H54" s="37">
        <v>47208</v>
      </c>
      <c r="I54" s="43">
        <v>5.8749999999999997E-2</v>
      </c>
      <c r="J54" s="38">
        <v>1003738</v>
      </c>
      <c r="K54" s="38">
        <v>2005000</v>
      </c>
      <c r="L54" s="39">
        <f t="shared" si="10"/>
        <v>3008738</v>
      </c>
      <c r="N54" s="37"/>
      <c r="O54" s="41"/>
      <c r="P54" s="38"/>
      <c r="Q54" s="38"/>
      <c r="R54" s="39"/>
      <c r="S54" s="41">
        <f t="shared" si="11"/>
        <v>3008738</v>
      </c>
    </row>
    <row r="55" spans="1:19">
      <c r="A55" s="37">
        <v>47663</v>
      </c>
      <c r="B55" s="41">
        <f t="shared" si="6"/>
        <v>14876379.211979225</v>
      </c>
      <c r="C55" s="38">
        <f t="shared" si="3"/>
        <v>852913.80023736204</v>
      </c>
      <c r="D55" s="38">
        <f t="shared" si="4"/>
        <v>2147086.1997626377</v>
      </c>
      <c r="E55" s="39">
        <f t="shared" si="7"/>
        <v>3000000</v>
      </c>
      <c r="F55" s="40">
        <f t="shared" si="5"/>
        <v>15000000</v>
      </c>
      <c r="H55" s="37">
        <v>47573</v>
      </c>
      <c r="I55" s="43">
        <v>5.8749999999999997E-2</v>
      </c>
      <c r="J55" s="38">
        <v>885944</v>
      </c>
      <c r="K55" s="38">
        <v>2125000</v>
      </c>
      <c r="L55" s="39">
        <f t="shared" si="10"/>
        <v>3010944</v>
      </c>
      <c r="N55" s="37"/>
      <c r="O55" s="41"/>
      <c r="P55" s="38"/>
      <c r="Q55" s="38"/>
      <c r="R55" s="39"/>
      <c r="S55" s="41">
        <f t="shared" si="11"/>
        <v>3010944</v>
      </c>
    </row>
    <row r="56" spans="1:19">
      <c r="A56" s="37">
        <v>48028</v>
      </c>
      <c r="B56" s="41">
        <f t="shared" si="6"/>
        <v>12729293.012216587</v>
      </c>
      <c r="C56" s="38">
        <f t="shared" si="3"/>
        <v>729813.99053352582</v>
      </c>
      <c r="D56" s="38">
        <f t="shared" si="4"/>
        <v>2270186.0094664739</v>
      </c>
      <c r="E56" s="39">
        <f t="shared" si="7"/>
        <v>3000000</v>
      </c>
      <c r="F56" s="40">
        <f t="shared" si="5"/>
        <v>12000000</v>
      </c>
      <c r="H56" s="37">
        <v>47938</v>
      </c>
      <c r="I56" s="43">
        <v>0.06</v>
      </c>
      <c r="J56" s="38">
        <v>761100</v>
      </c>
      <c r="K56" s="38">
        <v>2250000</v>
      </c>
      <c r="L56" s="39">
        <f t="shared" si="10"/>
        <v>3011100</v>
      </c>
      <c r="N56" s="37"/>
      <c r="O56" s="41"/>
      <c r="P56" s="38"/>
      <c r="Q56" s="38"/>
      <c r="R56" s="39"/>
      <c r="S56" s="41">
        <f t="shared" si="11"/>
        <v>3011100</v>
      </c>
    </row>
    <row r="57" spans="1:19">
      <c r="A57" s="37">
        <v>48394</v>
      </c>
      <c r="B57" s="41">
        <f t="shared" si="6"/>
        <v>10459107.002750114</v>
      </c>
      <c r="C57" s="38">
        <f t="shared" si="3"/>
        <v>599656.44688738405</v>
      </c>
      <c r="D57" s="38">
        <f t="shared" si="4"/>
        <v>2400343.5531126158</v>
      </c>
      <c r="E57" s="39">
        <f t="shared" si="7"/>
        <v>3000000</v>
      </c>
      <c r="F57" s="40">
        <f t="shared" si="5"/>
        <v>9000000</v>
      </c>
      <c r="H57" s="37">
        <v>48304</v>
      </c>
      <c r="I57" s="43">
        <v>0.06</v>
      </c>
      <c r="J57" s="38">
        <v>626100</v>
      </c>
      <c r="K57" s="38">
        <v>2385000</v>
      </c>
      <c r="L57" s="39">
        <f t="shared" si="10"/>
        <v>3011100</v>
      </c>
      <c r="N57" s="37"/>
      <c r="O57" s="41"/>
      <c r="P57" s="38"/>
      <c r="Q57" s="38"/>
      <c r="R57" s="39"/>
      <c r="S57" s="41">
        <f t="shared" si="11"/>
        <v>3011100</v>
      </c>
    </row>
    <row r="58" spans="1:19">
      <c r="A58" s="37">
        <v>48759</v>
      </c>
      <c r="B58" s="41">
        <f t="shared" si="6"/>
        <v>8058763.4496374978</v>
      </c>
      <c r="C58" s="38">
        <f t="shared" si="3"/>
        <v>462036.52522580436</v>
      </c>
      <c r="D58" s="38">
        <f t="shared" si="4"/>
        <v>2537963.4747741958</v>
      </c>
      <c r="E58" s="39">
        <f t="shared" si="7"/>
        <v>3000000</v>
      </c>
      <c r="F58" s="40">
        <f t="shared" si="5"/>
        <v>6000000</v>
      </c>
      <c r="H58" s="37">
        <v>48669</v>
      </c>
      <c r="I58" s="43">
        <v>0.06</v>
      </c>
      <c r="J58" s="38">
        <v>483000</v>
      </c>
      <c r="K58" s="38">
        <v>2530000</v>
      </c>
      <c r="L58" s="39">
        <f t="shared" si="10"/>
        <v>3013000</v>
      </c>
      <c r="N58" s="37"/>
      <c r="O58" s="41"/>
      <c r="P58" s="38"/>
      <c r="Q58" s="38"/>
      <c r="R58" s="39"/>
      <c r="S58" s="41">
        <f t="shared" si="11"/>
        <v>3013000</v>
      </c>
    </row>
    <row r="59" spans="1:19">
      <c r="A59" s="37">
        <v>49124</v>
      </c>
      <c r="B59" s="41">
        <f t="shared" si="6"/>
        <v>5520799.974863302</v>
      </c>
      <c r="C59" s="38">
        <f t="shared" si="3"/>
        <v>316526.38184426294</v>
      </c>
      <c r="D59" s="38">
        <f t="shared" si="4"/>
        <v>2683473.6181557369</v>
      </c>
      <c r="E59" s="39">
        <f t="shared" si="7"/>
        <v>3000000</v>
      </c>
      <c r="F59" s="40">
        <f t="shared" si="5"/>
        <v>3000000</v>
      </c>
      <c r="H59" s="37">
        <v>49034</v>
      </c>
      <c r="I59" s="43">
        <v>0.06</v>
      </c>
      <c r="J59" s="38">
        <v>331200</v>
      </c>
      <c r="K59" s="38">
        <v>2680000</v>
      </c>
      <c r="L59" s="39">
        <f t="shared" si="10"/>
        <v>3011200</v>
      </c>
      <c r="N59" s="37"/>
      <c r="O59" s="41"/>
      <c r="P59" s="38"/>
      <c r="Q59" s="38"/>
      <c r="R59" s="39"/>
      <c r="S59" s="41">
        <f t="shared" si="11"/>
        <v>3011200</v>
      </c>
    </row>
    <row r="60" spans="1:19">
      <c r="A60" s="37">
        <v>49489</v>
      </c>
      <c r="B60" s="41">
        <f t="shared" si="6"/>
        <v>2837326.356707565</v>
      </c>
      <c r="C60" s="38">
        <f t="shared" si="3"/>
        <v>162673.64329247363</v>
      </c>
      <c r="D60" s="38">
        <f t="shared" si="4"/>
        <v>2837326.3567075264</v>
      </c>
      <c r="E60" s="39">
        <f t="shared" si="7"/>
        <v>3000000</v>
      </c>
      <c r="F60" s="40">
        <f t="shared" si="5"/>
        <v>0</v>
      </c>
      <c r="H60" s="37">
        <v>49399</v>
      </c>
      <c r="I60" s="43">
        <v>0.06</v>
      </c>
      <c r="J60" s="38">
        <v>170400</v>
      </c>
      <c r="K60" s="38">
        <v>2840000</v>
      </c>
      <c r="L60" s="39">
        <f t="shared" si="10"/>
        <v>3010400</v>
      </c>
      <c r="N60" s="37"/>
      <c r="O60" s="41"/>
      <c r="P60" s="38"/>
      <c r="Q60" s="38"/>
      <c r="R60" s="39"/>
      <c r="S60" s="41">
        <f t="shared" si="11"/>
        <v>3010400</v>
      </c>
    </row>
    <row r="61" spans="1:19">
      <c r="A61" s="25"/>
      <c r="C61" s="12"/>
      <c r="D61" s="12"/>
      <c r="E61" s="44"/>
      <c r="H61" s="25"/>
      <c r="J61" s="12"/>
      <c r="K61" s="12"/>
      <c r="L61" s="44"/>
      <c r="N61" s="25"/>
      <c r="P61" s="12"/>
      <c r="Q61" s="12"/>
      <c r="R61" s="44"/>
      <c r="S61" s="12"/>
    </row>
    <row r="62" spans="1:19">
      <c r="A62" s="25"/>
      <c r="B62" s="41"/>
      <c r="C62" s="41">
        <f t="shared" ref="C62:E62" si="12">SUM(C31:C61)</f>
        <v>47500000.000000015</v>
      </c>
      <c r="D62" s="41">
        <f t="shared" si="12"/>
        <v>42499999.999999985</v>
      </c>
      <c r="E62" s="45">
        <f t="shared" si="12"/>
        <v>90000000</v>
      </c>
      <c r="H62" s="25"/>
      <c r="J62" s="41">
        <f>SUM(J39:J61)</f>
        <v>29607246</v>
      </c>
      <c r="K62" s="41">
        <f t="shared" ref="K62:L62" si="13">SUM(K31:K61)</f>
        <v>36640000</v>
      </c>
      <c r="L62" s="45">
        <f t="shared" si="13"/>
        <v>66247246</v>
      </c>
      <c r="N62" s="25"/>
      <c r="P62" s="41">
        <f t="shared" ref="P62:R62" si="14">SUM(P31:P61)</f>
        <v>13718640</v>
      </c>
      <c r="Q62" s="41">
        <f t="shared" si="14"/>
        <v>30940000</v>
      </c>
      <c r="R62" s="45">
        <f t="shared" si="14"/>
        <v>44658640</v>
      </c>
      <c r="S62" s="41">
        <f>SUM(S39:S60)</f>
        <v>21588606</v>
      </c>
    </row>
    <row r="63" spans="1:19" ht="15" thickBot="1">
      <c r="A63" s="46"/>
      <c r="B63" s="47"/>
      <c r="C63" s="47"/>
      <c r="D63" s="47"/>
      <c r="E63" s="48"/>
      <c r="H63" s="46"/>
      <c r="I63" s="47"/>
      <c r="J63" s="47"/>
      <c r="K63" s="47"/>
      <c r="L63" s="48"/>
      <c r="N63" s="46"/>
      <c r="O63" s="47"/>
      <c r="P63" s="47"/>
      <c r="Q63" s="47"/>
      <c r="R63" s="48"/>
    </row>
  </sheetData>
  <mergeCells count="1">
    <mergeCell ref="A4:B4"/>
  </mergeCells>
  <phoneticPr fontId="74" type="noConversion"/>
  <pageMargins left="0.7" right="0.7" top="0.75" bottom="0.75" header="0.3" footer="0.3"/>
  <pageSetup orientation="portrait" horizontalDpi="1200" verticalDpi="1200" r:id="rId1"/>
  <customProperties>
    <customPr name="OrphanNamesChecke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theme="8" tint="0.39997558519241921"/>
    <pageSetUpPr fitToPage="1"/>
  </sheetPr>
  <dimension ref="A1:AJ320"/>
  <sheetViews>
    <sheetView showGridLines="0" zoomScale="90" zoomScaleNormal="90" workbookViewId="0">
      <pane xSplit="12" ySplit="6" topLeftCell="M293" activePane="bottomRight" state="frozen"/>
      <selection pane="topRight"/>
      <selection pane="bottomLeft"/>
      <selection pane="bottomRight"/>
    </sheetView>
  </sheetViews>
  <sheetFormatPr defaultColWidth="8.7265625" defaultRowHeight="14.5" outlineLevelRow="2" outlineLevelCol="2"/>
  <cols>
    <col min="1" max="1" width="4.7265625" style="162" customWidth="1"/>
    <col min="2" max="5" width="4.7265625" style="50" customWidth="1"/>
    <col min="6" max="6" width="25.81640625" style="50" customWidth="1"/>
    <col min="7" max="7" width="24.81640625" style="5" hidden="1" customWidth="1" outlineLevel="2"/>
    <col min="8" max="8" width="37.453125" style="52" hidden="1" customWidth="1" outlineLevel="2"/>
    <col min="9" max="9" width="28.7265625" style="5" hidden="1" customWidth="1" outlineLevel="2"/>
    <col min="10" max="10" width="17.453125" style="615" hidden="1" customWidth="1" outlineLevel="1" collapsed="1"/>
    <col min="11" max="11" width="2.7265625" style="214" hidden="1" customWidth="1" outlineLevel="1"/>
    <col min="12" max="12" width="13" style="5" hidden="1" customWidth="1" outlineLevel="1"/>
    <col min="13" max="13" width="4.81640625" style="5" customWidth="1" collapsed="1"/>
    <col min="14" max="18" width="16.7265625" style="50" hidden="1" customWidth="1" outlineLevel="1"/>
    <col min="19" max="19" width="5.54296875" style="215" bestFit="1" customWidth="1" collapsed="1"/>
    <col min="20" max="33" width="16.7265625" style="50" customWidth="1" outlineLevel="1"/>
    <col min="34" max="34" width="2.26953125" style="77" customWidth="1"/>
    <col min="35" max="35" width="11.26953125" style="77" customWidth="1" outlineLevel="1"/>
    <col min="36" max="36" width="11.26953125" style="50" customWidth="1" outlineLevel="1"/>
    <col min="37" max="16384" width="8.7265625" style="50"/>
  </cols>
  <sheetData>
    <row r="1" spans="1:36" s="57" customFormat="1">
      <c r="A1" s="120" t="str">
        <f>Summary!A1</f>
        <v>{COMPANY NAME}</v>
      </c>
      <c r="B1" s="121"/>
      <c r="C1" s="121"/>
      <c r="D1" s="121"/>
      <c r="E1" s="121"/>
      <c r="F1" s="121"/>
      <c r="G1" s="122"/>
      <c r="H1" s="596"/>
      <c r="I1" s="122"/>
      <c r="J1" s="610"/>
      <c r="K1" s="123"/>
      <c r="L1" s="122"/>
      <c r="M1" s="141"/>
      <c r="N1" s="124"/>
      <c r="O1" s="125"/>
      <c r="P1" s="125"/>
      <c r="Q1" s="125"/>
      <c r="R1" s="125"/>
      <c r="S1" s="126"/>
      <c r="T1" s="125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77"/>
      <c r="AI1" s="77"/>
    </row>
    <row r="2" spans="1:36" s="57" customFormat="1">
      <c r="A2" s="120" t="s">
        <v>31</v>
      </c>
      <c r="B2" s="127"/>
      <c r="C2" s="127"/>
      <c r="D2" s="127"/>
      <c r="E2" s="127"/>
      <c r="F2" s="127"/>
      <c r="G2" s="128"/>
      <c r="H2" s="597"/>
      <c r="I2" s="128"/>
      <c r="J2" s="611"/>
      <c r="K2" s="129"/>
      <c r="L2" s="128"/>
      <c r="M2" s="225"/>
      <c r="N2" s="130"/>
      <c r="O2" s="131"/>
      <c r="P2" s="131"/>
      <c r="Q2" s="131"/>
      <c r="R2" s="131"/>
      <c r="S2" s="126"/>
      <c r="T2" s="131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77"/>
      <c r="AI2" s="77"/>
    </row>
    <row r="3" spans="1:36" s="57" customFormat="1">
      <c r="A3" s="132" t="s">
        <v>50</v>
      </c>
      <c r="B3" s="133"/>
      <c r="C3" s="133"/>
      <c r="D3" s="133"/>
      <c r="E3" s="133"/>
      <c r="F3" s="133"/>
      <c r="G3" s="134"/>
      <c r="H3" s="598"/>
      <c r="I3" s="134"/>
      <c r="J3" s="612"/>
      <c r="K3" s="135"/>
      <c r="L3" s="134"/>
      <c r="M3" s="56"/>
      <c r="N3" s="133"/>
      <c r="O3" s="136"/>
      <c r="P3" s="137"/>
      <c r="Q3" s="137"/>
      <c r="R3" s="137"/>
      <c r="S3" s="138"/>
      <c r="T3" s="137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77"/>
      <c r="AI3" s="77"/>
    </row>
    <row r="4" spans="1:36" s="57" customFormat="1" ht="15" thickBot="1">
      <c r="A4" s="139"/>
      <c r="B4" s="140"/>
      <c r="C4" s="140"/>
      <c r="D4" s="140"/>
      <c r="E4" s="140"/>
      <c r="F4" s="140"/>
      <c r="G4" s="141"/>
      <c r="H4" s="599"/>
      <c r="I4" s="141"/>
      <c r="J4" s="613"/>
      <c r="K4" s="142"/>
      <c r="L4" s="141"/>
      <c r="M4" s="141"/>
      <c r="N4" s="143"/>
      <c r="O4" s="144"/>
      <c r="P4" s="145"/>
      <c r="Q4" s="146"/>
      <c r="S4" s="147"/>
      <c r="V4" s="226"/>
      <c r="AH4" s="77"/>
      <c r="AI4" s="77"/>
    </row>
    <row r="5" spans="1:36" s="57" customFormat="1" ht="15" thickBot="1">
      <c r="A5" s="77"/>
      <c r="G5" s="56"/>
      <c r="H5" s="51"/>
      <c r="I5" s="56"/>
      <c r="J5" s="451"/>
      <c r="K5" s="95"/>
      <c r="L5" s="649"/>
      <c r="M5" s="227"/>
      <c r="N5" s="149" t="s">
        <v>51</v>
      </c>
      <c r="O5" s="149" t="s">
        <v>51</v>
      </c>
      <c r="P5" s="149" t="s">
        <v>51</v>
      </c>
      <c r="Q5" s="149" t="s">
        <v>51</v>
      </c>
      <c r="R5" s="149" t="s">
        <v>51</v>
      </c>
      <c r="S5" s="138"/>
      <c r="T5" s="149" t="s">
        <v>51</v>
      </c>
      <c r="U5" s="149" t="s">
        <v>51</v>
      </c>
      <c r="V5" s="149" t="s">
        <v>51</v>
      </c>
      <c r="W5" s="149" t="s">
        <v>51</v>
      </c>
      <c r="X5" s="98" t="s">
        <v>52</v>
      </c>
      <c r="Y5" s="98" t="s">
        <v>52</v>
      </c>
      <c r="Z5" s="98" t="s">
        <v>52</v>
      </c>
      <c r="AA5" s="98" t="s">
        <v>52</v>
      </c>
      <c r="AB5" s="98" t="s">
        <v>52</v>
      </c>
      <c r="AC5" s="98" t="s">
        <v>52</v>
      </c>
      <c r="AD5" s="98" t="s">
        <v>52</v>
      </c>
      <c r="AE5" s="98" t="s">
        <v>52</v>
      </c>
      <c r="AF5" s="98" t="s">
        <v>52</v>
      </c>
      <c r="AG5" s="98" t="s">
        <v>52</v>
      </c>
      <c r="AH5" s="77"/>
      <c r="AI5" s="77"/>
      <c r="AJ5" s="71"/>
    </row>
    <row r="6" spans="1:36" s="57" customFormat="1">
      <c r="A6" s="150" t="s">
        <v>53</v>
      </c>
      <c r="B6" s="151"/>
      <c r="C6" s="151"/>
      <c r="D6" s="151"/>
      <c r="E6" s="151"/>
      <c r="F6" s="151"/>
      <c r="G6" s="152" t="s">
        <v>54</v>
      </c>
      <c r="H6" s="152" t="s">
        <v>55</v>
      </c>
      <c r="I6" s="152" t="s">
        <v>56</v>
      </c>
      <c r="J6" s="614" t="s">
        <v>57</v>
      </c>
      <c r="K6" s="154"/>
      <c r="L6" s="649"/>
      <c r="M6" s="227"/>
      <c r="N6" s="228" t="s">
        <v>434</v>
      </c>
      <c r="O6" s="228" t="s">
        <v>435</v>
      </c>
      <c r="P6" s="228" t="s">
        <v>436</v>
      </c>
      <c r="Q6" s="228" t="s">
        <v>437</v>
      </c>
      <c r="R6" s="228" t="s">
        <v>438</v>
      </c>
      <c r="S6" s="638"/>
      <c r="T6" s="228" t="s">
        <v>439</v>
      </c>
      <c r="U6" s="228" t="s">
        <v>440</v>
      </c>
      <c r="V6" s="228" t="s">
        <v>441</v>
      </c>
      <c r="W6" s="228" t="s">
        <v>442</v>
      </c>
      <c r="X6" s="100" t="s">
        <v>434</v>
      </c>
      <c r="Y6" s="100" t="s">
        <v>435</v>
      </c>
      <c r="Z6" s="100" t="s">
        <v>436</v>
      </c>
      <c r="AA6" s="100" t="s">
        <v>437</v>
      </c>
      <c r="AB6" s="100" t="s">
        <v>438</v>
      </c>
      <c r="AC6" s="100" t="s">
        <v>439</v>
      </c>
      <c r="AD6" s="100" t="s">
        <v>440</v>
      </c>
      <c r="AE6" s="100" t="s">
        <v>441</v>
      </c>
      <c r="AF6" s="100" t="s">
        <v>442</v>
      </c>
      <c r="AG6" s="100" t="s">
        <v>443</v>
      </c>
      <c r="AH6" s="100"/>
      <c r="AI6" s="77"/>
      <c r="AJ6" s="71"/>
    </row>
    <row r="7" spans="1:36">
      <c r="L7" s="229"/>
      <c r="M7" s="229"/>
      <c r="Q7" s="230"/>
      <c r="R7" s="230"/>
      <c r="S7" s="156"/>
      <c r="T7" s="230"/>
    </row>
    <row r="8" spans="1:36">
      <c r="A8" s="296" t="s">
        <v>75</v>
      </c>
      <c r="B8" s="296"/>
      <c r="C8" s="296"/>
      <c r="D8" s="296"/>
      <c r="E8" s="296"/>
      <c r="F8" s="296"/>
      <c r="G8" s="296"/>
      <c r="H8" s="600"/>
      <c r="I8" s="296"/>
      <c r="J8" s="616"/>
      <c r="K8" s="476"/>
      <c r="L8" s="477"/>
      <c r="M8" s="231"/>
      <c r="N8" s="474"/>
      <c r="O8" s="474"/>
      <c r="P8" s="474"/>
      <c r="Q8" s="475"/>
      <c r="R8" s="475"/>
      <c r="S8" s="156"/>
      <c r="T8" s="297"/>
      <c r="U8" s="297"/>
      <c r="V8" s="297"/>
      <c r="W8" s="297"/>
      <c r="X8" s="297"/>
      <c r="Y8" s="297"/>
      <c r="Z8" s="297"/>
      <c r="AA8" s="297"/>
      <c r="AB8" s="297"/>
      <c r="AC8" s="297"/>
      <c r="AD8" s="297"/>
      <c r="AE8" s="297"/>
      <c r="AF8" s="297"/>
      <c r="AG8" s="297"/>
    </row>
    <row r="9" spans="1:36">
      <c r="A9" s="50"/>
      <c r="L9" s="229"/>
      <c r="M9" s="229"/>
    </row>
    <row r="10" spans="1:36">
      <c r="A10" s="232" t="s">
        <v>76</v>
      </c>
      <c r="B10" s="232"/>
      <c r="C10" s="232"/>
      <c r="D10" s="232"/>
      <c r="E10" s="232"/>
      <c r="F10" s="232"/>
      <c r="L10" s="229"/>
      <c r="M10" s="229"/>
    </row>
    <row r="11" spans="1:36" outlineLevel="1">
      <c r="A11" s="233"/>
      <c r="B11" s="233" t="s">
        <v>77</v>
      </c>
      <c r="C11" s="233"/>
      <c r="D11" s="233"/>
      <c r="E11" s="233"/>
      <c r="F11" s="233"/>
      <c r="J11" s="617" t="s">
        <v>78</v>
      </c>
      <c r="L11" s="229"/>
      <c r="M11" s="229"/>
      <c r="N11" s="217">
        <f>'Audited FS'!N12</f>
        <v>4050</v>
      </c>
      <c r="O11" s="217">
        <f>'Audited FS'!O12</f>
        <v>4300</v>
      </c>
      <c r="P11" s="217">
        <f>'Audited FS'!P12</f>
        <v>4350</v>
      </c>
      <c r="Q11" s="217">
        <f>'Audited FS'!Q12</f>
        <v>6200</v>
      </c>
      <c r="R11" s="217">
        <f>'Audited FS'!R12</f>
        <v>1500</v>
      </c>
      <c r="T11" s="217">
        <f>'Audited Balance Sheet Input'!J11</f>
        <v>800</v>
      </c>
      <c r="U11" s="217">
        <f>'Audited Balance Sheet Input'!K11</f>
        <v>800</v>
      </c>
      <c r="V11" s="217">
        <f>'Audited Balance Sheet Input'!L11</f>
        <v>784</v>
      </c>
      <c r="W11" s="217">
        <f>'Audited Balance Sheet Input'!M11</f>
        <v>700</v>
      </c>
      <c r="X11" s="217">
        <f>'Audited Balance Sheet Input'!N11</f>
        <v>0</v>
      </c>
      <c r="Y11" s="217">
        <f>'Audited Balance Sheet Input'!O11</f>
        <v>0</v>
      </c>
      <c r="Z11" s="217">
        <f>'Audited Balance Sheet Input'!P11</f>
        <v>0</v>
      </c>
      <c r="AA11" s="217">
        <f>'Audited Balance Sheet Input'!Q11</f>
        <v>0</v>
      </c>
      <c r="AB11" s="217">
        <f>'Audited Balance Sheet Input'!R11</f>
        <v>0</v>
      </c>
      <c r="AC11" s="217">
        <f>'Audited Balance Sheet Input'!S11</f>
        <v>0</v>
      </c>
      <c r="AD11" s="217">
        <f>'Audited Balance Sheet Input'!T11</f>
        <v>0</v>
      </c>
      <c r="AE11" s="217">
        <f>'Audited Balance Sheet Input'!U11</f>
        <v>0</v>
      </c>
      <c r="AF11" s="217">
        <f>'Audited Balance Sheet Input'!V11</f>
        <v>0</v>
      </c>
      <c r="AG11" s="217">
        <f>'Audited Balance Sheet Input'!W11</f>
        <v>0</v>
      </c>
    </row>
    <row r="12" spans="1:36" outlineLevel="1">
      <c r="A12" s="233"/>
      <c r="B12" s="233" t="s">
        <v>432</v>
      </c>
      <c r="C12" s="233"/>
      <c r="D12" s="233"/>
      <c r="E12" s="233"/>
      <c r="F12" s="233"/>
      <c r="J12" s="617" t="s">
        <v>78</v>
      </c>
      <c r="L12" s="229"/>
      <c r="M12" s="229"/>
      <c r="N12" s="217">
        <f>'Audited FS'!N13</f>
        <v>399535</v>
      </c>
      <c r="O12" s="217">
        <f>'Audited FS'!O13</f>
        <v>4218726</v>
      </c>
      <c r="P12" s="217">
        <f>'Audited FS'!P13</f>
        <v>4820603</v>
      </c>
      <c r="Q12" s="217">
        <f>'Audited FS'!Q13</f>
        <v>5603195</v>
      </c>
      <c r="R12" s="217">
        <f>'Audited FS'!R13</f>
        <v>5618755</v>
      </c>
      <c r="T12" s="217">
        <f>'Audited Balance Sheet Input'!J12</f>
        <v>8047307</v>
      </c>
      <c r="U12" s="217">
        <f>'Audited Balance Sheet Input'!K12</f>
        <v>5794491</v>
      </c>
      <c r="V12" s="217">
        <f>'Audited Balance Sheet Input'!L12</f>
        <v>5355851</v>
      </c>
      <c r="W12" s="217">
        <f>'Audited Balance Sheet Input'!M12</f>
        <v>5118284</v>
      </c>
      <c r="X12" s="217">
        <f>'Audited Balance Sheet Input'!N12</f>
        <v>0</v>
      </c>
      <c r="Y12" s="217">
        <f>'Audited Balance Sheet Input'!O12</f>
        <v>0</v>
      </c>
      <c r="Z12" s="217">
        <f>'Audited Balance Sheet Input'!P12</f>
        <v>0</v>
      </c>
      <c r="AA12" s="217">
        <f>'Audited Balance Sheet Input'!Q12</f>
        <v>0</v>
      </c>
      <c r="AB12" s="217">
        <f>'Audited Balance Sheet Input'!R12</f>
        <v>0</v>
      </c>
      <c r="AC12" s="217">
        <f>'Audited Balance Sheet Input'!S12</f>
        <v>0</v>
      </c>
      <c r="AD12" s="217">
        <f>'Audited Balance Sheet Input'!T12</f>
        <v>0</v>
      </c>
      <c r="AE12" s="217">
        <f>'Audited Balance Sheet Input'!U12</f>
        <v>0</v>
      </c>
      <c r="AF12" s="217">
        <f>'Audited Balance Sheet Input'!V12</f>
        <v>0</v>
      </c>
      <c r="AG12" s="217">
        <f>'Audited Balance Sheet Input'!W12</f>
        <v>0</v>
      </c>
    </row>
    <row r="13" spans="1:36" outlineLevel="1">
      <c r="A13" s="233"/>
      <c r="B13" s="233" t="s">
        <v>79</v>
      </c>
      <c r="C13" s="233"/>
      <c r="D13" s="233"/>
      <c r="E13" s="233"/>
      <c r="F13" s="233"/>
      <c r="J13" s="617" t="s">
        <v>78</v>
      </c>
      <c r="L13" s="229"/>
      <c r="M13" s="229"/>
      <c r="N13" s="217">
        <f>'Audited FS'!N14</f>
        <v>7145598</v>
      </c>
      <c r="O13" s="217">
        <f>'Audited FS'!O14</f>
        <v>9791854</v>
      </c>
      <c r="P13" s="217">
        <f>'Audited FS'!P14</f>
        <v>15881995</v>
      </c>
      <c r="Q13" s="217">
        <f>'Audited FS'!Q14</f>
        <v>16342265</v>
      </c>
      <c r="R13" s="217">
        <f>'Audited FS'!R14</f>
        <v>17516874</v>
      </c>
      <c r="T13" s="217">
        <f>'Audited Balance Sheet Input'!J13</f>
        <v>17643599</v>
      </c>
      <c r="U13" s="217">
        <f>'Audited Balance Sheet Input'!K13</f>
        <v>22754877</v>
      </c>
      <c r="V13" s="217">
        <f>'Audited Balance Sheet Input'!L13</f>
        <v>14735032</v>
      </c>
      <c r="W13" s="217">
        <f>'Audited Balance Sheet Input'!M13</f>
        <v>17528894</v>
      </c>
      <c r="X13" s="217">
        <f>'Audited Balance Sheet Input'!N13</f>
        <v>0</v>
      </c>
      <c r="Y13" s="217">
        <f>'Audited Balance Sheet Input'!O13</f>
        <v>0</v>
      </c>
      <c r="Z13" s="217">
        <f>'Audited Balance Sheet Input'!P13</f>
        <v>0</v>
      </c>
      <c r="AA13" s="217">
        <f>'Audited Balance Sheet Input'!Q13</f>
        <v>0</v>
      </c>
      <c r="AB13" s="217">
        <f>'Audited Balance Sheet Input'!R13</f>
        <v>0</v>
      </c>
      <c r="AC13" s="217">
        <f>'Audited Balance Sheet Input'!S13</f>
        <v>0</v>
      </c>
      <c r="AD13" s="217">
        <f>'Audited Balance Sheet Input'!T13</f>
        <v>0</v>
      </c>
      <c r="AE13" s="217">
        <f>'Audited Balance Sheet Input'!U13</f>
        <v>0</v>
      </c>
      <c r="AF13" s="217">
        <f>'Audited Balance Sheet Input'!V13</f>
        <v>0</v>
      </c>
      <c r="AG13" s="217">
        <f>'Audited Balance Sheet Input'!W13</f>
        <v>0</v>
      </c>
    </row>
    <row r="14" spans="1:36" s="57" customFormat="1">
      <c r="A14" s="232"/>
      <c r="B14" s="234"/>
      <c r="C14" s="234"/>
      <c r="D14" s="234"/>
      <c r="E14" s="234"/>
      <c r="F14" s="235" t="s">
        <v>80</v>
      </c>
      <c r="G14" s="306"/>
      <c r="H14" s="601"/>
      <c r="I14" s="306"/>
      <c r="J14" s="632">
        <v>4001</v>
      </c>
      <c r="K14" s="78"/>
      <c r="L14" s="315"/>
      <c r="M14" s="231"/>
      <c r="N14" s="176">
        <f>SUM(N11:N13)</f>
        <v>7549183</v>
      </c>
      <c r="O14" s="176">
        <f>SUM(O11:O13)</f>
        <v>14014880</v>
      </c>
      <c r="P14" s="176">
        <f>SUM(P11:P13)</f>
        <v>20706948</v>
      </c>
      <c r="Q14" s="176">
        <f t="shared" ref="Q14:R14" si="0">SUM(Q11:Q13)</f>
        <v>21951660</v>
      </c>
      <c r="R14" s="176">
        <f t="shared" si="0"/>
        <v>23137129</v>
      </c>
      <c r="S14" s="177"/>
      <c r="T14" s="176">
        <f>IF(T5="Actual",SUM(T11:T13),SUM(R14,T286,-'4001'!E21))</f>
        <v>25691706</v>
      </c>
      <c r="U14" s="176">
        <f>IF(U5="Actual",SUM(U11:U13),SUM(S14,U286,-'4001'!F21))</f>
        <v>28550168</v>
      </c>
      <c r="V14" s="176">
        <f>IF(V5="Actual",SUM(V11:V13),SUM(T14,V286,-'4001'!G21))</f>
        <v>20091667</v>
      </c>
      <c r="W14" s="176">
        <f>IF(W5="Actual",SUM(W11:W13),SUM(U14,W286,-'4001'!H21))</f>
        <v>22647878</v>
      </c>
      <c r="X14" s="176">
        <f>IF(X5="Actual",SUM(X11:X13),SUM(V14,X286,-'4001'!I21))</f>
        <v>18695599.079370171</v>
      </c>
      <c r="Y14" s="176">
        <f>IF(Y5="Actual",SUM(Y11:Y13),SUM(W14,Y286,-'4001'!J21))</f>
        <v>21592948.277001642</v>
      </c>
      <c r="Z14" s="176">
        <f>IF(Z5="Actual",SUM(Z11:Z13),SUM(X14,Z286,-'4001'!K21))</f>
        <v>17757200.393222682</v>
      </c>
      <c r="AA14" s="176">
        <f>IF(AA5="Actual",SUM(AA11:AA13),SUM(Y14,AA286,-'4001'!L21))</f>
        <v>20972538.190241285</v>
      </c>
      <c r="AB14" s="176">
        <f>IF(AB5="Actual",SUM(AB11:AB13),SUM(Z14,AB286,-'4001'!M21))</f>
        <v>17415528.350876011</v>
      </c>
      <c r="AC14" s="176">
        <f>IF(AC5="Actual",SUM(AC11:AC13),SUM(AA14,AC286,-'4001'!N21))</f>
        <v>21208372.747943245</v>
      </c>
      <c r="AD14" s="176">
        <f>IF(AD5="Actual",SUM(AD11:AD13),SUM(AB14,AD286,-'4001'!O21))</f>
        <v>17584723.152693078</v>
      </c>
      <c r="AE14" s="176">
        <f>IF(AE5="Actual",SUM(AE11:AE13),SUM(AC14,AE286,-'4001'!P21))</f>
        <v>21119244.79992076</v>
      </c>
      <c r="AF14" s="176">
        <f>IF(AF5="Actual",SUM(AF11:AF13),SUM(AD14,AF286,-'4001'!Q21))</f>
        <v>17193577.737909175</v>
      </c>
      <c r="AG14" s="176">
        <f>IF(AG5="Actual",SUM(AG11:AG13),SUM(AE14,AG286,-'4001'!R21))</f>
        <v>20404254.694446191</v>
      </c>
      <c r="AH14" s="77"/>
      <c r="AI14" s="77">
        <v>4001</v>
      </c>
    </row>
    <row r="15" spans="1:36">
      <c r="A15" s="233"/>
      <c r="B15" s="233"/>
      <c r="C15" s="233"/>
      <c r="D15" s="233"/>
      <c r="E15" s="233"/>
      <c r="F15" s="233"/>
      <c r="L15" s="229"/>
      <c r="M15" s="229"/>
      <c r="N15" s="27"/>
      <c r="O15" s="27"/>
      <c r="P15" s="27"/>
      <c r="Q15" s="27"/>
      <c r="R15" s="27"/>
      <c r="S15" s="188"/>
      <c r="T15" s="27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</row>
    <row r="16" spans="1:36">
      <c r="A16" s="240" t="s">
        <v>81</v>
      </c>
      <c r="B16" s="240"/>
      <c r="C16" s="240"/>
      <c r="D16" s="240"/>
      <c r="E16" s="240"/>
      <c r="F16" s="240"/>
      <c r="L16" s="229"/>
      <c r="M16" s="229"/>
      <c r="N16" s="27"/>
      <c r="O16" s="27"/>
      <c r="P16" s="27"/>
      <c r="Q16" s="27"/>
      <c r="R16" s="27"/>
      <c r="S16" s="188"/>
      <c r="T16" s="27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</row>
    <row r="17" spans="1:35" outlineLevel="1">
      <c r="A17" s="233"/>
      <c r="B17" s="241" t="s">
        <v>82</v>
      </c>
      <c r="C17" s="241"/>
      <c r="D17" s="241"/>
      <c r="E17" s="241"/>
      <c r="F17" s="233"/>
      <c r="H17" s="5" t="s">
        <v>83</v>
      </c>
      <c r="J17" s="617" t="s">
        <v>78</v>
      </c>
      <c r="L17" s="229"/>
      <c r="M17" s="229"/>
      <c r="N17" s="242">
        <f>'Audited FS'!N104</f>
        <v>39700175</v>
      </c>
      <c r="O17" s="242">
        <f>'Audited FS'!O104</f>
        <v>201507366</v>
      </c>
      <c r="P17" s="242">
        <f>'Audited FS'!P104</f>
        <v>5560257</v>
      </c>
      <c r="Q17" s="242">
        <f>'Audited FS'!Q104</f>
        <v>18744313</v>
      </c>
      <c r="R17" s="242">
        <f>'Audited FS'!R104</f>
        <v>8766110</v>
      </c>
      <c r="S17" s="188"/>
      <c r="T17" s="242">
        <f>IF(T$5="Actual",'Audited Balance Sheet Input'!J17,ROUND(AVERAGE($P17:$R17),-3))</f>
        <v>4771991</v>
      </c>
      <c r="U17" s="242">
        <f>IF(U$5="Actual",'Audited Balance Sheet Input'!K17,ROUND(AVERAGE($Q17:$R17,T17),-3))</f>
        <v>364228</v>
      </c>
      <c r="V17" s="242">
        <f>IF(V$5="Actual",'Audited Balance Sheet Input'!L17,ROUND(AVERAGE($R17,T17:U17),-3))</f>
        <v>2029739</v>
      </c>
      <c r="W17" s="242">
        <f>IF(W$5="Actual",'Audited Balance Sheet Input'!M17,ROUND(AVERAGE(T17:V17),-3))</f>
        <v>2253707</v>
      </c>
      <c r="X17" s="242">
        <f>IF(X$5="Actual",'Audited Balance Sheet Input'!N17,ROUND(AVERAGE(U17:W17),-3))</f>
        <v>1549000</v>
      </c>
      <c r="Y17" s="242">
        <f>IF(Y$5="Actual",'Audited Balance Sheet Input'!O17,ROUND(AVERAGE(V17:X17),-3))</f>
        <v>1944000</v>
      </c>
      <c r="Z17" s="242">
        <f>IF(Z$5="Actual",'Audited Balance Sheet Input'!P17,ROUND(AVERAGE(W17:Y17),-3))</f>
        <v>1916000</v>
      </c>
      <c r="AA17" s="242">
        <f>IF(AA$5="Actual",'Audited Balance Sheet Input'!Q17,ROUND(AVERAGE(X17:Z17),-3))</f>
        <v>1803000</v>
      </c>
      <c r="AB17" s="242">
        <f>IF(AB$5="Actual",'Audited Balance Sheet Input'!R17,ROUND(AVERAGE(Y17:AA17),-3))</f>
        <v>1888000</v>
      </c>
      <c r="AC17" s="242">
        <f>IF(AC$5="Actual",'Audited Balance Sheet Input'!S17,ROUND(AVERAGE(Z17:AB17),-3))</f>
        <v>1869000</v>
      </c>
      <c r="AD17" s="242">
        <f>IF(AD$5="Actual",'Audited Balance Sheet Input'!T17,ROUND(AVERAGE(AA17:AC17),-3))</f>
        <v>1853000</v>
      </c>
      <c r="AE17" s="242">
        <f>IF(AE$5="Actual",'Audited Balance Sheet Input'!U17,ROUND(AVERAGE(AB17:AD17),-3))</f>
        <v>1870000</v>
      </c>
      <c r="AF17" s="242">
        <f>IF(AF$5="Actual",'Audited Balance Sheet Input'!V17,ROUND(AVERAGE(AC17:AE17),-3))</f>
        <v>1864000</v>
      </c>
      <c r="AG17" s="242">
        <f>IF(AG$5="Actual",'Audited Balance Sheet Input'!W17,ROUND(AVERAGE(AD17:AF17),-3))</f>
        <v>1862000</v>
      </c>
      <c r="AI17" s="77" t="s">
        <v>83</v>
      </c>
    </row>
    <row r="18" spans="1:35" outlineLevel="1">
      <c r="A18" s="233"/>
      <c r="B18" s="243" t="s">
        <v>84</v>
      </c>
      <c r="C18" s="243"/>
      <c r="D18" s="243"/>
      <c r="E18" s="243"/>
      <c r="F18" s="243"/>
      <c r="H18" s="5" t="s">
        <v>83</v>
      </c>
      <c r="J18" s="617" t="s">
        <v>78</v>
      </c>
      <c r="L18" s="229"/>
      <c r="M18" s="229"/>
      <c r="N18" s="242">
        <f>'Audited FS'!N22</f>
        <v>0</v>
      </c>
      <c r="O18" s="242">
        <f>'Audited FS'!O22</f>
        <v>50000</v>
      </c>
      <c r="P18" s="242">
        <f>'Audited FS'!P22</f>
        <v>454654</v>
      </c>
      <c r="Q18" s="242">
        <f>'Audited FS'!Q22</f>
        <v>0</v>
      </c>
      <c r="R18" s="242">
        <f>'Audited FS'!R22</f>
        <v>0</v>
      </c>
      <c r="S18" s="188"/>
      <c r="T18" s="242">
        <f>IF(T$5="Actual",'Audited Balance Sheet Input'!J18,ROUND(AVERAGE($P18:$R18),-3))</f>
        <v>0</v>
      </c>
      <c r="U18" s="242">
        <f>IF(U$5="Actual",'Audited Balance Sheet Input'!K18,ROUND(AVERAGE($Q18:$R18,T18),-3))</f>
        <v>0</v>
      </c>
      <c r="V18" s="242">
        <f>IF(V$5="Actual",'Audited Balance Sheet Input'!L18,ROUND(AVERAGE($R18,T18:U18),-3))</f>
        <v>0</v>
      </c>
      <c r="W18" s="242">
        <f>IF(W$5="Actual",'Audited Balance Sheet Input'!M18,ROUND(AVERAGE(T18:V18),-3))</f>
        <v>0</v>
      </c>
      <c r="X18" s="242">
        <f>IF(X$5="Actual",'Audited Balance Sheet Input'!N18,ROUND(AVERAGE(U18:W18),-3))</f>
        <v>0</v>
      </c>
      <c r="Y18" s="242">
        <f>IF(Y$5="Actual",'Audited Balance Sheet Input'!O18,ROUND(AVERAGE(V18:X18),-3))</f>
        <v>0</v>
      </c>
      <c r="Z18" s="242">
        <f>IF(Z$5="Actual",'Audited Balance Sheet Input'!P18,ROUND(AVERAGE(W18:Y18),-3))</f>
        <v>0</v>
      </c>
      <c r="AA18" s="242">
        <f>IF(AA$5="Actual",'Audited Balance Sheet Input'!Q18,ROUND(AVERAGE(X18:Z18),-3))</f>
        <v>0</v>
      </c>
      <c r="AB18" s="242">
        <f>IF(AB$5="Actual",'Audited Balance Sheet Input'!R18,ROUND(AVERAGE(Y18:AA18),-3))</f>
        <v>0</v>
      </c>
      <c r="AC18" s="242">
        <f>IF(AC$5="Actual",'Audited Balance Sheet Input'!S18,ROUND(AVERAGE(Z18:AB18),-3))</f>
        <v>0</v>
      </c>
      <c r="AD18" s="242">
        <f>IF(AD$5="Actual",'Audited Balance Sheet Input'!T18,ROUND(AVERAGE(AA18:AC18),-3))</f>
        <v>0</v>
      </c>
      <c r="AE18" s="242">
        <f>IF(AE$5="Actual",'Audited Balance Sheet Input'!U18,ROUND(AVERAGE(AB18:AD18),-3))</f>
        <v>0</v>
      </c>
      <c r="AF18" s="242">
        <f>IF(AF$5="Actual",'Audited Balance Sheet Input'!V18,ROUND(AVERAGE(AC18:AE18),-3))</f>
        <v>0</v>
      </c>
      <c r="AG18" s="242">
        <f>IF(AG$5="Actual",'Audited Balance Sheet Input'!W18,ROUND(AVERAGE(AD18:AF18),-3))</f>
        <v>0</v>
      </c>
      <c r="AI18" s="77" t="s">
        <v>83</v>
      </c>
    </row>
    <row r="19" spans="1:35" outlineLevel="1">
      <c r="A19" s="233"/>
      <c r="B19" s="244" t="s">
        <v>85</v>
      </c>
      <c r="C19" s="244"/>
      <c r="D19" s="244"/>
      <c r="E19" s="244"/>
      <c r="F19" s="244"/>
      <c r="H19" s="5" t="s">
        <v>83</v>
      </c>
      <c r="J19" s="617" t="s">
        <v>78</v>
      </c>
      <c r="L19" s="229"/>
      <c r="M19" s="229"/>
      <c r="N19" s="242">
        <f>'Audited FS'!N23</f>
        <v>748377</v>
      </c>
      <c r="O19" s="242">
        <f>'Audited FS'!O23</f>
        <v>384966</v>
      </c>
      <c r="P19" s="242">
        <f>'Audited FS'!P23</f>
        <v>292428</v>
      </c>
      <c r="Q19" s="242">
        <f>'Audited FS'!Q23</f>
        <v>337273</v>
      </c>
      <c r="R19" s="242">
        <f>'Audited FS'!R23</f>
        <v>55935</v>
      </c>
      <c r="S19" s="188"/>
      <c r="T19" s="242">
        <f>IF(T$5="Actual",'Audited Balance Sheet Input'!J19,ROUND(AVERAGE($P19:$R19),-3))</f>
        <v>41741</v>
      </c>
      <c r="U19" s="242">
        <f>IF(U$5="Actual",'Audited Balance Sheet Input'!K19,ROUND(AVERAGE($Q19:$R19,T19),-3))</f>
        <v>69291</v>
      </c>
      <c r="V19" s="242">
        <f>IF(V$5="Actual",'Audited Balance Sheet Input'!L19,ROUND(AVERAGE($R19,T19:U19),-3))</f>
        <v>83425</v>
      </c>
      <c r="W19" s="242">
        <f>IF(W$5="Actual",'Audited Balance Sheet Input'!M19,ROUND(AVERAGE(T19:V19),-3))</f>
        <v>172599</v>
      </c>
      <c r="X19" s="242">
        <f>IF(X$5="Actual",'Audited Balance Sheet Input'!N19,ROUND(AVERAGE(U19:W19),-3))</f>
        <v>108000</v>
      </c>
      <c r="Y19" s="242">
        <f>IF(Y$5="Actual",'Audited Balance Sheet Input'!O19,ROUND(AVERAGE(V19:X19),-3))</f>
        <v>121000</v>
      </c>
      <c r="Z19" s="242">
        <f>IF(Z$5="Actual",'Audited Balance Sheet Input'!P19,ROUND(AVERAGE(W19:Y19),-3))</f>
        <v>134000</v>
      </c>
      <c r="AA19" s="242">
        <f>IF(AA$5="Actual",'Audited Balance Sheet Input'!Q19,ROUND(AVERAGE(X19:Z19),-3))</f>
        <v>121000</v>
      </c>
      <c r="AB19" s="242">
        <f>IF(AB$5="Actual",'Audited Balance Sheet Input'!R19,ROUND(AVERAGE(Y19:AA19),-3))</f>
        <v>125000</v>
      </c>
      <c r="AC19" s="242">
        <f>IF(AC$5="Actual",'Audited Balance Sheet Input'!S19,ROUND(AVERAGE(Z19:AB19),-3))</f>
        <v>127000</v>
      </c>
      <c r="AD19" s="242">
        <f>IF(AD$5="Actual",'Audited Balance Sheet Input'!T19,ROUND(AVERAGE(AA19:AC19),-3))</f>
        <v>124000</v>
      </c>
      <c r="AE19" s="242">
        <f>IF(AE$5="Actual",'Audited Balance Sheet Input'!U19,ROUND(AVERAGE(AB19:AD19),-3))</f>
        <v>125000</v>
      </c>
      <c r="AF19" s="242">
        <f>IF(AF$5="Actual",'Audited Balance Sheet Input'!V19,ROUND(AVERAGE(AC19:AE19),-3))</f>
        <v>125000</v>
      </c>
      <c r="AG19" s="242">
        <f>IF(AG$5="Actual",'Audited Balance Sheet Input'!W19,ROUND(AVERAGE(AD19:AF19),-3))</f>
        <v>125000</v>
      </c>
      <c r="AI19" s="77" t="s">
        <v>83</v>
      </c>
    </row>
    <row r="20" spans="1:35" outlineLevel="1">
      <c r="A20" s="233"/>
      <c r="B20" s="244" t="s">
        <v>86</v>
      </c>
      <c r="C20" s="244"/>
      <c r="D20" s="244"/>
      <c r="E20" s="244"/>
      <c r="F20" s="244"/>
      <c r="H20" s="5" t="s">
        <v>83</v>
      </c>
      <c r="J20" s="617" t="s">
        <v>78</v>
      </c>
      <c r="L20" s="229"/>
      <c r="M20" s="229"/>
      <c r="N20" s="242">
        <f>'Audited FS'!N24</f>
        <v>714653</v>
      </c>
      <c r="O20" s="242">
        <f>'Audited FS'!O24</f>
        <v>734051</v>
      </c>
      <c r="P20" s="242">
        <f>'Audited FS'!P24</f>
        <v>630840</v>
      </c>
      <c r="Q20" s="242">
        <f>'Audited FS'!Q24</f>
        <v>892233</v>
      </c>
      <c r="R20" s="242">
        <f>'Audited FS'!R24</f>
        <v>1208421</v>
      </c>
      <c r="S20" s="188"/>
      <c r="T20" s="242">
        <f>IF(T$5="Actual",'Audited Balance Sheet Input'!J20,ROUND(AVERAGE($P20:$R20),-3))</f>
        <v>1295094</v>
      </c>
      <c r="U20" s="242">
        <f>IF(U$5="Actual",'Audited Balance Sheet Input'!K20,ROUND(AVERAGE($Q20:$R20,T20),-3))</f>
        <v>1120233</v>
      </c>
      <c r="V20" s="242">
        <f>IF(V$5="Actual",'Audited Balance Sheet Input'!L20,ROUND(AVERAGE($R20,T20:U20),-3))</f>
        <v>1166716</v>
      </c>
      <c r="W20" s="242">
        <f>IF(W$5="Actual",'Audited Balance Sheet Input'!M20,ROUND(AVERAGE(T20:V20),-3))</f>
        <v>1181746</v>
      </c>
      <c r="X20" s="242">
        <f>IF(X$5="Actual",'Audited Balance Sheet Input'!N20,ROUND(AVERAGE(U20:W20),-3))</f>
        <v>1156000</v>
      </c>
      <c r="Y20" s="242">
        <f>IF(Y$5="Actual",'Audited Balance Sheet Input'!O20,ROUND(AVERAGE(V20:X20),-3))</f>
        <v>1168000</v>
      </c>
      <c r="Z20" s="242">
        <f>IF(Z$5="Actual",'Audited Balance Sheet Input'!P20,ROUND(AVERAGE(W20:Y20),-3))</f>
        <v>1169000</v>
      </c>
      <c r="AA20" s="242">
        <f>IF(AA$5="Actual",'Audited Balance Sheet Input'!Q20,ROUND(AVERAGE(X20:Z20),-3))</f>
        <v>1164000</v>
      </c>
      <c r="AB20" s="242">
        <f>IF(AB$5="Actual",'Audited Balance Sheet Input'!R20,ROUND(AVERAGE(Y20:AA20),-3))</f>
        <v>1167000</v>
      </c>
      <c r="AC20" s="242">
        <f>IF(AC$5="Actual",'Audited Balance Sheet Input'!S20,ROUND(AVERAGE(Z20:AB20),-3))</f>
        <v>1167000</v>
      </c>
      <c r="AD20" s="242">
        <f>IF(AD$5="Actual",'Audited Balance Sheet Input'!T20,ROUND(AVERAGE(AA20:AC20),-3))</f>
        <v>1166000</v>
      </c>
      <c r="AE20" s="242">
        <f>IF(AE$5="Actual",'Audited Balance Sheet Input'!U20,ROUND(AVERAGE(AB20:AD20),-3))</f>
        <v>1167000</v>
      </c>
      <c r="AF20" s="242">
        <f>IF(AF$5="Actual",'Audited Balance Sheet Input'!V20,ROUND(AVERAGE(AC20:AE20),-3))</f>
        <v>1167000</v>
      </c>
      <c r="AG20" s="242">
        <f>IF(AG$5="Actual",'Audited Balance Sheet Input'!W20,ROUND(AVERAGE(AD20:AF20),-3))</f>
        <v>1167000</v>
      </c>
      <c r="AI20" s="77" t="s">
        <v>83</v>
      </c>
    </row>
    <row r="21" spans="1:35" outlineLevel="1">
      <c r="A21" s="233"/>
      <c r="B21" s="243" t="s">
        <v>87</v>
      </c>
      <c r="C21" s="243"/>
      <c r="D21" s="243"/>
      <c r="E21" s="243"/>
      <c r="F21" s="243"/>
      <c r="H21" s="5" t="s">
        <v>83</v>
      </c>
      <c r="J21" s="617" t="s">
        <v>78</v>
      </c>
      <c r="L21" s="229"/>
      <c r="M21" s="229"/>
      <c r="N21" s="242">
        <f>'Audited FS'!N25</f>
        <v>2513763</v>
      </c>
      <c r="O21" s="242">
        <f>'Audited FS'!O25</f>
        <v>4011579</v>
      </c>
      <c r="P21" s="242">
        <f>'Audited FS'!P25</f>
        <v>4897615</v>
      </c>
      <c r="Q21" s="242">
        <f>'Audited FS'!Q25</f>
        <v>4318104</v>
      </c>
      <c r="R21" s="242">
        <f>'Audited FS'!R25</f>
        <v>2658512</v>
      </c>
      <c r="S21" s="188"/>
      <c r="T21" s="242">
        <f>IF(T$5="Actual",'Audited Balance Sheet Input'!J21,ROUND(AVERAGE($P21:$R21),-3))</f>
        <v>2524267</v>
      </c>
      <c r="U21" s="242">
        <f>IF(U$5="Actual",'Audited Balance Sheet Input'!K21,ROUND(AVERAGE($Q21:$R21,T21),-3))</f>
        <v>2146507</v>
      </c>
      <c r="V21" s="242">
        <f>IF(V$5="Actual",'Audited Balance Sheet Input'!L21,ROUND(AVERAGE($R21,T21:U21),-3))</f>
        <v>1775892</v>
      </c>
      <c r="W21" s="242">
        <f>IF(W$5="Actual",'Audited Balance Sheet Input'!M21,ROUND(AVERAGE(T21:V21),-3))</f>
        <v>1477076</v>
      </c>
      <c r="X21" s="242">
        <f>IF(X$5="Actual",'Audited Balance Sheet Input'!N21,ROUND(AVERAGE(U21:W21),-3))</f>
        <v>1800000</v>
      </c>
      <c r="Y21" s="242">
        <f>IF(Y$5="Actual",'Audited Balance Sheet Input'!O21,ROUND(AVERAGE(V21:X21),-3))</f>
        <v>1684000</v>
      </c>
      <c r="Z21" s="242">
        <f>IF(Z$5="Actual",'Audited Balance Sheet Input'!P21,ROUND(AVERAGE(W21:Y21),-3))</f>
        <v>1654000</v>
      </c>
      <c r="AA21" s="242">
        <f>IF(AA$5="Actual",'Audited Balance Sheet Input'!Q21,ROUND(AVERAGE(X21:Z21),-3))</f>
        <v>1713000</v>
      </c>
      <c r="AB21" s="242">
        <f>IF(AB$5="Actual",'Audited Balance Sheet Input'!R21,ROUND(AVERAGE(Y21:AA21),-3))</f>
        <v>1684000</v>
      </c>
      <c r="AC21" s="242">
        <f>IF(AC$5="Actual",'Audited Balance Sheet Input'!S21,ROUND(AVERAGE(Z21:AB21),-3))</f>
        <v>1684000</v>
      </c>
      <c r="AD21" s="242">
        <f>IF(AD$5="Actual",'Audited Balance Sheet Input'!T21,ROUND(AVERAGE(AA21:AC21),-3))</f>
        <v>1694000</v>
      </c>
      <c r="AE21" s="242">
        <f>IF(AE$5="Actual",'Audited Balance Sheet Input'!U21,ROUND(AVERAGE(AB21:AD21),-3))</f>
        <v>1687000</v>
      </c>
      <c r="AF21" s="242">
        <f>IF(AF$5="Actual",'Audited Balance Sheet Input'!V21,ROUND(AVERAGE(AC21:AE21),-3))</f>
        <v>1688000</v>
      </c>
      <c r="AG21" s="242">
        <f>IF(AG$5="Actual",'Audited Balance Sheet Input'!W21,ROUND(AVERAGE(AD21:AF21),-3))</f>
        <v>1690000</v>
      </c>
      <c r="AI21" s="77" t="s">
        <v>83</v>
      </c>
    </row>
    <row r="22" spans="1:35" outlineLevel="1">
      <c r="A22" s="233"/>
      <c r="B22" s="243" t="s">
        <v>88</v>
      </c>
      <c r="C22" s="243"/>
      <c r="D22" s="243"/>
      <c r="E22" s="243"/>
      <c r="F22" s="243"/>
      <c r="H22" s="5" t="s">
        <v>83</v>
      </c>
      <c r="J22" s="617" t="s">
        <v>78</v>
      </c>
      <c r="L22" s="229"/>
      <c r="M22" s="229"/>
      <c r="N22" s="242">
        <f>'Audited FS'!N26</f>
        <v>8104820</v>
      </c>
      <c r="O22" s="242">
        <f>'Audited FS'!O26</f>
        <v>16342693</v>
      </c>
      <c r="P22" s="242">
        <f>'Audited FS'!P26</f>
        <v>15036875</v>
      </c>
      <c r="Q22" s="242">
        <f>'Audited FS'!Q26</f>
        <v>12073155</v>
      </c>
      <c r="R22" s="242">
        <f>'Audited FS'!R26</f>
        <v>9378030</v>
      </c>
      <c r="S22" s="188"/>
      <c r="T22" s="242">
        <f>IF(T$5="Actual",'Audited Balance Sheet Input'!J22,ROUND(AVERAGE($P22:$R22),-3))</f>
        <v>6688754</v>
      </c>
      <c r="U22" s="242">
        <f>IF(U$5="Actual",'Audited Balance Sheet Input'!K22,ROUND(AVERAGE($Q22:$R22,T22),-3))</f>
        <v>4136100</v>
      </c>
      <c r="V22" s="242">
        <f>IF(V$5="Actual",'Audited Balance Sheet Input'!L22,ROUND(AVERAGE($R22,T22:U22),-3))</f>
        <v>3546701</v>
      </c>
      <c r="W22" s="242">
        <f>IF(W$5="Actual",'Audited Balance Sheet Input'!M22,ROUND(AVERAGE(T22:V22),-3))</f>
        <v>4977748</v>
      </c>
      <c r="X22" s="242">
        <f>IF(X$5="Actual",'Audited Balance Sheet Input'!N22,ROUND(AVERAGE(U22:W22),-3))</f>
        <v>4220000</v>
      </c>
      <c r="Y22" s="242">
        <f>IF(Y$5="Actual",'Audited Balance Sheet Input'!O22,ROUND(AVERAGE(V22:X22),-3))</f>
        <v>4248000</v>
      </c>
      <c r="Z22" s="242">
        <f>IF(Z$5="Actual",'Audited Balance Sheet Input'!P22,ROUND(AVERAGE(W22:Y22),-3))</f>
        <v>4482000</v>
      </c>
      <c r="AA22" s="242">
        <f>IF(AA$5="Actual",'Audited Balance Sheet Input'!Q22,ROUND(AVERAGE(X22:Z22),-3))</f>
        <v>4317000</v>
      </c>
      <c r="AB22" s="242">
        <f>IF(AB$5="Actual",'Audited Balance Sheet Input'!R22,ROUND(AVERAGE(Y22:AA22),-3))</f>
        <v>4349000</v>
      </c>
      <c r="AC22" s="242">
        <f>IF(AC$5="Actual",'Audited Balance Sheet Input'!S22,ROUND(AVERAGE(Z22:AB22),-3))</f>
        <v>4383000</v>
      </c>
      <c r="AD22" s="242">
        <f>IF(AD$5="Actual",'Audited Balance Sheet Input'!T22,ROUND(AVERAGE(AA22:AC22),-3))</f>
        <v>4350000</v>
      </c>
      <c r="AE22" s="242">
        <f>IF(AE$5="Actual",'Audited Balance Sheet Input'!U22,ROUND(AVERAGE(AB22:AD22),-3))</f>
        <v>4361000</v>
      </c>
      <c r="AF22" s="242">
        <f>IF(AF$5="Actual",'Audited Balance Sheet Input'!V22,ROUND(AVERAGE(AC22:AE22),-3))</f>
        <v>4365000</v>
      </c>
      <c r="AG22" s="242">
        <f>IF(AG$5="Actual",'Audited Balance Sheet Input'!W22,ROUND(AVERAGE(AD22:AF22),-3))</f>
        <v>4359000</v>
      </c>
      <c r="AI22" s="77" t="s">
        <v>83</v>
      </c>
    </row>
    <row r="23" spans="1:35" outlineLevel="1">
      <c r="A23" s="233"/>
      <c r="B23" s="244" t="s">
        <v>89</v>
      </c>
      <c r="C23" s="244"/>
      <c r="D23" s="244"/>
      <c r="E23" s="244"/>
      <c r="F23" s="244"/>
      <c r="H23" s="5" t="s">
        <v>83</v>
      </c>
      <c r="J23" s="617" t="s">
        <v>78</v>
      </c>
      <c r="L23" s="229"/>
      <c r="M23" s="229"/>
      <c r="N23" s="242">
        <f>'Audited FS'!N27</f>
        <v>1578</v>
      </c>
      <c r="O23" s="242">
        <f>'Audited FS'!O27</f>
        <v>451578</v>
      </c>
      <c r="P23" s="242">
        <f>'Audited FS'!P27</f>
        <v>0</v>
      </c>
      <c r="Q23" s="242">
        <f>'Audited FS'!Q27</f>
        <v>0</v>
      </c>
      <c r="R23" s="242">
        <f>'Audited FS'!R27</f>
        <v>0</v>
      </c>
      <c r="S23" s="188"/>
      <c r="T23" s="242">
        <f>IF(T$5="Actual",'Audited Balance Sheet Input'!J23,ROUND(AVERAGE($P23:$R23),-3))</f>
        <v>0</v>
      </c>
      <c r="U23" s="242">
        <f>IF(U$5="Actual",'Audited Balance Sheet Input'!K23,ROUND(AVERAGE($Q23:$R23,T23),-3))</f>
        <v>0</v>
      </c>
      <c r="V23" s="242">
        <f>IF(V$5="Actual",'Audited Balance Sheet Input'!L23,ROUND(AVERAGE($R23,T23:U23),-3))</f>
        <v>0</v>
      </c>
      <c r="W23" s="242">
        <f>IF(W$5="Actual",'Audited Balance Sheet Input'!M23,ROUND(AVERAGE(T23:V23),-3))</f>
        <v>0</v>
      </c>
      <c r="X23" s="242">
        <f>IF(X$5="Actual",'Audited Balance Sheet Input'!N23,ROUND(AVERAGE(U23:W23),-3))</f>
        <v>0</v>
      </c>
      <c r="Y23" s="242">
        <f>IF(Y$5="Actual",'Audited Balance Sheet Input'!O23,ROUND(AVERAGE(V23:X23),-3))</f>
        <v>0</v>
      </c>
      <c r="Z23" s="242">
        <f>IF(Z$5="Actual",'Audited Balance Sheet Input'!P23,ROUND(AVERAGE(W23:Y23),-3))</f>
        <v>0</v>
      </c>
      <c r="AA23" s="242">
        <f>IF(AA$5="Actual",'Audited Balance Sheet Input'!Q23,ROUND(AVERAGE(X23:Z23),-3))</f>
        <v>0</v>
      </c>
      <c r="AB23" s="242">
        <f>IF(AB$5="Actual",'Audited Balance Sheet Input'!R23,ROUND(AVERAGE(Y23:AA23),-3))</f>
        <v>0</v>
      </c>
      <c r="AC23" s="242">
        <f>IF(AC$5="Actual",'Audited Balance Sheet Input'!S23,ROUND(AVERAGE(Z23:AB23),-3))</f>
        <v>0</v>
      </c>
      <c r="AD23" s="242">
        <f>IF(AD$5="Actual",'Audited Balance Sheet Input'!T23,ROUND(AVERAGE(AA23:AC23),-3))</f>
        <v>0</v>
      </c>
      <c r="AE23" s="242">
        <f>IF(AE$5="Actual",'Audited Balance Sheet Input'!U23,ROUND(AVERAGE(AB23:AD23),-3))</f>
        <v>0</v>
      </c>
      <c r="AF23" s="242">
        <f>IF(AF$5="Actual",'Audited Balance Sheet Input'!V23,ROUND(AVERAGE(AC23:AE23),-3))</f>
        <v>0</v>
      </c>
      <c r="AG23" s="242">
        <f>IF(AG$5="Actual",'Audited Balance Sheet Input'!W23,ROUND(AVERAGE(AD23:AF23),-3))</f>
        <v>0</v>
      </c>
      <c r="AI23" s="77" t="s">
        <v>83</v>
      </c>
    </row>
    <row r="24" spans="1:35" outlineLevel="1">
      <c r="A24" s="233"/>
      <c r="B24" s="233" t="s">
        <v>90</v>
      </c>
      <c r="C24" s="233"/>
      <c r="D24" s="233"/>
      <c r="E24" s="233"/>
      <c r="F24" s="233"/>
      <c r="H24" s="5" t="s">
        <v>83</v>
      </c>
      <c r="J24" s="617" t="s">
        <v>78</v>
      </c>
      <c r="L24" s="229"/>
      <c r="M24" s="229"/>
      <c r="N24" s="217">
        <f>'Audited FS'!N15</f>
        <v>2919359</v>
      </c>
      <c r="O24" s="217">
        <f>'Audited FS'!O15</f>
        <v>3696227</v>
      </c>
      <c r="P24" s="217">
        <f>'Audited FS'!P15</f>
        <v>4778745</v>
      </c>
      <c r="Q24" s="217">
        <f>'Audited FS'!Q15</f>
        <v>3785557</v>
      </c>
      <c r="R24" s="217">
        <f>'Audited FS'!R15</f>
        <v>6732554</v>
      </c>
      <c r="T24" s="242">
        <f>IF(T$5="Actual",'Audited Balance Sheet Input'!J24,ROUND(AVERAGE($P24:$R24),-3))</f>
        <v>9380389</v>
      </c>
      <c r="U24" s="242">
        <f>IF(U$5="Actual",'Audited Balance Sheet Input'!K24,ROUND(AVERAGE($Q24:$R24,T24),-3))</f>
        <v>4498433</v>
      </c>
      <c r="V24" s="242">
        <f>IF(V$5="Actual",'Audited Balance Sheet Input'!L24,ROUND(AVERAGE($R24,T24:U24),-3))</f>
        <v>4685289</v>
      </c>
      <c r="W24" s="242">
        <f>IF(W$5="Actual",'Audited Balance Sheet Input'!M24,ROUND(AVERAGE(T24:V24),-3))</f>
        <v>3925659</v>
      </c>
      <c r="X24" s="242">
        <f>IF(X$5="Actual",'Audited Balance Sheet Input'!N24,ROUND(AVERAGE(U24:W24),-3))</f>
        <v>4370000</v>
      </c>
      <c r="Y24" s="242">
        <f>IF(Y$5="Actual",'Audited Balance Sheet Input'!O24,ROUND(AVERAGE(V24:X24),-3))</f>
        <v>4327000</v>
      </c>
      <c r="Z24" s="242">
        <f>IF(Z$5="Actual",'Audited Balance Sheet Input'!P24,ROUND(AVERAGE(W24:Y24),-3))</f>
        <v>4208000</v>
      </c>
      <c r="AA24" s="242">
        <f>IF(AA$5="Actual",'Audited Balance Sheet Input'!Q24,ROUND(AVERAGE(X24:Z24),-3))</f>
        <v>4302000</v>
      </c>
      <c r="AB24" s="242">
        <f>IF(AB$5="Actual",'Audited Balance Sheet Input'!R24,ROUND(AVERAGE(Y24:AA24),-3))</f>
        <v>4279000</v>
      </c>
      <c r="AC24" s="242">
        <f>IF(AC$5="Actual",'Audited Balance Sheet Input'!S24,ROUND(AVERAGE(Z24:AB24),-3))</f>
        <v>4263000</v>
      </c>
      <c r="AD24" s="242">
        <f>IF(AD$5="Actual",'Audited Balance Sheet Input'!T24,ROUND(AVERAGE(AA24:AC24),-3))</f>
        <v>4281000</v>
      </c>
      <c r="AE24" s="242">
        <f>IF(AE$5="Actual",'Audited Balance Sheet Input'!U24,ROUND(AVERAGE(AB24:AD24),-3))</f>
        <v>4274000</v>
      </c>
      <c r="AF24" s="242">
        <f>IF(AF$5="Actual",'Audited Balance Sheet Input'!V24,ROUND(AVERAGE(AC24:AE24),-3))</f>
        <v>4273000</v>
      </c>
      <c r="AG24" s="242">
        <f>IF(AG$5="Actual",'Audited Balance Sheet Input'!W24,ROUND(AVERAGE(AD24:AF24),-3))</f>
        <v>4276000</v>
      </c>
      <c r="AI24" s="77" t="s">
        <v>83</v>
      </c>
    </row>
    <row r="25" spans="1:35">
      <c r="A25" s="233"/>
      <c r="B25" s="245" t="s">
        <v>91</v>
      </c>
      <c r="C25" s="246"/>
      <c r="D25" s="246"/>
      <c r="E25" s="246"/>
      <c r="F25" s="247"/>
      <c r="L25" s="229"/>
      <c r="M25" s="229"/>
      <c r="N25" s="27"/>
      <c r="O25" s="27"/>
      <c r="P25" s="27"/>
      <c r="Q25" s="27"/>
      <c r="R25" s="27"/>
      <c r="S25" s="188"/>
      <c r="T25" s="27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</row>
    <row r="26" spans="1:35" outlineLevel="1">
      <c r="A26" s="233"/>
      <c r="B26" s="233"/>
      <c r="C26" s="248" t="s">
        <v>92</v>
      </c>
      <c r="D26" s="244"/>
      <c r="E26" s="244"/>
      <c r="F26" s="244"/>
      <c r="J26" s="617" t="s">
        <v>78</v>
      </c>
      <c r="L26" s="229"/>
      <c r="M26" s="229"/>
      <c r="N26" s="242">
        <v>217521503</v>
      </c>
      <c r="O26" s="242">
        <v>173158997</v>
      </c>
      <c r="P26" s="242">
        <v>143326526</v>
      </c>
      <c r="Q26" s="242">
        <v>146425217</v>
      </c>
      <c r="R26" s="242">
        <v>141975154</v>
      </c>
      <c r="S26" s="188"/>
      <c r="T26" s="217">
        <f>'Audited Balance Sheet Input'!J26</f>
        <v>110086715</v>
      </c>
      <c r="U26" s="217">
        <f>'Audited Balance Sheet Input'!K26</f>
        <v>198130341</v>
      </c>
      <c r="V26" s="217">
        <f>'Audited Balance Sheet Input'!L26</f>
        <v>200172908</v>
      </c>
      <c r="W26" s="217">
        <f>'Audited Balance Sheet Input'!M26</f>
        <v>200421798</v>
      </c>
      <c r="X26" s="217">
        <f>'Audited Balance Sheet Input'!N26</f>
        <v>0</v>
      </c>
      <c r="Y26" s="217">
        <f>'Audited Balance Sheet Input'!O26</f>
        <v>0</v>
      </c>
      <c r="Z26" s="217">
        <f>'Audited Balance Sheet Input'!P26</f>
        <v>0</v>
      </c>
      <c r="AA26" s="217">
        <f>'Audited Balance Sheet Input'!Q26</f>
        <v>0</v>
      </c>
      <c r="AB26" s="217">
        <f>'Audited Balance Sheet Input'!R26</f>
        <v>0</v>
      </c>
      <c r="AC26" s="217">
        <f>'Audited Balance Sheet Input'!S26</f>
        <v>0</v>
      </c>
      <c r="AD26" s="217">
        <f>'Audited Balance Sheet Input'!T26</f>
        <v>0</v>
      </c>
      <c r="AE26" s="217">
        <f>'Audited Balance Sheet Input'!U26</f>
        <v>0</v>
      </c>
      <c r="AF26" s="217">
        <f>'Audited Balance Sheet Input'!V26</f>
        <v>0</v>
      </c>
      <c r="AG26" s="217">
        <f>'Audited Balance Sheet Input'!W26</f>
        <v>0</v>
      </c>
    </row>
    <row r="27" spans="1:35" outlineLevel="1">
      <c r="A27" s="233"/>
      <c r="B27" s="233"/>
      <c r="C27" s="248" t="s">
        <v>93</v>
      </c>
      <c r="D27" s="244"/>
      <c r="E27" s="244"/>
      <c r="F27" s="244"/>
      <c r="J27" s="617" t="s">
        <v>78</v>
      </c>
      <c r="L27" s="229"/>
      <c r="M27" s="229"/>
      <c r="N27" s="242"/>
      <c r="O27" s="242"/>
      <c r="P27" s="242">
        <v>49663592</v>
      </c>
      <c r="Q27" s="242">
        <v>85399998</v>
      </c>
      <c r="R27" s="242">
        <v>63105259</v>
      </c>
      <c r="S27" s="188"/>
      <c r="T27" s="217">
        <f>'Audited Balance Sheet Input'!J27</f>
        <v>99948462</v>
      </c>
      <c r="U27" s="217">
        <f>'Audited Balance Sheet Input'!K27</f>
        <v>65120614</v>
      </c>
      <c r="V27" s="217">
        <f>'Audited Balance Sheet Input'!L27</f>
        <v>59446468</v>
      </c>
      <c r="W27" s="217">
        <f>'Audited Balance Sheet Input'!M27</f>
        <v>61042978</v>
      </c>
      <c r="X27" s="217">
        <f>'Audited Balance Sheet Input'!N27</f>
        <v>0</v>
      </c>
      <c r="Y27" s="217">
        <f>'Audited Balance Sheet Input'!O27</f>
        <v>0</v>
      </c>
      <c r="Z27" s="217">
        <f>'Audited Balance Sheet Input'!P27</f>
        <v>0</v>
      </c>
      <c r="AA27" s="217">
        <f>'Audited Balance Sheet Input'!Q27</f>
        <v>0</v>
      </c>
      <c r="AB27" s="217">
        <f>'Audited Balance Sheet Input'!R27</f>
        <v>0</v>
      </c>
      <c r="AC27" s="217">
        <f>'Audited Balance Sheet Input'!S27</f>
        <v>0</v>
      </c>
      <c r="AD27" s="217">
        <f>'Audited Balance Sheet Input'!T27</f>
        <v>0</v>
      </c>
      <c r="AE27" s="217">
        <f>'Audited Balance Sheet Input'!U27</f>
        <v>0</v>
      </c>
      <c r="AF27" s="217">
        <f>'Audited Balance Sheet Input'!V27</f>
        <v>0</v>
      </c>
      <c r="AG27" s="217">
        <f>'Audited Balance Sheet Input'!W27</f>
        <v>0</v>
      </c>
    </row>
    <row r="28" spans="1:35" outlineLevel="1">
      <c r="A28" s="233"/>
      <c r="B28" s="233"/>
      <c r="C28" s="248" t="s">
        <v>39</v>
      </c>
      <c r="D28" s="244"/>
      <c r="E28" s="244"/>
      <c r="F28" s="244"/>
      <c r="J28" s="617" t="s">
        <v>78</v>
      </c>
      <c r="L28" s="229"/>
      <c r="M28" s="229"/>
      <c r="N28" s="242">
        <v>21513720</v>
      </c>
      <c r="O28" s="242">
        <v>49592545</v>
      </c>
      <c r="P28" s="242">
        <v>39846942</v>
      </c>
      <c r="Q28" s="242">
        <v>45554429</v>
      </c>
      <c r="R28" s="242">
        <v>51287339</v>
      </c>
      <c r="S28" s="188"/>
      <c r="T28" s="217">
        <f>'Audited Balance Sheet Input'!J28</f>
        <v>57442185</v>
      </c>
      <c r="U28" s="217">
        <f>'Audited Balance Sheet Input'!K28</f>
        <v>23836788</v>
      </c>
      <c r="V28" s="217">
        <f>'Audited Balance Sheet Input'!L28</f>
        <v>45365409</v>
      </c>
      <c r="W28" s="217">
        <f>'Audited Balance Sheet Input'!M28</f>
        <v>48479482</v>
      </c>
      <c r="X28" s="217">
        <f>'Audited Balance Sheet Input'!N28</f>
        <v>0</v>
      </c>
      <c r="Y28" s="217">
        <f>'Audited Balance Sheet Input'!O28</f>
        <v>0</v>
      </c>
      <c r="Z28" s="217">
        <f>'Audited Balance Sheet Input'!P28</f>
        <v>0</v>
      </c>
      <c r="AA28" s="217">
        <f>'Audited Balance Sheet Input'!Q28</f>
        <v>0</v>
      </c>
      <c r="AB28" s="217">
        <f>'Audited Balance Sheet Input'!R28</f>
        <v>0</v>
      </c>
      <c r="AC28" s="217">
        <f>'Audited Balance Sheet Input'!S28</f>
        <v>0</v>
      </c>
      <c r="AD28" s="217">
        <f>'Audited Balance Sheet Input'!T28</f>
        <v>0</v>
      </c>
      <c r="AE28" s="217">
        <f>'Audited Balance Sheet Input'!U28</f>
        <v>0</v>
      </c>
      <c r="AF28" s="217">
        <f>'Audited Balance Sheet Input'!V28</f>
        <v>0</v>
      </c>
      <c r="AG28" s="217">
        <f>'Audited Balance Sheet Input'!W28</f>
        <v>0</v>
      </c>
    </row>
    <row r="29" spans="1:35" outlineLevel="1">
      <c r="A29" s="233"/>
      <c r="B29" s="233"/>
      <c r="C29" s="248" t="s">
        <v>94</v>
      </c>
      <c r="D29" s="59"/>
      <c r="E29" s="244"/>
      <c r="F29" s="244"/>
      <c r="J29" s="617" t="s">
        <v>78</v>
      </c>
      <c r="L29" s="229"/>
      <c r="M29" s="229"/>
      <c r="N29" s="242">
        <v>56458582</v>
      </c>
      <c r="O29" s="242">
        <v>39521423</v>
      </c>
      <c r="P29" s="242">
        <v>41063920</v>
      </c>
      <c r="Q29" s="242">
        <v>47069803</v>
      </c>
      <c r="R29" s="242">
        <v>50891892</v>
      </c>
      <c r="S29" s="188"/>
      <c r="T29" s="217">
        <f>'Audited Balance Sheet Input'!J29</f>
        <v>52547943</v>
      </c>
      <c r="U29" s="217">
        <f>'Audited Balance Sheet Input'!K29</f>
        <v>61486931</v>
      </c>
      <c r="V29" s="217">
        <f>'Audited Balance Sheet Input'!L29</f>
        <v>79695102</v>
      </c>
      <c r="W29" s="217">
        <f>'Audited Balance Sheet Input'!M29</f>
        <v>75472196</v>
      </c>
      <c r="X29" s="217">
        <f>'Audited Balance Sheet Input'!N29</f>
        <v>0</v>
      </c>
      <c r="Y29" s="217">
        <f>'Audited Balance Sheet Input'!O29</f>
        <v>0</v>
      </c>
      <c r="Z29" s="217">
        <f>'Audited Balance Sheet Input'!P29</f>
        <v>0</v>
      </c>
      <c r="AA29" s="217">
        <f>'Audited Balance Sheet Input'!Q29</f>
        <v>0</v>
      </c>
      <c r="AB29" s="217">
        <f>'Audited Balance Sheet Input'!R29</f>
        <v>0</v>
      </c>
      <c r="AC29" s="217">
        <f>'Audited Balance Sheet Input'!S29</f>
        <v>0</v>
      </c>
      <c r="AD29" s="217">
        <f>'Audited Balance Sheet Input'!T29</f>
        <v>0</v>
      </c>
      <c r="AE29" s="217">
        <f>'Audited Balance Sheet Input'!U29</f>
        <v>0</v>
      </c>
      <c r="AF29" s="217">
        <f>'Audited Balance Sheet Input'!V29</f>
        <v>0</v>
      </c>
      <c r="AG29" s="217">
        <f>'Audited Balance Sheet Input'!W29</f>
        <v>0</v>
      </c>
    </row>
    <row r="30" spans="1:35" outlineLevel="1">
      <c r="A30" s="233"/>
      <c r="B30" s="233"/>
      <c r="C30" s="248" t="s">
        <v>95</v>
      </c>
      <c r="D30" s="244"/>
      <c r="E30" s="244"/>
      <c r="F30" s="244"/>
      <c r="J30" s="617" t="s">
        <v>78</v>
      </c>
      <c r="L30" s="229"/>
      <c r="M30" s="229"/>
      <c r="N30" s="242"/>
      <c r="O30" s="242">
        <v>52915803</v>
      </c>
      <c r="P30" s="242">
        <v>61880223</v>
      </c>
      <c r="Q30" s="242">
        <v>33775091</v>
      </c>
      <c r="R30" s="242">
        <v>33772547</v>
      </c>
      <c r="S30" s="188"/>
      <c r="T30" s="217">
        <f>'Audited Balance Sheet Input'!J30</f>
        <v>0</v>
      </c>
      <c r="U30" s="217">
        <f>'Audited Balance Sheet Input'!K30</f>
        <v>0</v>
      </c>
      <c r="V30" s="217">
        <f>'Audited Balance Sheet Input'!L30</f>
        <v>0</v>
      </c>
      <c r="W30" s="217">
        <f>'Audited Balance Sheet Input'!M30</f>
        <v>0</v>
      </c>
      <c r="X30" s="217">
        <f>'Audited Balance Sheet Input'!N30</f>
        <v>0</v>
      </c>
      <c r="Y30" s="217">
        <f>'Audited Balance Sheet Input'!O30</f>
        <v>0</v>
      </c>
      <c r="Z30" s="217">
        <f>'Audited Balance Sheet Input'!P30</f>
        <v>0</v>
      </c>
      <c r="AA30" s="217">
        <f>'Audited Balance Sheet Input'!Q30</f>
        <v>0</v>
      </c>
      <c r="AB30" s="217">
        <f>'Audited Balance Sheet Input'!R30</f>
        <v>0</v>
      </c>
      <c r="AC30" s="217">
        <f>'Audited Balance Sheet Input'!S30</f>
        <v>0</v>
      </c>
      <c r="AD30" s="217">
        <f>'Audited Balance Sheet Input'!T30</f>
        <v>0</v>
      </c>
      <c r="AE30" s="217">
        <f>'Audited Balance Sheet Input'!U30</f>
        <v>0</v>
      </c>
      <c r="AF30" s="217">
        <f>'Audited Balance Sheet Input'!V30</f>
        <v>0</v>
      </c>
      <c r="AG30" s="217">
        <f>'Audited Balance Sheet Input'!W30</f>
        <v>0</v>
      </c>
    </row>
    <row r="31" spans="1:35" outlineLevel="1">
      <c r="A31" s="233"/>
      <c r="B31" s="233"/>
      <c r="C31" s="248" t="s">
        <v>96</v>
      </c>
      <c r="D31" s="244"/>
      <c r="E31" s="244"/>
      <c r="F31" s="244"/>
      <c r="J31" s="617" t="s">
        <v>78</v>
      </c>
      <c r="L31" s="229"/>
      <c r="M31" s="229"/>
      <c r="N31" s="242">
        <v>665187</v>
      </c>
      <c r="O31" s="242">
        <v>24246993</v>
      </c>
      <c r="P31" s="242"/>
      <c r="Q31" s="242"/>
      <c r="R31" s="242"/>
      <c r="S31" s="188"/>
      <c r="T31" s="217">
        <f>'Audited Balance Sheet Input'!J31</f>
        <v>0</v>
      </c>
      <c r="U31" s="217">
        <f>'Audited Balance Sheet Input'!K31</f>
        <v>0</v>
      </c>
      <c r="V31" s="217">
        <f>'Audited Balance Sheet Input'!L31</f>
        <v>0</v>
      </c>
      <c r="W31" s="217">
        <f>'Audited Balance Sheet Input'!M31</f>
        <v>0</v>
      </c>
      <c r="X31" s="217">
        <f>'Audited Balance Sheet Input'!N31</f>
        <v>0</v>
      </c>
      <c r="Y31" s="217">
        <f>'Audited Balance Sheet Input'!O31</f>
        <v>0</v>
      </c>
      <c r="Z31" s="217">
        <f>'Audited Balance Sheet Input'!P31</f>
        <v>0</v>
      </c>
      <c r="AA31" s="217">
        <f>'Audited Balance Sheet Input'!Q31</f>
        <v>0</v>
      </c>
      <c r="AB31" s="217">
        <f>'Audited Balance Sheet Input'!R31</f>
        <v>0</v>
      </c>
      <c r="AC31" s="217">
        <f>'Audited Balance Sheet Input'!S31</f>
        <v>0</v>
      </c>
      <c r="AD31" s="217">
        <f>'Audited Balance Sheet Input'!T31</f>
        <v>0</v>
      </c>
      <c r="AE31" s="217">
        <f>'Audited Balance Sheet Input'!U31</f>
        <v>0</v>
      </c>
      <c r="AF31" s="217">
        <f>'Audited Balance Sheet Input'!V31</f>
        <v>0</v>
      </c>
      <c r="AG31" s="217">
        <f>'Audited Balance Sheet Input'!W31</f>
        <v>0</v>
      </c>
    </row>
    <row r="32" spans="1:35" outlineLevel="1">
      <c r="A32" s="233"/>
      <c r="B32" s="233"/>
      <c r="C32" s="248" t="s">
        <v>97</v>
      </c>
      <c r="D32" s="244"/>
      <c r="E32" s="244"/>
      <c r="F32" s="244"/>
      <c r="J32" s="617" t="s">
        <v>78</v>
      </c>
      <c r="L32" s="229"/>
      <c r="M32" s="229"/>
      <c r="N32" s="242"/>
      <c r="O32" s="242"/>
      <c r="P32" s="242">
        <v>5317400</v>
      </c>
      <c r="Q32" s="242">
        <v>6971723</v>
      </c>
      <c r="R32" s="242">
        <v>8306655</v>
      </c>
      <c r="S32" s="188"/>
      <c r="T32" s="217">
        <f>'Audited Balance Sheet Input'!J32</f>
        <v>9398843</v>
      </c>
      <c r="U32" s="217">
        <f>'Audited Balance Sheet Input'!K32</f>
        <v>8439611</v>
      </c>
      <c r="V32" s="217">
        <f>'Audited Balance Sheet Input'!L32</f>
        <v>0</v>
      </c>
      <c r="W32" s="217">
        <f>'Audited Balance Sheet Input'!M32</f>
        <v>6796150</v>
      </c>
      <c r="X32" s="217">
        <f>'Audited Balance Sheet Input'!N32</f>
        <v>0</v>
      </c>
      <c r="Y32" s="217">
        <f>'Audited Balance Sheet Input'!O32</f>
        <v>0</v>
      </c>
      <c r="Z32" s="217">
        <f>'Audited Balance Sheet Input'!P32</f>
        <v>0</v>
      </c>
      <c r="AA32" s="217">
        <f>'Audited Balance Sheet Input'!Q32</f>
        <v>0</v>
      </c>
      <c r="AB32" s="217">
        <f>'Audited Balance Sheet Input'!R32</f>
        <v>0</v>
      </c>
      <c r="AC32" s="217">
        <f>'Audited Balance Sheet Input'!S32</f>
        <v>0</v>
      </c>
      <c r="AD32" s="217">
        <f>'Audited Balance Sheet Input'!T32</f>
        <v>0</v>
      </c>
      <c r="AE32" s="217">
        <f>'Audited Balance Sheet Input'!U32</f>
        <v>0</v>
      </c>
      <c r="AF32" s="217">
        <f>'Audited Balance Sheet Input'!V32</f>
        <v>0</v>
      </c>
      <c r="AG32" s="217">
        <f>'Audited Balance Sheet Input'!W32</f>
        <v>0</v>
      </c>
    </row>
    <row r="33" spans="1:35" outlineLevel="1">
      <c r="A33" s="233"/>
      <c r="B33" s="233"/>
      <c r="C33" s="248" t="s">
        <v>98</v>
      </c>
      <c r="D33" s="244"/>
      <c r="E33" s="244"/>
      <c r="F33" s="244"/>
      <c r="J33" s="617" t="s">
        <v>78</v>
      </c>
      <c r="L33" s="229"/>
      <c r="M33" s="229"/>
      <c r="N33" s="242">
        <v>43176912</v>
      </c>
      <c r="O33" s="242"/>
      <c r="P33" s="242"/>
      <c r="Q33" s="242"/>
      <c r="R33" s="242"/>
      <c r="S33" s="188"/>
      <c r="T33" s="217">
        <f>'Audited Balance Sheet Input'!J33</f>
        <v>0</v>
      </c>
      <c r="U33" s="217">
        <f>'Audited Balance Sheet Input'!K33</f>
        <v>0</v>
      </c>
      <c r="V33" s="217">
        <f>'Audited Balance Sheet Input'!L33</f>
        <v>0</v>
      </c>
      <c r="W33" s="217">
        <f>'Audited Balance Sheet Input'!M33</f>
        <v>0</v>
      </c>
      <c r="X33" s="217">
        <f>'Audited Balance Sheet Input'!N33</f>
        <v>0</v>
      </c>
      <c r="Y33" s="217">
        <f>'Audited Balance Sheet Input'!O33</f>
        <v>0</v>
      </c>
      <c r="Z33" s="217">
        <f>'Audited Balance Sheet Input'!P33</f>
        <v>0</v>
      </c>
      <c r="AA33" s="217">
        <f>'Audited Balance Sheet Input'!Q33</f>
        <v>0</v>
      </c>
      <c r="AB33" s="217">
        <f>'Audited Balance Sheet Input'!R33</f>
        <v>0</v>
      </c>
      <c r="AC33" s="217">
        <f>'Audited Balance Sheet Input'!S33</f>
        <v>0</v>
      </c>
      <c r="AD33" s="217">
        <f>'Audited Balance Sheet Input'!T33</f>
        <v>0</v>
      </c>
      <c r="AE33" s="217">
        <f>'Audited Balance Sheet Input'!U33</f>
        <v>0</v>
      </c>
      <c r="AF33" s="217">
        <f>'Audited Balance Sheet Input'!V33</f>
        <v>0</v>
      </c>
      <c r="AG33" s="217">
        <f>'Audited Balance Sheet Input'!W33</f>
        <v>0</v>
      </c>
    </row>
    <row r="34" spans="1:35" s="57" customFormat="1">
      <c r="A34" s="232"/>
      <c r="B34" s="232"/>
      <c r="C34" s="249"/>
      <c r="D34" s="249"/>
      <c r="E34" s="249"/>
      <c r="F34" s="250" t="s">
        <v>470</v>
      </c>
      <c r="G34" s="306"/>
      <c r="H34" s="601"/>
      <c r="I34" s="306"/>
      <c r="J34" s="618"/>
      <c r="K34" s="78"/>
      <c r="L34" s="315"/>
      <c r="M34" s="231"/>
      <c r="N34" s="176">
        <f>SUM(N26:N33)</f>
        <v>339335904</v>
      </c>
      <c r="O34" s="176">
        <f t="shared" ref="O34:R34" si="1">SUM(O26:O33)</f>
        <v>339435761</v>
      </c>
      <c r="P34" s="176">
        <f t="shared" si="1"/>
        <v>341098603</v>
      </c>
      <c r="Q34" s="176">
        <f t="shared" si="1"/>
        <v>365196261</v>
      </c>
      <c r="R34" s="176">
        <f t="shared" si="1"/>
        <v>349338846</v>
      </c>
      <c r="S34" s="177"/>
      <c r="T34" s="176">
        <f t="shared" ref="T34:AE34" si="2">SUM(T26:T33)</f>
        <v>329424148</v>
      </c>
      <c r="U34" s="176">
        <f t="shared" si="2"/>
        <v>357014285</v>
      </c>
      <c r="V34" s="176">
        <f t="shared" si="2"/>
        <v>384679887</v>
      </c>
      <c r="W34" s="176">
        <f>SUM(W26:W33)</f>
        <v>392212604</v>
      </c>
      <c r="X34" s="176">
        <f t="shared" si="2"/>
        <v>0</v>
      </c>
      <c r="Y34" s="176">
        <f t="shared" si="2"/>
        <v>0</v>
      </c>
      <c r="Z34" s="176">
        <f t="shared" si="2"/>
        <v>0</v>
      </c>
      <c r="AA34" s="176">
        <f t="shared" si="2"/>
        <v>0</v>
      </c>
      <c r="AB34" s="176">
        <f t="shared" si="2"/>
        <v>0</v>
      </c>
      <c r="AC34" s="176">
        <f t="shared" si="2"/>
        <v>0</v>
      </c>
      <c r="AD34" s="176">
        <f t="shared" si="2"/>
        <v>0</v>
      </c>
      <c r="AE34" s="176">
        <f t="shared" si="2"/>
        <v>0</v>
      </c>
      <c r="AF34" s="176">
        <f t="shared" ref="AF34:AG34" si="3">SUM(AF26:AF33)</f>
        <v>0</v>
      </c>
      <c r="AG34" s="176">
        <f t="shared" si="3"/>
        <v>0</v>
      </c>
      <c r="AH34" s="77"/>
      <c r="AI34" s="77"/>
    </row>
    <row r="35" spans="1:35" outlineLevel="1">
      <c r="A35" s="233"/>
      <c r="B35" s="233"/>
      <c r="C35" s="248" t="s">
        <v>99</v>
      </c>
      <c r="D35" s="244"/>
      <c r="E35" s="244"/>
      <c r="F35" s="244"/>
      <c r="J35" s="617" t="s">
        <v>78</v>
      </c>
      <c r="L35" s="229"/>
      <c r="M35" s="229"/>
      <c r="N35" s="242">
        <v>10195990</v>
      </c>
      <c r="O35" s="242">
        <v>938938</v>
      </c>
      <c r="P35" s="242">
        <v>984929</v>
      </c>
      <c r="Q35" s="242">
        <v>3948007</v>
      </c>
      <c r="R35" s="242">
        <v>3172402</v>
      </c>
      <c r="S35" s="188"/>
      <c r="T35" s="217">
        <f>'Audited Balance Sheet Input'!J35</f>
        <v>3142866</v>
      </c>
      <c r="U35" s="217">
        <f>'Audited Balance Sheet Input'!K35</f>
        <v>11109117</v>
      </c>
      <c r="V35" s="217">
        <f>'Audited Balance Sheet Input'!L35</f>
        <v>11713544</v>
      </c>
      <c r="W35" s="217">
        <f>'Audited Balance Sheet Input'!M35</f>
        <v>13091017</v>
      </c>
      <c r="X35" s="217">
        <f>'Audited Balance Sheet Input'!N35</f>
        <v>0</v>
      </c>
      <c r="Y35" s="217">
        <f>'Audited Balance Sheet Input'!O35</f>
        <v>0</v>
      </c>
      <c r="Z35" s="217">
        <f>'Audited Balance Sheet Input'!P35</f>
        <v>0</v>
      </c>
      <c r="AA35" s="217">
        <f>'Audited Balance Sheet Input'!Q35</f>
        <v>0</v>
      </c>
      <c r="AB35" s="217">
        <f>'Audited Balance Sheet Input'!R35</f>
        <v>0</v>
      </c>
      <c r="AC35" s="217">
        <f>'Audited Balance Sheet Input'!S35</f>
        <v>0</v>
      </c>
      <c r="AD35" s="217">
        <f>'Audited Balance Sheet Input'!T35</f>
        <v>0</v>
      </c>
      <c r="AE35" s="217">
        <f>'Audited Balance Sheet Input'!U35</f>
        <v>0</v>
      </c>
      <c r="AF35" s="217">
        <f>'Audited Balance Sheet Input'!V35</f>
        <v>0</v>
      </c>
      <c r="AG35" s="217">
        <f>'Audited Balance Sheet Input'!W35</f>
        <v>0</v>
      </c>
    </row>
    <row r="36" spans="1:35" outlineLevel="1">
      <c r="A36" s="233"/>
      <c r="B36" s="233"/>
      <c r="C36" s="248" t="s">
        <v>100</v>
      </c>
      <c r="D36" s="244"/>
      <c r="E36" s="244"/>
      <c r="F36" s="244"/>
      <c r="J36" s="617" t="s">
        <v>78</v>
      </c>
      <c r="L36" s="229"/>
      <c r="M36" s="229"/>
      <c r="N36" s="242">
        <v>8172333</v>
      </c>
      <c r="O36" s="242">
        <v>619954</v>
      </c>
      <c r="P36" s="242">
        <v>581429</v>
      </c>
      <c r="Q36" s="242">
        <v>1142600</v>
      </c>
      <c r="R36" s="242">
        <v>1643125</v>
      </c>
      <c r="S36" s="188"/>
      <c r="T36" s="217">
        <f>'Audited Balance Sheet Input'!J36</f>
        <v>1778895</v>
      </c>
      <c r="U36" s="217">
        <f>'Audited Balance Sheet Input'!K36</f>
        <v>2198305</v>
      </c>
      <c r="V36" s="217">
        <f>'Audited Balance Sheet Input'!L36</f>
        <v>1435432</v>
      </c>
      <c r="W36" s="217">
        <f>'Audited Balance Sheet Input'!M36</f>
        <v>792260</v>
      </c>
      <c r="X36" s="217">
        <f>'Audited Balance Sheet Input'!N36</f>
        <v>0</v>
      </c>
      <c r="Y36" s="217">
        <f>'Audited Balance Sheet Input'!O36</f>
        <v>0</v>
      </c>
      <c r="Z36" s="217">
        <f>'Audited Balance Sheet Input'!P36</f>
        <v>0</v>
      </c>
      <c r="AA36" s="217">
        <f>'Audited Balance Sheet Input'!Q36</f>
        <v>0</v>
      </c>
      <c r="AB36" s="217">
        <f>'Audited Balance Sheet Input'!R36</f>
        <v>0</v>
      </c>
      <c r="AC36" s="217">
        <f>'Audited Balance Sheet Input'!S36</f>
        <v>0</v>
      </c>
      <c r="AD36" s="217">
        <f>'Audited Balance Sheet Input'!T36</f>
        <v>0</v>
      </c>
      <c r="AE36" s="217">
        <f>'Audited Balance Sheet Input'!U36</f>
        <v>0</v>
      </c>
      <c r="AF36" s="217">
        <f>'Audited Balance Sheet Input'!V36</f>
        <v>0</v>
      </c>
      <c r="AG36" s="217">
        <f>'Audited Balance Sheet Input'!W36</f>
        <v>0</v>
      </c>
    </row>
    <row r="37" spans="1:35" s="57" customFormat="1">
      <c r="A37" s="232"/>
      <c r="B37" s="232"/>
      <c r="C37" s="249"/>
      <c r="D37" s="249"/>
      <c r="E37" s="249"/>
      <c r="F37" s="250" t="s">
        <v>498</v>
      </c>
      <c r="G37" s="306"/>
      <c r="H37" s="601"/>
      <c r="I37" s="306"/>
      <c r="J37" s="618"/>
      <c r="K37" s="78"/>
      <c r="L37" s="315"/>
      <c r="M37" s="231"/>
      <c r="N37" s="176">
        <f>SUM(N35:N36)</f>
        <v>18368323</v>
      </c>
      <c r="O37" s="176">
        <f>SUM(O35:O36)</f>
        <v>1558892</v>
      </c>
      <c r="P37" s="176">
        <f>SUM(P35:P36)</f>
        <v>1566358</v>
      </c>
      <c r="Q37" s="176">
        <f>SUM(Q35:Q36)</f>
        <v>5090607</v>
      </c>
      <c r="R37" s="176">
        <f>SUM(R35:R36)</f>
        <v>4815527</v>
      </c>
      <c r="S37" s="177"/>
      <c r="T37" s="176">
        <f>SUM(T35:T36)</f>
        <v>4921761</v>
      </c>
      <c r="U37" s="176">
        <f t="shared" ref="U37:AE37" si="4">SUM(U35:U36)</f>
        <v>13307422</v>
      </c>
      <c r="V37" s="176">
        <f t="shared" si="4"/>
        <v>13148976</v>
      </c>
      <c r="W37" s="176">
        <f>SUM(W35:W36)</f>
        <v>13883277</v>
      </c>
      <c r="X37" s="176">
        <f t="shared" si="4"/>
        <v>0</v>
      </c>
      <c r="Y37" s="176">
        <f t="shared" si="4"/>
        <v>0</v>
      </c>
      <c r="Z37" s="176">
        <f t="shared" si="4"/>
        <v>0</v>
      </c>
      <c r="AA37" s="176">
        <f t="shared" si="4"/>
        <v>0</v>
      </c>
      <c r="AB37" s="176">
        <f t="shared" si="4"/>
        <v>0</v>
      </c>
      <c r="AC37" s="176">
        <f t="shared" si="4"/>
        <v>0</v>
      </c>
      <c r="AD37" s="176">
        <f t="shared" si="4"/>
        <v>0</v>
      </c>
      <c r="AE37" s="176">
        <f t="shared" si="4"/>
        <v>0</v>
      </c>
      <c r="AF37" s="176">
        <f t="shared" ref="AF37:AG37" si="5">SUM(AF35:AF36)</f>
        <v>0</v>
      </c>
      <c r="AG37" s="176">
        <f t="shared" si="5"/>
        <v>0</v>
      </c>
      <c r="AH37" s="77"/>
      <c r="AI37" s="77"/>
    </row>
    <row r="38" spans="1:35" s="52" customFormat="1">
      <c r="A38" s="251"/>
      <c r="B38" s="251"/>
      <c r="C38" s="252"/>
      <c r="D38" s="252"/>
      <c r="E38" s="252"/>
      <c r="F38" s="380"/>
      <c r="J38" s="615"/>
      <c r="K38" s="254"/>
      <c r="L38" s="255"/>
      <c r="M38" s="255"/>
      <c r="N38" s="256"/>
      <c r="O38" s="256"/>
      <c r="P38" s="256"/>
      <c r="Q38" s="256"/>
      <c r="R38" s="256"/>
      <c r="S38" s="257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77"/>
      <c r="AI38" s="77"/>
    </row>
    <row r="39" spans="1:35" s="57" customFormat="1">
      <c r="A39" s="232"/>
      <c r="B39" s="258" t="s">
        <v>48</v>
      </c>
      <c r="C39" s="259"/>
      <c r="D39" s="259"/>
      <c r="E39" s="259"/>
      <c r="F39" s="259"/>
      <c r="G39" s="56"/>
      <c r="H39" s="5" t="s">
        <v>101</v>
      </c>
      <c r="I39" s="56"/>
      <c r="J39" s="620" t="s">
        <v>26</v>
      </c>
      <c r="K39" s="95"/>
      <c r="L39" s="231"/>
      <c r="M39" s="231"/>
      <c r="N39" s="74">
        <f>N34+N37</f>
        <v>357704227</v>
      </c>
      <c r="O39" s="74">
        <f>O34+O37</f>
        <v>340994653</v>
      </c>
      <c r="P39" s="74">
        <f>P34+P37</f>
        <v>342664961</v>
      </c>
      <c r="Q39" s="74">
        <f>Q34+Q37</f>
        <v>370286868</v>
      </c>
      <c r="R39" s="74">
        <f>R34+R37</f>
        <v>354154373</v>
      </c>
      <c r="S39" s="147"/>
      <c r="T39" s="74">
        <f>T34+T37</f>
        <v>334345909</v>
      </c>
      <c r="U39" s="74">
        <f>U34+U37</f>
        <v>370321707</v>
      </c>
      <c r="V39" s="74">
        <f>V34+V37</f>
        <v>397828863</v>
      </c>
      <c r="W39" s="74">
        <f>IF(W5="Actual",W34+W37,'2005-2'!I25)</f>
        <v>406095881</v>
      </c>
      <c r="X39" s="74">
        <f>IF(X5="Actual",X34+X37,'2005-2'!J25)</f>
        <v>405171917.90522265</v>
      </c>
      <c r="Y39" s="74">
        <f>IF(Y5="Actual",Y34+Y37,'2005-2'!K25)</f>
        <v>414114322.03340858</v>
      </c>
      <c r="Z39" s="74">
        <f>IF(Z5="Actual",Z34+Z37,'2005-2'!L25)</f>
        <v>422941326.26486337</v>
      </c>
      <c r="AA39" s="74">
        <f>IF(AA5="Actual",AA34+AA37,'2005-2'!M25)</f>
        <v>431626757.60785127</v>
      </c>
      <c r="AB39" s="74">
        <f>IF(AB5="Actual",AB34+AB37,'2005-2'!N25)</f>
        <v>440046230.49279976</v>
      </c>
      <c r="AC39" s="74">
        <f>IF(AC5="Actual",AC34+AC37,'2005-2'!O25)</f>
        <v>448086231.46206194</v>
      </c>
      <c r="AD39" s="74">
        <f>IF(AD5="Actual",AD34+AD37,'2005-2'!P25)</f>
        <v>455666864.36812609</v>
      </c>
      <c r="AE39" s="74">
        <f>IF(AE5="Actual",AE34+AE37,'2005-2'!Q25)</f>
        <v>463321644.29727596</v>
      </c>
      <c r="AF39" s="74">
        <f>IF(AF5="Actual",AF34+AF37,'2005-2'!R25)</f>
        <v>471068161.90605247</v>
      </c>
      <c r="AG39" s="74">
        <f>IF(AG5="Actual",AG34+AG37,'2005-2'!S25)</f>
        <v>478922717.46550852</v>
      </c>
      <c r="AH39" s="77"/>
      <c r="AI39" s="77" t="s">
        <v>26</v>
      </c>
    </row>
    <row r="40" spans="1:35">
      <c r="A40" s="233"/>
      <c r="B40" s="246" t="s">
        <v>102</v>
      </c>
      <c r="C40" s="246"/>
      <c r="D40" s="246"/>
      <c r="E40" s="246"/>
      <c r="F40" s="246"/>
      <c r="L40" s="229"/>
      <c r="M40" s="229"/>
      <c r="T40" s="507">
        <f>T39-'Audited Balance Sheet Input'!J39</f>
        <v>0</v>
      </c>
      <c r="U40" s="507">
        <f>U39-'Audited Balance Sheet Input'!K39</f>
        <v>0</v>
      </c>
      <c r="V40" s="507">
        <f>V39-'Audited Balance Sheet Input'!L39</f>
        <v>0</v>
      </c>
      <c r="W40" s="507">
        <f>W39-'Audited Balance Sheet Input'!M39</f>
        <v>0</v>
      </c>
      <c r="X40" s="507">
        <f>X39-'2005-2'!J25</f>
        <v>0</v>
      </c>
      <c r="Y40" s="507">
        <f>Y39-'2005-2'!K25</f>
        <v>0</v>
      </c>
      <c r="Z40" s="507">
        <f>Z39-'2005-2'!L25</f>
        <v>0</v>
      </c>
      <c r="AA40" s="507">
        <f>AA39-'2005-2'!M25</f>
        <v>0</v>
      </c>
      <c r="AB40" s="507">
        <f>AB39-'2005-2'!N25</f>
        <v>0</v>
      </c>
      <c r="AC40" s="507">
        <f>AC39-'2005-2'!O25</f>
        <v>0</v>
      </c>
      <c r="AD40" s="507">
        <f>AD39-'2005-2'!P25</f>
        <v>0</v>
      </c>
      <c r="AE40" s="507">
        <f>AE39-'2005-2'!Q25</f>
        <v>0</v>
      </c>
      <c r="AF40" s="507">
        <f>AF39-'2005-2'!R25</f>
        <v>0</v>
      </c>
      <c r="AG40" s="507">
        <f>AG39-'2005-2'!S25</f>
        <v>0</v>
      </c>
    </row>
    <row r="41" spans="1:35">
      <c r="A41" s="233"/>
      <c r="B41" s="233"/>
      <c r="C41" s="260" t="s">
        <v>421</v>
      </c>
      <c r="D41" s="261"/>
      <c r="E41" s="261"/>
      <c r="F41" s="261"/>
      <c r="H41" s="5"/>
      <c r="L41" s="229"/>
      <c r="M41" s="229"/>
      <c r="N41" s="27"/>
      <c r="O41" s="27"/>
      <c r="P41" s="27"/>
      <c r="Q41" s="27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</row>
    <row r="42" spans="1:35" outlineLevel="1">
      <c r="A42" s="233"/>
      <c r="B42" s="233"/>
      <c r="C42" s="248" t="s">
        <v>103</v>
      </c>
      <c r="D42" s="244"/>
      <c r="E42" s="244"/>
      <c r="F42" s="244"/>
      <c r="H42" s="5" t="s">
        <v>101</v>
      </c>
      <c r="J42" s="617" t="s">
        <v>104</v>
      </c>
      <c r="L42" s="229"/>
      <c r="M42" s="229"/>
      <c r="N42" s="242">
        <f>'1008'!J24</f>
        <v>1041304</v>
      </c>
      <c r="O42" s="242">
        <f>'1008'!N24</f>
        <v>1041304</v>
      </c>
      <c r="P42" s="242">
        <f>'1008'!T24</f>
        <v>23700356</v>
      </c>
      <c r="Q42" s="242">
        <f>'1008'!Z24</f>
        <v>23700356</v>
      </c>
      <c r="R42" s="242">
        <f>'1008'!AF24</f>
        <v>23708314</v>
      </c>
      <c r="S42" s="188"/>
      <c r="T42" s="242">
        <f>IF(T$5="Actual",'Audited Balance Sheet Input'!J42,'1008'!AX24)</f>
        <v>23708949</v>
      </c>
      <c r="U42" s="242">
        <f>IF(U$5="Actual",'Audited Balance Sheet Input'!K42,'1008'!AY24)</f>
        <v>23708949</v>
      </c>
      <c r="V42" s="242">
        <f>IF(V$5="Actual",'Audited Balance Sheet Input'!L42,'1008'!BE24)</f>
        <v>23708949</v>
      </c>
      <c r="W42" s="242">
        <f>IF(W$5="Actual",'Audited Balance Sheet Input'!M42,'1008'!BF24)</f>
        <v>23708949</v>
      </c>
      <c r="X42" s="242">
        <f>IF(X$5="Actual",'Audited Balance Sheet Input'!N42,'1008'!BG24)</f>
        <v>23708949</v>
      </c>
      <c r="Y42" s="242">
        <f>IF(Y$5="Actual",'Audited Balance Sheet Input'!O42,'1008'!BH24)</f>
        <v>23708949</v>
      </c>
      <c r="Z42" s="242">
        <f>IF(Z$5="Actual",'Audited Balance Sheet Input'!P42,'1008'!BI24)</f>
        <v>23708949</v>
      </c>
      <c r="AA42" s="242">
        <f>IF(AA$5="Actual",'Audited Balance Sheet Input'!Q42,'1008'!BJ24)</f>
        <v>23708949</v>
      </c>
      <c r="AB42" s="242">
        <f>IF(AB$5="Actual",'Audited Balance Sheet Input'!R42,'1008'!BK24)</f>
        <v>23708949</v>
      </c>
      <c r="AC42" s="242">
        <f>IF(AC$5="Actual",'Audited Balance Sheet Input'!S42,'1008'!BL24)</f>
        <v>23708949</v>
      </c>
      <c r="AD42" s="242">
        <f>IF(AD$5="Actual",'Audited Balance Sheet Input'!T42,'1008'!BM24)</f>
        <v>23708949</v>
      </c>
      <c r="AE42" s="242">
        <f>IF(AE$5="Actual",'Audited Balance Sheet Input'!U42,'1008'!BN24)</f>
        <v>23708949</v>
      </c>
      <c r="AF42" s="242">
        <f>IF(AF$5="Actual",'Audited Balance Sheet Input'!V42,'1008'!BO24)</f>
        <v>23708949</v>
      </c>
      <c r="AG42" s="242">
        <f>IF(AG$5="Actual",'Audited Balance Sheet Input'!W42,'1008'!BP24)</f>
        <v>23708949</v>
      </c>
      <c r="AI42" s="77">
        <v>1008</v>
      </c>
    </row>
    <row r="43" spans="1:35" outlineLevel="1">
      <c r="A43" s="233"/>
      <c r="B43" s="233"/>
      <c r="C43" s="248" t="s">
        <v>105</v>
      </c>
      <c r="D43" s="244"/>
      <c r="E43" s="244"/>
      <c r="F43" s="244"/>
      <c r="H43" s="5" t="s">
        <v>101</v>
      </c>
      <c r="J43" s="617" t="s">
        <v>104</v>
      </c>
      <c r="L43" s="229"/>
      <c r="M43" s="229"/>
      <c r="N43" s="242">
        <f>'1008'!J25</f>
        <v>615672</v>
      </c>
      <c r="O43" s="242">
        <f>'1008'!N25</f>
        <v>620310</v>
      </c>
      <c r="P43" s="242">
        <f>'1008'!T25</f>
        <v>635221</v>
      </c>
      <c r="Q43" s="242">
        <f>'1008'!Z25</f>
        <v>6140781</v>
      </c>
      <c r="R43" s="242">
        <f>'1008'!AF25</f>
        <v>6140781</v>
      </c>
      <c r="S43" s="188"/>
      <c r="T43" s="242">
        <f>IF(T$5="Actual",'Audited Balance Sheet Input'!J43,'1008'!AX25)</f>
        <v>6140781</v>
      </c>
      <c r="U43" s="242">
        <f>IF(U$5="Actual",'Audited Balance Sheet Input'!K43,'1008'!AY25)</f>
        <v>6140781</v>
      </c>
      <c r="V43" s="242">
        <f>IF(V$5="Actual",'Audited Balance Sheet Input'!L43,'1008'!BE25)</f>
        <v>6187360</v>
      </c>
      <c r="W43" s="242">
        <f>IF(W$5="Actual",'Audited Balance Sheet Input'!M43,'1008'!BF25)</f>
        <v>6215252</v>
      </c>
      <c r="X43" s="242">
        <f>IF(X$5="Actual",'Audited Balance Sheet Input'!N43,'1008'!BG25)</f>
        <v>6215252</v>
      </c>
      <c r="Y43" s="242">
        <f>IF(Y$5="Actual",'Audited Balance Sheet Input'!O43,'1008'!BH25)</f>
        <v>6187360</v>
      </c>
      <c r="Z43" s="242">
        <f>IF(Z$5="Actual",'Audited Balance Sheet Input'!P43,'1008'!BI25)</f>
        <v>6187360</v>
      </c>
      <c r="AA43" s="242">
        <f>IF(AA$5="Actual",'Audited Balance Sheet Input'!Q43,'1008'!BJ25)</f>
        <v>6187360</v>
      </c>
      <c r="AB43" s="242">
        <f>IF(AB$5="Actual",'Audited Balance Sheet Input'!R43,'1008'!BK25)</f>
        <v>6187360</v>
      </c>
      <c r="AC43" s="242">
        <f>IF(AC$5="Actual",'Audited Balance Sheet Input'!S43,'1008'!BL25)</f>
        <v>6187360</v>
      </c>
      <c r="AD43" s="242">
        <f>IF(AD$5="Actual",'Audited Balance Sheet Input'!T43,'1008'!BM25)</f>
        <v>6187360</v>
      </c>
      <c r="AE43" s="242">
        <f>IF(AE$5="Actual",'Audited Balance Sheet Input'!U43,'1008'!BN25)</f>
        <v>6187360</v>
      </c>
      <c r="AF43" s="242">
        <f>IF(AF$5="Actual",'Audited Balance Sheet Input'!V43,'1008'!BO25)</f>
        <v>6187360</v>
      </c>
      <c r="AG43" s="242">
        <f>IF(AG$5="Actual",'Audited Balance Sheet Input'!W43,'1008'!BP25)</f>
        <v>6187360</v>
      </c>
      <c r="AI43" s="77">
        <v>1008</v>
      </c>
    </row>
    <row r="44" spans="1:35" outlineLevel="1">
      <c r="A44" s="233"/>
      <c r="B44" s="233"/>
      <c r="C44" s="248" t="s">
        <v>106</v>
      </c>
      <c r="D44" s="244"/>
      <c r="E44" s="244"/>
      <c r="F44" s="244"/>
      <c r="H44" s="5" t="s">
        <v>101</v>
      </c>
      <c r="J44" s="617" t="s">
        <v>104</v>
      </c>
      <c r="L44" s="229"/>
      <c r="M44" s="229"/>
      <c r="N44" s="242">
        <f>'1008'!J26</f>
        <v>4404530</v>
      </c>
      <c r="O44" s="242">
        <f>'1008'!N26</f>
        <v>4215680</v>
      </c>
      <c r="P44" s="242">
        <f>'1008'!T26</f>
        <v>4373876</v>
      </c>
      <c r="Q44" s="242">
        <f>'1008'!Z26</f>
        <v>5511117</v>
      </c>
      <c r="R44" s="242">
        <f>'1008'!AF26</f>
        <v>5622797</v>
      </c>
      <c r="S44" s="188"/>
      <c r="T44" s="242">
        <f>IF(T$5="Actual",'Audited Balance Sheet Input'!J44,'1008'!AX26)</f>
        <v>5709610</v>
      </c>
      <c r="U44" s="242">
        <f>IF(U$5="Actual",'Audited Balance Sheet Input'!K44,'1008'!AY26)</f>
        <v>5832744</v>
      </c>
      <c r="V44" s="242">
        <f>IF(V$5="Actual",'Audited Balance Sheet Input'!L44,'1008'!BE26)</f>
        <v>5975391</v>
      </c>
      <c r="W44" s="242">
        <f>IF(W$5="Actual",'Audited Balance Sheet Input'!M44,'1008'!BF26)</f>
        <v>6233495</v>
      </c>
      <c r="X44" s="242">
        <f>IF(X$5="Actual",'Audited Balance Sheet Input'!N44,'1008'!BG26)</f>
        <v>6233495</v>
      </c>
      <c r="Y44" s="242">
        <f>IF(Y$5="Actual",'Audited Balance Sheet Input'!O44,'1008'!BH26)</f>
        <v>5975391</v>
      </c>
      <c r="Z44" s="242">
        <f>IF(Z$5="Actual",'Audited Balance Sheet Input'!P44,'1008'!BI26)</f>
        <v>5975391</v>
      </c>
      <c r="AA44" s="242">
        <f>IF(AA$5="Actual",'Audited Balance Sheet Input'!Q44,'1008'!BJ26)</f>
        <v>5975391</v>
      </c>
      <c r="AB44" s="242">
        <f>IF(AB$5="Actual",'Audited Balance Sheet Input'!R44,'1008'!BK26)</f>
        <v>5975391</v>
      </c>
      <c r="AC44" s="242">
        <f>IF(AC$5="Actual",'Audited Balance Sheet Input'!S44,'1008'!BL26)</f>
        <v>5975391</v>
      </c>
      <c r="AD44" s="242">
        <f>IF(AD$5="Actual",'Audited Balance Sheet Input'!T44,'1008'!BM26)</f>
        <v>5975391</v>
      </c>
      <c r="AE44" s="242">
        <f>IF(AE$5="Actual",'Audited Balance Sheet Input'!U44,'1008'!BN26)</f>
        <v>5975391</v>
      </c>
      <c r="AF44" s="242">
        <f>IF(AF$5="Actual",'Audited Balance Sheet Input'!V44,'1008'!BO26)</f>
        <v>5975391</v>
      </c>
      <c r="AG44" s="242">
        <f>IF(AG$5="Actual",'Audited Balance Sheet Input'!W44,'1008'!BP26)</f>
        <v>5975391</v>
      </c>
      <c r="AI44" s="77">
        <v>1008</v>
      </c>
    </row>
    <row r="45" spans="1:35" outlineLevel="1">
      <c r="A45" s="233"/>
      <c r="B45" s="233"/>
      <c r="C45" s="248" t="s">
        <v>107</v>
      </c>
      <c r="D45" s="244"/>
      <c r="E45" s="244"/>
      <c r="F45" s="244"/>
      <c r="H45" s="5" t="s">
        <v>101</v>
      </c>
      <c r="J45" s="617" t="s">
        <v>104</v>
      </c>
      <c r="L45" s="229"/>
      <c r="M45" s="229"/>
      <c r="N45" s="242">
        <f>'1008'!J29</f>
        <v>-4789219</v>
      </c>
      <c r="O45" s="242">
        <f>'1008'!N29</f>
        <v>-4587708</v>
      </c>
      <c r="P45" s="242">
        <f>'1008'!T29</f>
        <v>-5585520</v>
      </c>
      <c r="Q45" s="242">
        <f>'1008'!Z29</f>
        <v>-7390371</v>
      </c>
      <c r="R45" s="242">
        <f>'1008'!AF29</f>
        <v>-9502632</v>
      </c>
      <c r="S45" s="188"/>
      <c r="T45" s="242">
        <f>IF(T$5="Actual",'Audited Balance Sheet Input'!J45,'1008'!AX29)</f>
        <v>-11581988</v>
      </c>
      <c r="U45" s="242">
        <f>IF(U$5="Actual",'Audited Balance Sheet Input'!K45,'1008'!AY29)</f>
        <v>-13650057</v>
      </c>
      <c r="V45" s="242">
        <f>IF(V$5="Actual",'Audited Balance Sheet Input'!L45,'1008'!BE29)</f>
        <v>-15863772</v>
      </c>
      <c r="W45" s="242">
        <f>IF(W$5="Actual",'Audited Balance Sheet Input'!M45,'1008'!BF29)</f>
        <v>-17839962</v>
      </c>
      <c r="X45" s="242">
        <f>IF(X$5="Actual",'Audited Balance Sheet Input'!N45,'1008'!BG29)</f>
        <v>-20291309.433333334</v>
      </c>
      <c r="Y45" s="242">
        <f>IF(Y$5="Actual",'Audited Balance Sheet Input'!O45,'1008'!BH29)</f>
        <v>-22689176.600000001</v>
      </c>
      <c r="Z45" s="242">
        <f>IF(Z$5="Actual",'Audited Balance Sheet Input'!P45,'1008'!BI29)</f>
        <v>-25087043.766666669</v>
      </c>
      <c r="AA45" s="242">
        <f>IF(AA$5="Actual",'Audited Balance Sheet Input'!Q45,'1008'!BJ29)</f>
        <v>-27484910.933333337</v>
      </c>
      <c r="AB45" s="242">
        <f>IF(AB$5="Actual",'Audited Balance Sheet Input'!R45,'1008'!BK29)</f>
        <v>-29882778.100000005</v>
      </c>
      <c r="AC45" s="242">
        <f>IF(AC$5="Actual",'Audited Balance Sheet Input'!S45,'1008'!BL29)</f>
        <v>-32280645.266666673</v>
      </c>
      <c r="AD45" s="242">
        <f>IF(AD$5="Actual",'Audited Balance Sheet Input'!T45,'1008'!BM29)</f>
        <v>-34678512.433333337</v>
      </c>
      <c r="AE45" s="242">
        <f>IF(AE$5="Actual",'Audited Balance Sheet Input'!U45,'1008'!BN29)</f>
        <v>-35871700</v>
      </c>
      <c r="AF45" s="242">
        <f>IF(AF$5="Actual",'Audited Balance Sheet Input'!V45,'1008'!BO29)</f>
        <v>-35871700</v>
      </c>
      <c r="AG45" s="242">
        <f>IF(AG$5="Actual",'Audited Balance Sheet Input'!W45,'1008'!BP29)</f>
        <v>-35871700</v>
      </c>
      <c r="AI45" s="77">
        <v>1008</v>
      </c>
    </row>
    <row r="46" spans="1:35" s="57" customFormat="1">
      <c r="A46" s="232"/>
      <c r="B46" s="232"/>
      <c r="C46" s="232"/>
      <c r="D46" s="262"/>
      <c r="E46" s="262"/>
      <c r="F46" s="250" t="s">
        <v>108</v>
      </c>
      <c r="G46" s="306"/>
      <c r="H46" s="306"/>
      <c r="I46" s="306"/>
      <c r="J46" s="618"/>
      <c r="K46" s="78"/>
      <c r="L46" s="315"/>
      <c r="M46" s="231"/>
      <c r="N46" s="61">
        <f t="shared" ref="N46:AC46" si="6">SUM(N42:N45)</f>
        <v>1272287</v>
      </c>
      <c r="O46" s="61">
        <f t="shared" si="6"/>
        <v>1289586</v>
      </c>
      <c r="P46" s="61">
        <f>SUM(P42:P45)</f>
        <v>23123933</v>
      </c>
      <c r="Q46" s="61">
        <f t="shared" si="6"/>
        <v>27961883</v>
      </c>
      <c r="R46" s="61">
        <f t="shared" si="6"/>
        <v>25969260</v>
      </c>
      <c r="S46" s="177"/>
      <c r="T46" s="61">
        <f t="shared" ref="T46" si="7">SUM(T42:T45)</f>
        <v>23977352</v>
      </c>
      <c r="U46" s="61">
        <f>SUM(U42:U45)</f>
        <v>22032417</v>
      </c>
      <c r="V46" s="61">
        <f t="shared" si="6"/>
        <v>20007928</v>
      </c>
      <c r="W46" s="61">
        <f>SUM(W42:W45)</f>
        <v>18317734</v>
      </c>
      <c r="X46" s="61">
        <f t="shared" si="6"/>
        <v>15866386.566666666</v>
      </c>
      <c r="Y46" s="61">
        <f t="shared" si="6"/>
        <v>13182523.399999999</v>
      </c>
      <c r="Z46" s="61">
        <f t="shared" si="6"/>
        <v>10784656.233333331</v>
      </c>
      <c r="AA46" s="61">
        <f t="shared" si="6"/>
        <v>8386789.0666666627</v>
      </c>
      <c r="AB46" s="61">
        <f t="shared" si="6"/>
        <v>5988921.8999999948</v>
      </c>
      <c r="AC46" s="61">
        <f t="shared" si="6"/>
        <v>3591054.7333333269</v>
      </c>
      <c r="AD46" s="61">
        <f>SUM(AD42:AD45)</f>
        <v>1193187.5666666627</v>
      </c>
      <c r="AE46" s="61">
        <f>SUM(AE42:AE45)</f>
        <v>0</v>
      </c>
      <c r="AF46" s="61">
        <f t="shared" ref="AF46:AG46" si="8">SUM(AF42:AF45)</f>
        <v>0</v>
      </c>
      <c r="AG46" s="61">
        <f t="shared" si="8"/>
        <v>0</v>
      </c>
      <c r="AH46" s="77"/>
      <c r="AI46" s="77"/>
    </row>
    <row r="47" spans="1:35">
      <c r="A47" s="233"/>
      <c r="B47" s="233"/>
      <c r="C47" s="263" t="s">
        <v>109</v>
      </c>
      <c r="D47" s="262"/>
      <c r="E47" s="262"/>
      <c r="F47" s="263"/>
      <c r="H47" s="5"/>
      <c r="L47" s="229"/>
      <c r="M47" s="229"/>
      <c r="N47" s="27"/>
      <c r="O47" s="27"/>
      <c r="P47" s="27"/>
      <c r="Q47" s="27"/>
      <c r="R47" s="27"/>
      <c r="S47" s="188"/>
      <c r="T47" s="27"/>
      <c r="U47" s="27"/>
      <c r="V47" s="506">
        <f>V46-'1008'!AX30</f>
        <v>0</v>
      </c>
      <c r="W47" s="506">
        <f>W46-'1008'!BD30</f>
        <v>0</v>
      </c>
      <c r="X47" s="506">
        <f>X46-'1008'!BG30</f>
        <v>0</v>
      </c>
      <c r="Y47" s="506">
        <f>Y46-'1008'!BH30</f>
        <v>0</v>
      </c>
      <c r="Z47" s="506">
        <f>Z46-'1008'!BI30</f>
        <v>0</v>
      </c>
      <c r="AA47" s="506">
        <f>AA46-'1008'!BJ30</f>
        <v>0</v>
      </c>
      <c r="AB47" s="506">
        <f>AB46-'1008'!BK30</f>
        <v>0</v>
      </c>
      <c r="AC47" s="506">
        <f>AC46-'1008'!BL30</f>
        <v>0</v>
      </c>
      <c r="AD47" s="506">
        <f>AD46-'1008'!BM30</f>
        <v>0</v>
      </c>
      <c r="AE47" s="506">
        <f>AE46-'1008'!BN30</f>
        <v>0</v>
      </c>
      <c r="AF47" s="506">
        <f>AF46-'1008'!BO30</f>
        <v>0</v>
      </c>
      <c r="AG47" s="506">
        <f>AG46-'1008'!BP30</f>
        <v>0</v>
      </c>
    </row>
    <row r="48" spans="1:35" outlineLevel="1">
      <c r="A48" s="233"/>
      <c r="B48" s="233"/>
      <c r="C48" s="245"/>
      <c r="D48" s="248" t="s">
        <v>460</v>
      </c>
      <c r="E48" s="262"/>
      <c r="F48" s="262"/>
      <c r="H48" s="5" t="s">
        <v>101</v>
      </c>
      <c r="J48" s="617" t="s">
        <v>104</v>
      </c>
      <c r="L48" s="229"/>
      <c r="M48" s="229"/>
      <c r="N48" s="242">
        <f>'1008'!J8</f>
        <v>0</v>
      </c>
      <c r="O48" s="242">
        <f>'1008'!K8</f>
        <v>0</v>
      </c>
      <c r="P48" s="242">
        <f>'1008'!T8</f>
        <v>200000000</v>
      </c>
      <c r="Q48" s="242">
        <f>'1008'!Z8</f>
        <v>200000000</v>
      </c>
      <c r="R48" s="242">
        <f>'1008'!AF8</f>
        <v>200000000</v>
      </c>
      <c r="S48" s="188"/>
      <c r="T48" s="242">
        <f>IF(T$5="Actual",'Audited Balance Sheet Input'!J48,'1008'!#REF!)</f>
        <v>200000000</v>
      </c>
      <c r="U48" s="242">
        <f>IF(U$5="Actual",'Audited Balance Sheet Input'!K48,'1008'!#REF!)</f>
        <v>200000000</v>
      </c>
      <c r="V48" s="242">
        <f>IF(V$5="Actual",'Audited Balance Sheet Input'!L48,'1008'!#REF!)</f>
        <v>200000000</v>
      </c>
      <c r="W48" s="242">
        <f>IF(W$5="Actual",'Audited Balance Sheet Input'!M48,'1008'!#REF!)</f>
        <v>200000000</v>
      </c>
      <c r="X48" s="242">
        <f>IF(X$5="Actual",'Audited Balance Sheet Input'!N48,'1008'!BG8)</f>
        <v>200000000</v>
      </c>
      <c r="Y48" s="242">
        <f>IF(Y$5="Actual",'Audited Balance Sheet Input'!O48,'1008'!BH8)</f>
        <v>200000000</v>
      </c>
      <c r="Z48" s="242">
        <f>IF(Z$5="Actual",'Audited Balance Sheet Input'!P48,'1008'!BI8)</f>
        <v>200000000</v>
      </c>
      <c r="AA48" s="242">
        <f>IF(AA$5="Actual",'Audited Balance Sheet Input'!Q48,'1008'!BJ8)</f>
        <v>200000000</v>
      </c>
      <c r="AB48" s="242">
        <f>IF(AB$5="Actual",'Audited Balance Sheet Input'!R48,'1008'!BK8)</f>
        <v>200000000</v>
      </c>
      <c r="AC48" s="242">
        <f>IF(AC$5="Actual",'Audited Balance Sheet Input'!S48,'1008'!BL8)</f>
        <v>200000000</v>
      </c>
      <c r="AD48" s="242">
        <f>IF(AD$5="Actual",'Audited Balance Sheet Input'!T48,'1008'!BM8)</f>
        <v>200000000</v>
      </c>
      <c r="AE48" s="242">
        <f>IF(AE$5="Actual",'Audited Balance Sheet Input'!U48,'1008'!BN8)</f>
        <v>200000000</v>
      </c>
      <c r="AF48" s="242">
        <f>IF(AF$5="Actual",'Audited Balance Sheet Input'!V48,'1008'!BO8)</f>
        <v>200000000</v>
      </c>
      <c r="AG48" s="242">
        <f>IF(AG$5="Actual",'Audited Balance Sheet Input'!W48,'1008'!BP8)</f>
        <v>200000000</v>
      </c>
      <c r="AI48" s="77">
        <v>1008</v>
      </c>
    </row>
    <row r="49" spans="1:35">
      <c r="A49" s="233"/>
      <c r="B49" s="233"/>
      <c r="C49" s="245"/>
      <c r="D49" s="248" t="s">
        <v>462</v>
      </c>
      <c r="E49" s="262"/>
      <c r="F49" s="262"/>
      <c r="H49" s="5"/>
      <c r="L49" s="229"/>
      <c r="M49" s="229"/>
      <c r="N49" s="27"/>
      <c r="O49" s="27"/>
      <c r="P49" s="27"/>
      <c r="Q49" s="27"/>
      <c r="R49" s="27"/>
      <c r="S49" s="188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</row>
    <row r="50" spans="1:35" hidden="1" outlineLevel="2">
      <c r="A50" s="233"/>
      <c r="B50" s="233"/>
      <c r="C50" s="258"/>
      <c r="D50" s="264"/>
      <c r="E50" s="593"/>
      <c r="F50" s="259"/>
      <c r="H50" s="5"/>
      <c r="L50" s="229"/>
      <c r="M50" s="229"/>
      <c r="N50" s="59"/>
      <c r="O50" s="59"/>
      <c r="P50" s="59"/>
      <c r="Q50" s="59"/>
      <c r="R50" s="59"/>
      <c r="S50" s="188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</row>
    <row r="51" spans="1:35" hidden="1" outlineLevel="2">
      <c r="A51" s="233"/>
      <c r="B51" s="233"/>
      <c r="C51" s="258"/>
      <c r="D51" s="264"/>
      <c r="E51" s="593"/>
      <c r="F51" s="259"/>
      <c r="H51" s="5"/>
      <c r="L51" s="229"/>
      <c r="M51" s="229"/>
      <c r="N51" s="59"/>
      <c r="O51" s="59"/>
      <c r="P51" s="59"/>
      <c r="Q51" s="59"/>
      <c r="R51" s="59"/>
      <c r="S51" s="188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</row>
    <row r="52" spans="1:35" hidden="1" outlineLevel="2">
      <c r="A52" s="233"/>
      <c r="B52" s="233"/>
      <c r="C52" s="258"/>
      <c r="D52" s="264"/>
      <c r="E52" s="593"/>
      <c r="F52" s="259"/>
      <c r="H52" s="5"/>
      <c r="L52" s="229"/>
      <c r="M52" s="229"/>
      <c r="N52" s="59"/>
      <c r="O52" s="59"/>
      <c r="P52" s="59"/>
      <c r="Q52" s="59"/>
      <c r="R52" s="59"/>
      <c r="S52" s="188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</row>
    <row r="53" spans="1:35" hidden="1" outlineLevel="2">
      <c r="A53" s="233"/>
      <c r="B53" s="233"/>
      <c r="C53" s="258"/>
      <c r="D53" s="264"/>
      <c r="E53" s="593"/>
      <c r="F53" s="259"/>
      <c r="H53" s="5"/>
      <c r="L53" s="229"/>
      <c r="M53" s="229"/>
      <c r="N53" s="59"/>
      <c r="O53" s="59"/>
      <c r="P53" s="59"/>
      <c r="Q53" s="59"/>
      <c r="R53" s="59"/>
      <c r="S53" s="188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</row>
    <row r="54" spans="1:35" hidden="1" outlineLevel="2">
      <c r="A54" s="233"/>
      <c r="B54" s="233"/>
      <c r="C54" s="258"/>
      <c r="D54" s="264"/>
      <c r="E54" s="593"/>
      <c r="F54" s="259"/>
      <c r="H54" s="5"/>
      <c r="L54" s="229"/>
      <c r="M54" s="229"/>
      <c r="N54" s="59"/>
      <c r="O54" s="59"/>
      <c r="P54" s="59"/>
      <c r="Q54" s="59"/>
      <c r="R54" s="59"/>
      <c r="S54" s="188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</row>
    <row r="55" spans="1:35" hidden="1" outlineLevel="2">
      <c r="A55" s="233"/>
      <c r="B55" s="233"/>
      <c r="C55" s="258"/>
      <c r="D55" s="264"/>
      <c r="E55" s="593"/>
      <c r="F55" s="259"/>
      <c r="H55" s="5"/>
      <c r="L55" s="229"/>
      <c r="M55" s="229"/>
      <c r="N55" s="59"/>
      <c r="O55" s="59"/>
      <c r="P55" s="59"/>
      <c r="Q55" s="59"/>
      <c r="R55" s="59"/>
      <c r="S55" s="188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</row>
    <row r="56" spans="1:35" hidden="1" outlineLevel="2">
      <c r="A56" s="233"/>
      <c r="B56" s="233"/>
      <c r="C56" s="258"/>
      <c r="D56" s="264"/>
      <c r="E56" s="593"/>
      <c r="F56" s="259"/>
      <c r="H56" s="5"/>
      <c r="L56" s="229"/>
      <c r="M56" s="229"/>
      <c r="N56" s="59"/>
      <c r="O56" s="59"/>
      <c r="P56" s="59"/>
      <c r="Q56" s="59"/>
      <c r="R56" s="59"/>
      <c r="S56" s="188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</row>
    <row r="57" spans="1:35" hidden="1" outlineLevel="2">
      <c r="A57" s="233"/>
      <c r="B57" s="233"/>
      <c r="C57" s="258"/>
      <c r="D57" s="264"/>
      <c r="E57" s="593"/>
      <c r="F57" s="259"/>
      <c r="H57" s="5"/>
      <c r="L57" s="229"/>
      <c r="M57" s="229"/>
      <c r="N57" s="59"/>
      <c r="O57" s="59"/>
      <c r="P57" s="59"/>
      <c r="Q57" s="59"/>
      <c r="R57" s="59"/>
      <c r="S57" s="188"/>
      <c r="T57" s="335"/>
      <c r="U57" s="335"/>
      <c r="V57" s="335"/>
      <c r="W57" s="335"/>
      <c r="X57" s="335"/>
      <c r="Y57" s="335"/>
      <c r="Z57" s="335"/>
      <c r="AA57" s="335"/>
      <c r="AB57" s="335"/>
      <c r="AC57" s="335"/>
      <c r="AD57" s="335"/>
      <c r="AE57" s="335"/>
      <c r="AF57" s="335"/>
      <c r="AG57" s="335"/>
    </row>
    <row r="58" spans="1:35" outlineLevel="1" collapsed="1">
      <c r="A58" s="233"/>
      <c r="B58" s="233"/>
      <c r="C58" s="245"/>
      <c r="D58" s="245" t="s">
        <v>463</v>
      </c>
      <c r="E58" s="262"/>
      <c r="F58" s="262"/>
      <c r="H58" s="5" t="s">
        <v>101</v>
      </c>
      <c r="J58" s="617" t="s">
        <v>104</v>
      </c>
      <c r="L58" s="229"/>
      <c r="M58" s="229"/>
      <c r="N58" s="239">
        <f>'1008'!J18</f>
        <v>11354633</v>
      </c>
      <c r="O58" s="239">
        <f>'1008'!N18</f>
        <v>11354633</v>
      </c>
      <c r="P58" s="239">
        <f>'1008'!T18</f>
        <v>13961981</v>
      </c>
      <c r="Q58" s="239">
        <f>'1008'!Z18</f>
        <v>13961981</v>
      </c>
      <c r="R58" s="239">
        <f>'1008'!AF18</f>
        <v>13961981</v>
      </c>
      <c r="S58" s="188"/>
      <c r="T58" s="242">
        <f>IF(T$5="Actual",'Audited Balance Sheet Input'!J58,'1008'!AX18)</f>
        <v>13961981</v>
      </c>
      <c r="U58" s="242">
        <f>IF(U$5="Actual",'Audited Balance Sheet Input'!K58,'1008'!AY18)</f>
        <v>13961981</v>
      </c>
      <c r="V58" s="242">
        <f>IF(V$5="Actual",'Audited Balance Sheet Input'!L58,'1008'!BE18)</f>
        <v>13961981</v>
      </c>
      <c r="W58" s="242">
        <f>IF(W$5="Actual",'Audited Balance Sheet Input'!M58,'1008'!#REF!)</f>
        <v>13961981</v>
      </c>
      <c r="X58" s="242">
        <f>IF(X$5="Actual",'Audited Balance Sheet Input'!N58,'1008'!BG18)</f>
        <v>13961981</v>
      </c>
      <c r="Y58" s="242">
        <f>IF(Y$5="Actual",'Audited Balance Sheet Input'!O58,'1008'!BH18)</f>
        <v>13961981</v>
      </c>
      <c r="Z58" s="242">
        <f>IF(Z$5="Actual",'Audited Balance Sheet Input'!P58,'1008'!BI18)</f>
        <v>13961981</v>
      </c>
      <c r="AA58" s="242">
        <f>IF(AA$5="Actual",'Audited Balance Sheet Input'!Q58,'1008'!BJ18)</f>
        <v>13961981</v>
      </c>
      <c r="AB58" s="242">
        <f>IF(AB$5="Actual",'Audited Balance Sheet Input'!R58,'1008'!BK18)</f>
        <v>13961981</v>
      </c>
      <c r="AC58" s="242">
        <f>IF(AC$5="Actual",'Audited Balance Sheet Input'!S58,'1008'!BL18)</f>
        <v>13961981</v>
      </c>
      <c r="AD58" s="242">
        <f>IF(AD$5="Actual",'Audited Balance Sheet Input'!T58,'1008'!BM18)</f>
        <v>13961981</v>
      </c>
      <c r="AE58" s="242">
        <f>IF(AE$5="Actual",'Audited Balance Sheet Input'!U58,'1008'!BN18)</f>
        <v>13961981</v>
      </c>
      <c r="AF58" s="242">
        <f>IF(AF$5="Actual",'Audited Balance Sheet Input'!V58,'1008'!BO18)</f>
        <v>13961981</v>
      </c>
      <c r="AG58" s="242">
        <f>IF(AG$5="Actual",'Audited Balance Sheet Input'!W58,'1008'!BP18)</f>
        <v>13961981</v>
      </c>
      <c r="AI58" s="77">
        <v>1008</v>
      </c>
    </row>
    <row r="59" spans="1:35" s="57" customFormat="1">
      <c r="A59" s="232"/>
      <c r="B59" s="232"/>
      <c r="C59" s="245" t="s">
        <v>110</v>
      </c>
      <c r="D59" s="246"/>
      <c r="E59" s="246"/>
      <c r="F59" s="246"/>
      <c r="G59" s="56"/>
      <c r="H59" s="56"/>
      <c r="I59" s="56"/>
      <c r="J59" s="451"/>
      <c r="K59" s="95"/>
      <c r="L59" s="231"/>
      <c r="M59" s="231"/>
      <c r="N59" s="63">
        <f>+N48+N58</f>
        <v>11354633</v>
      </c>
      <c r="O59" s="63">
        <f>+O48+O58</f>
        <v>11354633</v>
      </c>
      <c r="P59" s="63">
        <f>+P48+P58</f>
        <v>213961981</v>
      </c>
      <c r="Q59" s="63">
        <f>+Q48+Q58</f>
        <v>213961981</v>
      </c>
      <c r="R59" s="63">
        <f>+R48+R58</f>
        <v>213961981</v>
      </c>
      <c r="S59" s="177"/>
      <c r="T59" s="371">
        <f t="shared" ref="T59:AE59" si="9">+T48+T58</f>
        <v>213961981</v>
      </c>
      <c r="U59" s="371">
        <f t="shared" si="9"/>
        <v>213961981</v>
      </c>
      <c r="V59" s="371">
        <f t="shared" si="9"/>
        <v>213961981</v>
      </c>
      <c r="W59" s="371">
        <f t="shared" si="9"/>
        <v>213961981</v>
      </c>
      <c r="X59" s="371">
        <f t="shared" si="9"/>
        <v>213961981</v>
      </c>
      <c r="Y59" s="371">
        <f t="shared" si="9"/>
        <v>213961981</v>
      </c>
      <c r="Z59" s="371">
        <f t="shared" si="9"/>
        <v>213961981</v>
      </c>
      <c r="AA59" s="371">
        <f t="shared" si="9"/>
        <v>213961981</v>
      </c>
      <c r="AB59" s="371">
        <f t="shared" si="9"/>
        <v>213961981</v>
      </c>
      <c r="AC59" s="371">
        <f t="shared" si="9"/>
        <v>213961981</v>
      </c>
      <c r="AD59" s="371">
        <f t="shared" si="9"/>
        <v>213961981</v>
      </c>
      <c r="AE59" s="371">
        <f t="shared" si="9"/>
        <v>213961981</v>
      </c>
      <c r="AF59" s="371">
        <f t="shared" ref="AF59:AG59" si="10">+AF48+AF58</f>
        <v>213961981</v>
      </c>
      <c r="AG59" s="371">
        <f t="shared" si="10"/>
        <v>213961981</v>
      </c>
      <c r="AH59" s="77"/>
      <c r="AI59" s="77"/>
    </row>
    <row r="60" spans="1:35" outlineLevel="1">
      <c r="A60" s="233"/>
      <c r="B60" s="233"/>
      <c r="C60" s="248" t="s">
        <v>111</v>
      </c>
      <c r="D60" s="233"/>
      <c r="E60" s="262"/>
      <c r="F60" s="262"/>
      <c r="H60" s="5" t="s">
        <v>101</v>
      </c>
      <c r="J60" s="617" t="s">
        <v>104</v>
      </c>
      <c r="L60" s="229"/>
      <c r="M60" s="229"/>
      <c r="N60" s="242">
        <f>'1008'!J20</f>
        <v>0</v>
      </c>
      <c r="O60" s="242">
        <f>'1008'!N20</f>
        <v>0</v>
      </c>
      <c r="P60" s="242">
        <f>'1008'!T20</f>
        <v>316860</v>
      </c>
      <c r="Q60" s="242">
        <f>'1008'!Z20</f>
        <v>0</v>
      </c>
      <c r="R60" s="242">
        <f>'1008'!AF20</f>
        <v>0</v>
      </c>
      <c r="S60" s="188"/>
      <c r="T60" s="242">
        <f>IF(T$5="Actual",'Audited Balance Sheet Input'!J60,'1008'!#REF!)</f>
        <v>0</v>
      </c>
      <c r="U60" s="242">
        <f>IF(U$5="Actual",'Audited Balance Sheet Input'!K60,'1008'!#REF!)</f>
        <v>0</v>
      </c>
      <c r="V60" s="242">
        <f>IF(V$5="Actual",'Audited Balance Sheet Input'!L60,'1008'!#REF!)</f>
        <v>0</v>
      </c>
      <c r="W60" s="242">
        <f>IF(W$5="Actual",'Audited Balance Sheet Input'!M60,'1008'!#REF!)</f>
        <v>21041</v>
      </c>
      <c r="X60" s="242">
        <f>IF(X$5="Actual",'Audited Balance Sheet Input'!N60,'1008'!BG20)</f>
        <v>0</v>
      </c>
      <c r="Y60" s="242">
        <f>IF(Y$5="Actual",'Audited Balance Sheet Input'!O60,'1008'!BH20)</f>
        <v>0</v>
      </c>
      <c r="Z60" s="242">
        <f>IF(Z$5="Actual",'Audited Balance Sheet Input'!P60,'1008'!BI20)</f>
        <v>0</v>
      </c>
      <c r="AA60" s="242">
        <f>IF(AA$5="Actual",'Audited Balance Sheet Input'!Q60,'1008'!BJ20)</f>
        <v>0</v>
      </c>
      <c r="AB60" s="242">
        <f>IF(AB$5="Actual",'Audited Balance Sheet Input'!R60,'1008'!BK20)</f>
        <v>0</v>
      </c>
      <c r="AC60" s="242">
        <f>IF(AC$5="Actual",'Audited Balance Sheet Input'!S60,'1008'!BL20)</f>
        <v>0</v>
      </c>
      <c r="AD60" s="242">
        <f>IF(AD$5="Actual",'Audited Balance Sheet Input'!T60,'1008'!BM20)</f>
        <v>0</v>
      </c>
      <c r="AE60" s="242">
        <f>IF(AE$5="Actual",'Audited Balance Sheet Input'!U60,'1008'!BN20)</f>
        <v>0</v>
      </c>
      <c r="AF60" s="242">
        <f>IF(AF$5="Actual",'Audited Balance Sheet Input'!V60,'1008'!BO20)</f>
        <v>0</v>
      </c>
      <c r="AG60" s="242">
        <f>IF(AG$5="Actual",'Audited Balance Sheet Input'!W60,'1008'!BP20)</f>
        <v>0</v>
      </c>
      <c r="AI60" s="77">
        <v>1008</v>
      </c>
    </row>
    <row r="61" spans="1:35" s="57" customFormat="1">
      <c r="A61" s="232"/>
      <c r="B61" s="232"/>
      <c r="C61" s="232"/>
      <c r="D61" s="262"/>
      <c r="E61" s="262"/>
      <c r="F61" s="250" t="s">
        <v>419</v>
      </c>
      <c r="G61" s="306"/>
      <c r="H61" s="306"/>
      <c r="I61" s="306"/>
      <c r="J61" s="618"/>
      <c r="K61" s="78"/>
      <c r="L61" s="315"/>
      <c r="M61" s="231"/>
      <c r="N61" s="176">
        <f>+N46+N59+N60</f>
        <v>12626920</v>
      </c>
      <c r="O61" s="176">
        <f>+O46+O59+O60</f>
        <v>12644219</v>
      </c>
      <c r="P61" s="176">
        <f>+P46+P59+P60</f>
        <v>237402774</v>
      </c>
      <c r="Q61" s="176">
        <f>+Q46+Q59+Q60</f>
        <v>241923864</v>
      </c>
      <c r="R61" s="176">
        <f>+R46+R59+R60</f>
        <v>239931241</v>
      </c>
      <c r="S61" s="177"/>
      <c r="T61" s="176">
        <f>+T46+T59+T60</f>
        <v>237939333</v>
      </c>
      <c r="U61" s="176">
        <f>+U46+U59+U60</f>
        <v>235994398</v>
      </c>
      <c r="V61" s="176">
        <f t="shared" ref="V61:AE61" si="11">+V46+V59+V60</f>
        <v>233969909</v>
      </c>
      <c r="W61" s="176">
        <f>+W46+W59+W60</f>
        <v>232300756</v>
      </c>
      <c r="X61" s="176">
        <f t="shared" si="11"/>
        <v>229828367.56666666</v>
      </c>
      <c r="Y61" s="176">
        <f t="shared" si="11"/>
        <v>227144504.40000001</v>
      </c>
      <c r="Z61" s="176">
        <f t="shared" si="11"/>
        <v>224746637.23333332</v>
      </c>
      <c r="AA61" s="176">
        <f t="shared" si="11"/>
        <v>222348770.06666666</v>
      </c>
      <c r="AB61" s="176">
        <f t="shared" si="11"/>
        <v>219950902.90000001</v>
      </c>
      <c r="AC61" s="176">
        <f t="shared" si="11"/>
        <v>217553035.73333332</v>
      </c>
      <c r="AD61" s="176">
        <f t="shared" si="11"/>
        <v>215155168.56666666</v>
      </c>
      <c r="AE61" s="176">
        <f t="shared" si="11"/>
        <v>213961981</v>
      </c>
      <c r="AF61" s="176">
        <f t="shared" ref="AF61:AG61" si="12">+AF46+AF59+AF60</f>
        <v>213961981</v>
      </c>
      <c r="AG61" s="176">
        <f t="shared" si="12"/>
        <v>213961981</v>
      </c>
      <c r="AH61" s="77"/>
      <c r="AI61" s="77"/>
    </row>
    <row r="62" spans="1:35">
      <c r="A62" s="233"/>
      <c r="B62" s="233"/>
      <c r="C62" s="260" t="s">
        <v>517</v>
      </c>
      <c r="D62" s="261"/>
      <c r="E62" s="261"/>
      <c r="F62" s="261"/>
      <c r="H62" s="5"/>
      <c r="L62" s="229"/>
      <c r="M62" s="229"/>
      <c r="N62" s="27"/>
      <c r="O62" s="27"/>
      <c r="P62" s="27"/>
      <c r="Q62" s="27"/>
      <c r="R62" s="27"/>
      <c r="S62" s="188"/>
      <c r="T62" s="27"/>
      <c r="U62" s="27"/>
      <c r="V62" s="506"/>
      <c r="W62" s="506"/>
      <c r="X62" s="506"/>
      <c r="Y62" s="506"/>
      <c r="Z62" s="506"/>
      <c r="AA62" s="506"/>
      <c r="AB62" s="506"/>
      <c r="AC62" s="506"/>
      <c r="AD62" s="506"/>
      <c r="AE62" s="506"/>
      <c r="AF62" s="506"/>
      <c r="AG62" s="506"/>
    </row>
    <row r="63" spans="1:35">
      <c r="A63" s="233"/>
      <c r="B63" s="233"/>
      <c r="C63" s="260"/>
      <c r="D63" s="261"/>
      <c r="E63" s="261"/>
      <c r="F63" s="261"/>
      <c r="L63" s="229"/>
      <c r="M63" s="229"/>
      <c r="N63" s="27"/>
      <c r="O63" s="27"/>
      <c r="P63" s="27"/>
      <c r="Q63" s="27"/>
      <c r="R63" s="27"/>
      <c r="S63" s="188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</row>
    <row r="64" spans="1:35" outlineLevel="1">
      <c r="A64" s="233"/>
      <c r="B64" s="233"/>
      <c r="C64" s="248" t="s">
        <v>103</v>
      </c>
      <c r="D64" s="244"/>
      <c r="E64" s="244"/>
      <c r="F64" s="244"/>
      <c r="H64" s="5" t="s">
        <v>101</v>
      </c>
      <c r="J64" s="617" t="s">
        <v>104</v>
      </c>
      <c r="L64" s="229"/>
      <c r="M64" s="229"/>
      <c r="N64" s="242">
        <f>'1008'!J45</f>
        <v>968388</v>
      </c>
      <c r="O64" s="242">
        <f>'1008'!N45</f>
        <v>968388</v>
      </c>
      <c r="P64" s="242">
        <f>'1008'!T45</f>
        <v>968388</v>
      </c>
      <c r="Q64" s="242">
        <f>'1008'!Z45</f>
        <v>968388</v>
      </c>
      <c r="R64" s="242">
        <f>'1008'!AF45</f>
        <v>968388</v>
      </c>
      <c r="S64" s="188"/>
      <c r="T64" s="242">
        <f>IF(T$5="Actual",'Audited Balance Sheet Input'!J64,'1008'!AX45)</f>
        <v>968388</v>
      </c>
      <c r="U64" s="242">
        <f>IF(U$5="Actual",'Audited Balance Sheet Input'!K64,'1008'!AY45)</f>
        <v>1196598</v>
      </c>
      <c r="V64" s="242">
        <f>IF(V$5="Actual",'Audited Balance Sheet Input'!L64,'1008'!BE45)</f>
        <v>3104262</v>
      </c>
      <c r="W64" s="242">
        <f>IF(W$5="Actual",'Audited Balance Sheet Input'!M64,'1008'!#REF!)</f>
        <v>3445360</v>
      </c>
      <c r="X64" s="242">
        <f>IF(X$5="Actual",'Audited Balance Sheet Input'!N64,'1008'!BG45)</f>
        <v>3445360</v>
      </c>
      <c r="Y64" s="242">
        <f>IF(Y$5="Actual",'Audited Balance Sheet Input'!O64,'1008'!BH45)</f>
        <v>3104262</v>
      </c>
      <c r="Z64" s="242">
        <f>IF(Z$5="Actual",'Audited Balance Sheet Input'!P64,'1008'!BI45)</f>
        <v>3104262</v>
      </c>
      <c r="AA64" s="242">
        <f>IF(AA$5="Actual",'Audited Balance Sheet Input'!Q64,'1008'!BJ45)</f>
        <v>3104262</v>
      </c>
      <c r="AB64" s="242">
        <f>IF(AB$5="Actual",'Audited Balance Sheet Input'!R64,'1008'!BK45)</f>
        <v>3104262</v>
      </c>
      <c r="AC64" s="242">
        <f>IF(AC$5="Actual",'Audited Balance Sheet Input'!S64,'1008'!BL45)</f>
        <v>3104262</v>
      </c>
      <c r="AD64" s="242">
        <f>IF(AD$5="Actual",'Audited Balance Sheet Input'!T64,'1008'!BM45)</f>
        <v>3104262</v>
      </c>
      <c r="AE64" s="242">
        <f>IF(AE$5="Actual",'Audited Balance Sheet Input'!U64,'1008'!BN45)</f>
        <v>3104262</v>
      </c>
      <c r="AF64" s="242">
        <f>IF(AF$5="Actual",'Audited Balance Sheet Input'!V64,'1008'!BO45)</f>
        <v>3104262</v>
      </c>
      <c r="AG64" s="242">
        <f>IF(AG$5="Actual",'Audited Balance Sheet Input'!W64,'1008'!BP45)</f>
        <v>3104262</v>
      </c>
      <c r="AI64" s="77">
        <v>1008</v>
      </c>
    </row>
    <row r="65" spans="1:35" outlineLevel="1">
      <c r="A65" s="233"/>
      <c r="B65" s="233"/>
      <c r="C65" s="248" t="s">
        <v>105</v>
      </c>
      <c r="D65" s="244"/>
      <c r="E65" s="244"/>
      <c r="F65" s="244"/>
      <c r="H65" s="5" t="s">
        <v>101</v>
      </c>
      <c r="J65" s="617" t="s">
        <v>104</v>
      </c>
      <c r="L65" s="229"/>
      <c r="M65" s="229"/>
      <c r="N65" s="242">
        <f>'1008'!J46</f>
        <v>332170</v>
      </c>
      <c r="O65" s="242">
        <f>'1008'!N46</f>
        <v>542065</v>
      </c>
      <c r="P65" s="242">
        <f>'1008'!T46</f>
        <v>902252</v>
      </c>
      <c r="Q65" s="242">
        <f>'1008'!Z46</f>
        <v>1468204</v>
      </c>
      <c r="R65" s="242">
        <f>'1008'!AF46</f>
        <v>1486654</v>
      </c>
      <c r="S65" s="188"/>
      <c r="T65" s="242">
        <f>IF(T$5="Actual",'Audited Balance Sheet Input'!J65,'1008'!AX46)</f>
        <v>1613512</v>
      </c>
      <c r="U65" s="242">
        <f>IF(U$5="Actual",'Audited Balance Sheet Input'!K65,'1008'!AY46)</f>
        <v>1651916</v>
      </c>
      <c r="V65" s="242">
        <f>IF(V$5="Actual",'Audited Balance Sheet Input'!L65,'1008'!BE46)</f>
        <v>0</v>
      </c>
      <c r="W65" s="242">
        <f>IF(W$5="Actual",'Audited Balance Sheet Input'!M65,'1008'!#REF!)</f>
        <v>0</v>
      </c>
      <c r="X65" s="242">
        <f>IF(X$5="Actual",'Audited Balance Sheet Input'!N65,'1008'!BG46)</f>
        <v>0</v>
      </c>
      <c r="Y65" s="242">
        <f>IF(Y$5="Actual",'Audited Balance Sheet Input'!O65,'1008'!BH46)</f>
        <v>0</v>
      </c>
      <c r="Z65" s="242">
        <f>IF(Z$5="Actual",'Audited Balance Sheet Input'!P65,'1008'!BI46)</f>
        <v>0</v>
      </c>
      <c r="AA65" s="242">
        <f>IF(AA$5="Actual",'Audited Balance Sheet Input'!Q65,'1008'!BJ46)</f>
        <v>0</v>
      </c>
      <c r="AB65" s="242">
        <f>IF(AB$5="Actual",'Audited Balance Sheet Input'!R65,'1008'!BK46)</f>
        <v>0</v>
      </c>
      <c r="AC65" s="242">
        <f>IF(AC$5="Actual",'Audited Balance Sheet Input'!S65,'1008'!BL46)</f>
        <v>0</v>
      </c>
      <c r="AD65" s="242">
        <f>IF(AD$5="Actual",'Audited Balance Sheet Input'!T65,'1008'!BM46)</f>
        <v>0</v>
      </c>
      <c r="AE65" s="242">
        <f>IF(AE$5="Actual",'Audited Balance Sheet Input'!U65,'1008'!BN46)</f>
        <v>0</v>
      </c>
      <c r="AF65" s="242">
        <f>IF(AF$5="Actual",'Audited Balance Sheet Input'!V65,'1008'!BO46)</f>
        <v>0</v>
      </c>
      <c r="AG65" s="242">
        <f>IF(AG$5="Actual",'Audited Balance Sheet Input'!W65,'1008'!BP46)</f>
        <v>0</v>
      </c>
      <c r="AI65" s="77">
        <v>1008</v>
      </c>
    </row>
    <row r="66" spans="1:35" outlineLevel="1">
      <c r="A66" s="233"/>
      <c r="B66" s="233"/>
      <c r="C66" s="248" t="s">
        <v>106</v>
      </c>
      <c r="D66" s="244"/>
      <c r="E66" s="244"/>
      <c r="F66" s="244"/>
      <c r="H66" s="5" t="s">
        <v>101</v>
      </c>
      <c r="J66" s="617" t="s">
        <v>104</v>
      </c>
      <c r="L66" s="229"/>
      <c r="M66" s="229"/>
      <c r="N66" s="242">
        <f>'1008'!J47</f>
        <v>400914</v>
      </c>
      <c r="O66" s="242">
        <f>'1008'!N47</f>
        <v>595459</v>
      </c>
      <c r="P66" s="242">
        <f>'1008'!T47</f>
        <v>624677</v>
      </c>
      <c r="Q66" s="242">
        <f>'1008'!Z47</f>
        <v>767721</v>
      </c>
      <c r="R66" s="242">
        <f>'1008'!AF47</f>
        <v>871928</v>
      </c>
      <c r="S66" s="188"/>
      <c r="T66" s="242">
        <f>IF(T$5="Actual",'Audited Balance Sheet Input'!J66,'1008'!AX47)</f>
        <v>958173</v>
      </c>
      <c r="U66" s="242">
        <f>IF(U$5="Actual",'Audited Balance Sheet Input'!K66,'1008'!AY47)</f>
        <v>993982</v>
      </c>
      <c r="V66" s="242">
        <f>IF(V$5="Actual",'Audited Balance Sheet Input'!L66,'1008'!BE47)</f>
        <v>926734</v>
      </c>
      <c r="W66" s="242">
        <f>IF(W$5="Actual",'Audited Balance Sheet Input'!M66,'1008'!#REF!)</f>
        <v>923806</v>
      </c>
      <c r="X66" s="242">
        <f>IF(X$5="Actual",'Audited Balance Sheet Input'!N66,'1008'!BG47)</f>
        <v>923806</v>
      </c>
      <c r="Y66" s="242">
        <f>IF(Y$5="Actual",'Audited Balance Sheet Input'!O66,'1008'!BH47)</f>
        <v>926734</v>
      </c>
      <c r="Z66" s="242">
        <f>IF(Z$5="Actual",'Audited Balance Sheet Input'!P66,'1008'!BI47)</f>
        <v>926734</v>
      </c>
      <c r="AA66" s="242">
        <f>IF(AA$5="Actual",'Audited Balance Sheet Input'!Q66,'1008'!BJ47)</f>
        <v>926734</v>
      </c>
      <c r="AB66" s="242">
        <f>IF(AB$5="Actual",'Audited Balance Sheet Input'!R66,'1008'!BK47)</f>
        <v>926734</v>
      </c>
      <c r="AC66" s="242">
        <f>IF(AC$5="Actual",'Audited Balance Sheet Input'!S66,'1008'!BL47)</f>
        <v>926734</v>
      </c>
      <c r="AD66" s="242">
        <f>IF(AD$5="Actual",'Audited Balance Sheet Input'!T66,'1008'!BM47)</f>
        <v>926734</v>
      </c>
      <c r="AE66" s="242">
        <f>IF(AE$5="Actual",'Audited Balance Sheet Input'!U66,'1008'!BN47)</f>
        <v>926734</v>
      </c>
      <c r="AF66" s="242">
        <f>IF(AF$5="Actual",'Audited Balance Sheet Input'!V66,'1008'!BO47)</f>
        <v>926734</v>
      </c>
      <c r="AG66" s="242">
        <f>IF(AG$5="Actual",'Audited Balance Sheet Input'!W66,'1008'!BP47)</f>
        <v>926734</v>
      </c>
      <c r="AI66" s="77">
        <v>1008</v>
      </c>
    </row>
    <row r="67" spans="1:35" outlineLevel="1">
      <c r="A67" s="233"/>
      <c r="B67" s="233"/>
      <c r="C67" s="268" t="s">
        <v>516</v>
      </c>
      <c r="D67" s="243"/>
      <c r="E67" s="243"/>
      <c r="F67" s="243"/>
      <c r="H67" s="5"/>
      <c r="J67" s="617" t="s">
        <v>104</v>
      </c>
      <c r="L67" s="229"/>
      <c r="M67" s="229"/>
      <c r="N67" s="242"/>
      <c r="O67" s="242"/>
      <c r="P67" s="242"/>
      <c r="Q67" s="242"/>
      <c r="R67" s="242"/>
      <c r="S67" s="188"/>
      <c r="T67" s="242">
        <f>IF(T$5="Actual",'Audited Balance Sheet Input'!J67,'1008'!AX48)</f>
        <v>0</v>
      </c>
      <c r="U67" s="242">
        <f>IF(U$5="Actual",'Audited Balance Sheet Input'!K67,'1008'!AY48)</f>
        <v>0</v>
      </c>
      <c r="V67" s="242">
        <f>IF(V$5="Actual",'Audited Balance Sheet Input'!L67,'1008'!BE48)</f>
        <v>244742</v>
      </c>
      <c r="W67" s="242">
        <f>IF(W$5="Actual",'Audited Balance Sheet Input'!M67,'1008'!#REF!)</f>
        <v>227402</v>
      </c>
      <c r="X67" s="242">
        <f>IF(X$5="Actual",'Audited Balance Sheet Input'!N67,'1008'!BG48)</f>
        <v>227402</v>
      </c>
      <c r="Y67" s="242">
        <f>IF(Y$5="Actual",'Audited Balance Sheet Input'!O67,'1008'!BH48)</f>
        <v>244742</v>
      </c>
      <c r="Z67" s="242">
        <f>IF(Z$5="Actual",'Audited Balance Sheet Input'!P67,'1008'!BI48)</f>
        <v>244742</v>
      </c>
      <c r="AA67" s="242">
        <f>IF(AA$5="Actual",'Audited Balance Sheet Input'!Q67,'1008'!BJ48)</f>
        <v>244742</v>
      </c>
      <c r="AB67" s="242">
        <f>IF(AB$5="Actual",'Audited Balance Sheet Input'!R67,'1008'!BK48)</f>
        <v>244742</v>
      </c>
      <c r="AC67" s="242">
        <f>IF(AC$5="Actual",'Audited Balance Sheet Input'!S67,'1008'!BL48)</f>
        <v>244742</v>
      </c>
      <c r="AD67" s="242">
        <f>IF(AD$5="Actual",'Audited Balance Sheet Input'!T67,'1008'!BM48)</f>
        <v>244742</v>
      </c>
      <c r="AE67" s="242">
        <f>IF(AE$5="Actual",'Audited Balance Sheet Input'!U67,'1008'!BN48)</f>
        <v>244742</v>
      </c>
      <c r="AF67" s="242">
        <f>IF(AF$5="Actual",'Audited Balance Sheet Input'!V67,'1008'!BO48)</f>
        <v>244742</v>
      </c>
      <c r="AG67" s="242">
        <f>IF(AG$5="Actual",'Audited Balance Sheet Input'!W67,'1008'!BP48)</f>
        <v>244742</v>
      </c>
      <c r="AI67" s="77">
        <v>1008</v>
      </c>
    </row>
    <row r="68" spans="1:35" outlineLevel="1">
      <c r="A68" s="233"/>
      <c r="B68" s="233"/>
      <c r="C68" s="248" t="s">
        <v>107</v>
      </c>
      <c r="D68" s="244"/>
      <c r="E68" s="244"/>
      <c r="F68" s="244"/>
      <c r="H68" s="5" t="s">
        <v>101</v>
      </c>
      <c r="J68" s="617" t="s">
        <v>104</v>
      </c>
      <c r="L68" s="229"/>
      <c r="M68" s="229"/>
      <c r="N68" s="242">
        <f>'1008'!J51</f>
        <v>-345106</v>
      </c>
      <c r="O68" s="242">
        <f>'1008'!N51</f>
        <v>-528877</v>
      </c>
      <c r="P68" s="242">
        <f>'1008'!T51</f>
        <v>-703287</v>
      </c>
      <c r="Q68" s="242">
        <f>'1008'!Z51</f>
        <v>-1003947</v>
      </c>
      <c r="R68" s="242">
        <f>'1008'!AF51</f>
        <v>-1334635</v>
      </c>
      <c r="S68" s="188"/>
      <c r="T68" s="242">
        <f>IF(T$5="Actual",'Audited Balance Sheet Input'!J68,'1008'!AX51)</f>
        <v>-1611697</v>
      </c>
      <c r="U68" s="242">
        <f>IF(U$5="Actual",'Audited Balance Sheet Input'!K68,'1008'!AY51)</f>
        <v>-1909242</v>
      </c>
      <c r="V68" s="242">
        <f>IF(V$5="Actual",'Audited Balance Sheet Input'!L68,'1008'!BE51)</f>
        <v>-2197309</v>
      </c>
      <c r="W68" s="242">
        <f>IF(W$5="Actual",'Audited Balance Sheet Input'!M68,'1008'!#REF!)</f>
        <v>-2489934</v>
      </c>
      <c r="X68" s="242">
        <f>IF(X$5="Actual",'Audited Balance Sheet Input'!N68,'1008'!BG51)</f>
        <v>-2711846.8</v>
      </c>
      <c r="Y68" s="242">
        <f>IF(Y$5="Actual",'Audited Balance Sheet Input'!O68,'1008'!BH51)</f>
        <v>-2411515.0666666664</v>
      </c>
      <c r="Z68" s="242">
        <f>IF(Z$5="Actual",'Audited Balance Sheet Input'!P68,'1008'!BI51)</f>
        <v>-4275738</v>
      </c>
      <c r="AA68" s="242">
        <f>IF(AA$5="Actual",'Audited Balance Sheet Input'!Q68,'1008'!BJ51)</f>
        <v>-4275738</v>
      </c>
      <c r="AB68" s="242">
        <f>IF(AB$5="Actual",'Audited Balance Sheet Input'!R68,'1008'!BK51)</f>
        <v>-4275738</v>
      </c>
      <c r="AC68" s="242">
        <f>IF(AC$5="Actual",'Audited Balance Sheet Input'!S68,'1008'!BL51)</f>
        <v>-4275738</v>
      </c>
      <c r="AD68" s="242">
        <f>IF(AD$5="Actual",'Audited Balance Sheet Input'!T68,'1008'!BM51)</f>
        <v>-4275738</v>
      </c>
      <c r="AE68" s="242">
        <f>IF(AE$5="Actual",'Audited Balance Sheet Input'!U68,'1008'!BN51)</f>
        <v>-4275738</v>
      </c>
      <c r="AF68" s="242">
        <f>IF(AF$5="Actual",'Audited Balance Sheet Input'!V68,'1008'!BO51)</f>
        <v>-4275738</v>
      </c>
      <c r="AG68" s="242">
        <f>IF(AG$5="Actual",'Audited Balance Sheet Input'!W68,'1008'!BP51)</f>
        <v>-4275738</v>
      </c>
      <c r="AI68" s="77">
        <v>1008</v>
      </c>
    </row>
    <row r="69" spans="1:35" s="57" customFormat="1">
      <c r="A69" s="232"/>
      <c r="B69" s="232"/>
      <c r="C69" s="232"/>
      <c r="D69" s="262"/>
      <c r="E69" s="262"/>
      <c r="F69" s="250" t="s">
        <v>108</v>
      </c>
      <c r="G69" s="306"/>
      <c r="H69" s="601"/>
      <c r="I69" s="306"/>
      <c r="J69" s="618"/>
      <c r="K69" s="78"/>
      <c r="L69" s="315"/>
      <c r="M69" s="231"/>
      <c r="N69" s="61">
        <f t="shared" ref="N69:AE69" si="13">SUM(N64:N68)</f>
        <v>1356366</v>
      </c>
      <c r="O69" s="61">
        <f t="shared" si="13"/>
        <v>1577035</v>
      </c>
      <c r="P69" s="61">
        <f t="shared" si="13"/>
        <v>1792030</v>
      </c>
      <c r="Q69" s="61">
        <f t="shared" si="13"/>
        <v>2200366</v>
      </c>
      <c r="R69" s="61">
        <f t="shared" si="13"/>
        <v>1992335</v>
      </c>
      <c r="S69" s="177"/>
      <c r="T69" s="61">
        <f t="shared" ref="T69" si="14">SUM(T64:T68)</f>
        <v>1928376</v>
      </c>
      <c r="U69" s="61">
        <f t="shared" si="13"/>
        <v>1933254</v>
      </c>
      <c r="V69" s="61">
        <f t="shared" si="13"/>
        <v>2078429</v>
      </c>
      <c r="W69" s="61">
        <f t="shared" si="13"/>
        <v>2106634</v>
      </c>
      <c r="X69" s="61">
        <f t="shared" si="13"/>
        <v>1884721.2000000002</v>
      </c>
      <c r="Y69" s="61">
        <f t="shared" si="13"/>
        <v>1864222.9333333336</v>
      </c>
      <c r="Z69" s="61">
        <f>SUM(Z64:Z68)</f>
        <v>0</v>
      </c>
      <c r="AA69" s="61">
        <f t="shared" si="13"/>
        <v>0</v>
      </c>
      <c r="AB69" s="61">
        <f t="shared" si="13"/>
        <v>0</v>
      </c>
      <c r="AC69" s="61">
        <f t="shared" si="13"/>
        <v>0</v>
      </c>
      <c r="AD69" s="61">
        <f t="shared" si="13"/>
        <v>0</v>
      </c>
      <c r="AE69" s="61">
        <f t="shared" si="13"/>
        <v>0</v>
      </c>
      <c r="AF69" s="61">
        <f t="shared" ref="AF69:AG69" si="15">SUM(AF64:AF68)</f>
        <v>0</v>
      </c>
      <c r="AG69" s="61">
        <f t="shared" si="15"/>
        <v>0</v>
      </c>
      <c r="AH69" s="77"/>
      <c r="AI69" s="77"/>
    </row>
    <row r="70" spans="1:35">
      <c r="A70" s="233"/>
      <c r="B70" s="233"/>
      <c r="C70" s="245" t="s">
        <v>109</v>
      </c>
      <c r="D70" s="244"/>
      <c r="E70" s="244"/>
      <c r="F70" s="244"/>
      <c r="H70" s="5"/>
      <c r="J70" s="338"/>
      <c r="L70" s="229"/>
      <c r="M70" s="229"/>
      <c r="N70" s="27"/>
      <c r="O70" s="27"/>
      <c r="P70" s="27"/>
      <c r="Q70" s="27"/>
      <c r="R70" s="27"/>
      <c r="S70" s="188"/>
      <c r="T70" s="27"/>
      <c r="U70" s="27"/>
      <c r="V70" s="505">
        <f>V69-'1008'!AX52</f>
        <v>0</v>
      </c>
      <c r="W70" s="506">
        <f>W69-'1008'!BD52</f>
        <v>0</v>
      </c>
      <c r="X70" s="506">
        <f>X69-'1008'!BG52</f>
        <v>0</v>
      </c>
      <c r="Y70" s="506">
        <f>Y69-'1008'!BH52</f>
        <v>0</v>
      </c>
      <c r="Z70" s="506">
        <f>Z69-'1008'!BI52</f>
        <v>0</v>
      </c>
      <c r="AA70" s="506">
        <f>AA69-'1008'!BJ52</f>
        <v>0</v>
      </c>
      <c r="AB70" s="506">
        <f>AB69-'1008'!BK52</f>
        <v>0</v>
      </c>
      <c r="AC70" s="506">
        <f>AC69-'1008'!BL52</f>
        <v>0</v>
      </c>
      <c r="AD70" s="506">
        <f>AD69-'1008'!BM52</f>
        <v>0</v>
      </c>
      <c r="AE70" s="506">
        <f>AE69-'1008'!BN52</f>
        <v>0</v>
      </c>
      <c r="AF70" s="506">
        <f>AF69-'1008'!BO52</f>
        <v>0</v>
      </c>
      <c r="AG70" s="506">
        <f>AG69-'1008'!BP52</f>
        <v>0</v>
      </c>
    </row>
    <row r="71" spans="1:35" outlineLevel="1">
      <c r="A71" s="233"/>
      <c r="B71" s="233"/>
      <c r="C71" s="248"/>
      <c r="D71" s="244" t="s">
        <v>110</v>
      </c>
      <c r="E71" s="244"/>
      <c r="F71" s="244"/>
      <c r="H71" s="5" t="s">
        <v>101</v>
      </c>
      <c r="J71" s="617" t="s">
        <v>104</v>
      </c>
      <c r="L71" s="229"/>
      <c r="M71" s="229"/>
      <c r="N71" s="242">
        <f>'1008'!J39</f>
        <v>13003821</v>
      </c>
      <c r="O71" s="242">
        <f>'1008'!N39</f>
        <v>13003821</v>
      </c>
      <c r="P71" s="242">
        <f>'1008'!T39</f>
        <v>13003821</v>
      </c>
      <c r="Q71" s="242">
        <f>'1008'!Z39</f>
        <v>13003821</v>
      </c>
      <c r="R71" s="242">
        <f>'1008'!AF39</f>
        <v>13003821</v>
      </c>
      <c r="S71" s="188"/>
      <c r="T71" s="242">
        <f>IF(T$5="Actual",'Audited Balance Sheet Input'!J71,'1008'!AX39)</f>
        <v>13003821</v>
      </c>
      <c r="U71" s="242">
        <f>IF(U$5="Actual",'Audited Balance Sheet Input'!K71,'1008'!AY39)</f>
        <v>13003821</v>
      </c>
      <c r="V71" s="242">
        <f>IF(V$5="Actual",'Audited Balance Sheet Input'!L71,'1008'!BE39)</f>
        <v>13003821</v>
      </c>
      <c r="W71" s="242">
        <f>IF(W$5="Actual",'Audited Balance Sheet Input'!M71,'1008'!#REF!)</f>
        <v>13072711</v>
      </c>
      <c r="X71" s="242">
        <f>IF(X$5="Actual",'Audited Balance Sheet Input'!N71,'1008'!BG39)</f>
        <v>13072711</v>
      </c>
      <c r="Y71" s="242">
        <f>IF(Y$5="Actual",'Audited Balance Sheet Input'!O71,'1008'!BH39)</f>
        <v>13003821</v>
      </c>
      <c r="Z71" s="242">
        <f>IF(Z$5="Actual",'Audited Balance Sheet Input'!P71,'1008'!BI39)</f>
        <v>13003821</v>
      </c>
      <c r="AA71" s="242">
        <f>IF(AA$5="Actual",'Audited Balance Sheet Input'!Q71,'1008'!BJ39)</f>
        <v>13003821</v>
      </c>
      <c r="AB71" s="242">
        <f>IF(AB$5="Actual",'Audited Balance Sheet Input'!R71,'1008'!BK39)</f>
        <v>13003821</v>
      </c>
      <c r="AC71" s="242">
        <f>IF(AC$5="Actual",'Audited Balance Sheet Input'!S71,'1008'!BL39)</f>
        <v>13003821</v>
      </c>
      <c r="AD71" s="242">
        <f>IF(AD$5="Actual",'Audited Balance Sheet Input'!T71,'1008'!BM39)</f>
        <v>13003821</v>
      </c>
      <c r="AE71" s="242">
        <f>IF(AE$5="Actual",'Audited Balance Sheet Input'!U71,'1008'!BN39)</f>
        <v>13003821</v>
      </c>
      <c r="AF71" s="242">
        <f>IF(AF$5="Actual",'Audited Balance Sheet Input'!V71,'1008'!BO39)</f>
        <v>13003821</v>
      </c>
      <c r="AG71" s="242">
        <f>IF(AG$5="Actual",'Audited Balance Sheet Input'!W71,'1008'!BP39)</f>
        <v>13003821</v>
      </c>
      <c r="AI71" s="77">
        <v>1008</v>
      </c>
    </row>
    <row r="72" spans="1:35" s="57" customFormat="1">
      <c r="A72" s="232"/>
      <c r="B72" s="232"/>
      <c r="C72" s="245" t="s">
        <v>110</v>
      </c>
      <c r="D72" s="246"/>
      <c r="E72" s="246"/>
      <c r="F72" s="246"/>
      <c r="G72" s="56"/>
      <c r="H72" s="56"/>
      <c r="I72" s="56"/>
      <c r="J72" s="383"/>
      <c r="K72" s="95"/>
      <c r="L72" s="231"/>
      <c r="M72" s="231"/>
      <c r="N72" s="371">
        <f>SUM(N71)</f>
        <v>13003821</v>
      </c>
      <c r="O72" s="371">
        <f>SUM(O71)</f>
        <v>13003821</v>
      </c>
      <c r="P72" s="371">
        <f t="shared" ref="P72:AG72" si="16">SUM(P71)</f>
        <v>13003821</v>
      </c>
      <c r="Q72" s="371">
        <f t="shared" si="16"/>
        <v>13003821</v>
      </c>
      <c r="R72" s="371">
        <f t="shared" si="16"/>
        <v>13003821</v>
      </c>
      <c r="S72" s="177"/>
      <c r="T72" s="371">
        <f>SUM(T71)</f>
        <v>13003821</v>
      </c>
      <c r="U72" s="371">
        <f t="shared" si="16"/>
        <v>13003821</v>
      </c>
      <c r="V72" s="371">
        <f t="shared" si="16"/>
        <v>13003821</v>
      </c>
      <c r="W72" s="371">
        <f t="shared" si="16"/>
        <v>13072711</v>
      </c>
      <c r="X72" s="371">
        <f t="shared" si="16"/>
        <v>13072711</v>
      </c>
      <c r="Y72" s="371">
        <f t="shared" si="16"/>
        <v>13003821</v>
      </c>
      <c r="Z72" s="371">
        <f t="shared" si="16"/>
        <v>13003821</v>
      </c>
      <c r="AA72" s="371">
        <f t="shared" si="16"/>
        <v>13003821</v>
      </c>
      <c r="AB72" s="371">
        <f t="shared" si="16"/>
        <v>13003821</v>
      </c>
      <c r="AC72" s="371">
        <f t="shared" si="16"/>
        <v>13003821</v>
      </c>
      <c r="AD72" s="371">
        <f t="shared" si="16"/>
        <v>13003821</v>
      </c>
      <c r="AE72" s="371">
        <f t="shared" si="16"/>
        <v>13003821</v>
      </c>
      <c r="AF72" s="371">
        <f t="shared" si="16"/>
        <v>13003821</v>
      </c>
      <c r="AG72" s="371">
        <f t="shared" si="16"/>
        <v>13003821</v>
      </c>
      <c r="AH72" s="77"/>
      <c r="AI72" s="77"/>
    </row>
    <row r="73" spans="1:35" s="57" customFormat="1">
      <c r="A73" s="232"/>
      <c r="B73" s="232"/>
      <c r="C73" s="232"/>
      <c r="D73" s="262"/>
      <c r="E73" s="262"/>
      <c r="F73" s="250" t="s">
        <v>518</v>
      </c>
      <c r="G73" s="306"/>
      <c r="H73" s="306"/>
      <c r="I73" s="306"/>
      <c r="J73" s="645"/>
      <c r="K73" s="78"/>
      <c r="L73" s="315"/>
      <c r="M73" s="231"/>
      <c r="N73" s="61">
        <f t="shared" ref="N73:Q73" si="17">+N69+N72</f>
        <v>14360187</v>
      </c>
      <c r="O73" s="61">
        <f t="shared" si="17"/>
        <v>14580856</v>
      </c>
      <c r="P73" s="61">
        <f t="shared" si="17"/>
        <v>14795851</v>
      </c>
      <c r="Q73" s="61">
        <f t="shared" si="17"/>
        <v>15204187</v>
      </c>
      <c r="R73" s="61">
        <f>+R69+R72</f>
        <v>14996156</v>
      </c>
      <c r="S73" s="177"/>
      <c r="T73" s="61">
        <f>+T69+T72</f>
        <v>14932197</v>
      </c>
      <c r="U73" s="61">
        <f t="shared" ref="U73:AG73" si="18">+U69+U72</f>
        <v>14937075</v>
      </c>
      <c r="V73" s="61">
        <f t="shared" si="18"/>
        <v>15082250</v>
      </c>
      <c r="W73" s="61">
        <f t="shared" si="18"/>
        <v>15179345</v>
      </c>
      <c r="X73" s="61">
        <f t="shared" si="18"/>
        <v>14957432.199999999</v>
      </c>
      <c r="Y73" s="61">
        <f t="shared" si="18"/>
        <v>14868043.933333334</v>
      </c>
      <c r="Z73" s="61">
        <f t="shared" si="18"/>
        <v>13003821</v>
      </c>
      <c r="AA73" s="61">
        <f t="shared" si="18"/>
        <v>13003821</v>
      </c>
      <c r="AB73" s="61">
        <f t="shared" si="18"/>
        <v>13003821</v>
      </c>
      <c r="AC73" s="61">
        <f t="shared" si="18"/>
        <v>13003821</v>
      </c>
      <c r="AD73" s="61">
        <f t="shared" si="18"/>
        <v>13003821</v>
      </c>
      <c r="AE73" s="61">
        <f t="shared" si="18"/>
        <v>13003821</v>
      </c>
      <c r="AF73" s="61">
        <f t="shared" si="18"/>
        <v>13003821</v>
      </c>
      <c r="AG73" s="61">
        <f t="shared" si="18"/>
        <v>13003821</v>
      </c>
      <c r="AH73" s="77"/>
      <c r="AI73" s="77"/>
    </row>
    <row r="74" spans="1:35" s="52" customFormat="1">
      <c r="A74" s="251"/>
      <c r="B74" s="251"/>
      <c r="C74" s="251"/>
      <c r="D74" s="265"/>
      <c r="E74" s="265"/>
      <c r="F74" s="380"/>
      <c r="J74" s="615"/>
      <c r="K74" s="254"/>
      <c r="L74" s="266"/>
      <c r="M74" s="255"/>
      <c r="N74" s="256"/>
      <c r="O74" s="256"/>
      <c r="P74" s="256"/>
      <c r="Q74" s="256"/>
      <c r="R74" s="256"/>
      <c r="S74" s="257"/>
      <c r="T74" s="256"/>
      <c r="U74" s="256"/>
      <c r="V74" s="506">
        <f>V73-'1008'!AX54</f>
        <v>0</v>
      </c>
      <c r="W74" s="506">
        <f>W73-'1008'!BD54</f>
        <v>0</v>
      </c>
      <c r="X74" s="506">
        <f>X73-'1008'!BG54</f>
        <v>0</v>
      </c>
      <c r="Y74" s="506">
        <f>Y73-'1008'!BH54</f>
        <v>0</v>
      </c>
      <c r="Z74" s="506">
        <f>Z73-'1008'!BI54</f>
        <v>0</v>
      </c>
      <c r="AA74" s="506">
        <f>AA73-'1008'!BJ54</f>
        <v>0</v>
      </c>
      <c r="AB74" s="506">
        <f>AB73-'1008'!BK54</f>
        <v>0</v>
      </c>
      <c r="AC74" s="506">
        <f>AC73-'1008'!BL54</f>
        <v>0</v>
      </c>
      <c r="AD74" s="506">
        <f>AD73-'1008'!BM54</f>
        <v>0</v>
      </c>
      <c r="AE74" s="506">
        <f>AE73-'1008'!BN54</f>
        <v>0</v>
      </c>
      <c r="AF74" s="506">
        <f>AF73-'1008'!BO54</f>
        <v>0</v>
      </c>
      <c r="AG74" s="506">
        <f>AG73-'1008'!BP54</f>
        <v>0</v>
      </c>
      <c r="AH74" s="77"/>
      <c r="AI74" s="77"/>
    </row>
    <row r="75" spans="1:35" s="57" customFormat="1">
      <c r="A75" s="232"/>
      <c r="B75" s="267" t="s">
        <v>112</v>
      </c>
      <c r="C75" s="267"/>
      <c r="D75" s="267"/>
      <c r="E75" s="267"/>
      <c r="F75" s="267"/>
      <c r="G75" s="56"/>
      <c r="H75" s="51"/>
      <c r="I75" s="56"/>
      <c r="J75" s="451"/>
      <c r="K75" s="95"/>
      <c r="L75" s="231"/>
      <c r="M75" s="231"/>
      <c r="N75" s="63">
        <f>+N61+N73</f>
        <v>26987107</v>
      </c>
      <c r="O75" s="63">
        <f>+O61+O73</f>
        <v>27225075</v>
      </c>
      <c r="P75" s="63">
        <f t="shared" ref="P75:AE75" si="19">+P61+P73</f>
        <v>252198625</v>
      </c>
      <c r="Q75" s="63">
        <f t="shared" si="19"/>
        <v>257128051</v>
      </c>
      <c r="R75" s="63">
        <f>+R61+R73</f>
        <v>254927397</v>
      </c>
      <c r="S75" s="177"/>
      <c r="T75" s="63">
        <f>+T61+T73</f>
        <v>252871530</v>
      </c>
      <c r="U75" s="63">
        <f>+U61+U73</f>
        <v>250931473</v>
      </c>
      <c r="V75" s="63">
        <f>+V61+V73</f>
        <v>249052159</v>
      </c>
      <c r="W75" s="63">
        <f>+W61+W73</f>
        <v>247480101</v>
      </c>
      <c r="X75" s="63">
        <f t="shared" si="19"/>
        <v>244785799.76666665</v>
      </c>
      <c r="Y75" s="63">
        <f t="shared" si="19"/>
        <v>242012548.33333334</v>
      </c>
      <c r="Z75" s="63">
        <f t="shared" si="19"/>
        <v>237750458.23333332</v>
      </c>
      <c r="AA75" s="63">
        <f t="shared" si="19"/>
        <v>235352591.06666666</v>
      </c>
      <c r="AB75" s="63">
        <f t="shared" si="19"/>
        <v>232954723.90000001</v>
      </c>
      <c r="AC75" s="63">
        <f t="shared" si="19"/>
        <v>230556856.73333332</v>
      </c>
      <c r="AD75" s="63">
        <f t="shared" si="19"/>
        <v>228158989.56666666</v>
      </c>
      <c r="AE75" s="63">
        <f t="shared" si="19"/>
        <v>226965802</v>
      </c>
      <c r="AF75" s="63">
        <f t="shared" ref="AF75:AG75" si="20">+AF61+AF73</f>
        <v>226965802</v>
      </c>
      <c r="AG75" s="63">
        <f t="shared" si="20"/>
        <v>226965802</v>
      </c>
      <c r="AH75" s="77"/>
      <c r="AI75" s="77"/>
    </row>
    <row r="76" spans="1:35" outlineLevel="1">
      <c r="A76" s="233"/>
      <c r="B76" s="233" t="s">
        <v>113</v>
      </c>
      <c r="C76" s="233"/>
      <c r="D76" s="233"/>
      <c r="E76" s="233"/>
      <c r="F76" s="233"/>
      <c r="H76" s="5" t="s">
        <v>83</v>
      </c>
      <c r="J76" s="617" t="s">
        <v>78</v>
      </c>
      <c r="L76" s="229"/>
      <c r="M76" s="229"/>
      <c r="N76" s="217">
        <f>'Audited FS'!N16</f>
        <v>0</v>
      </c>
      <c r="O76" s="217">
        <f>'Audited FS'!O16</f>
        <v>100239</v>
      </c>
      <c r="P76" s="217">
        <f>'Audited FS'!P16</f>
        <v>70051</v>
      </c>
      <c r="Q76" s="217">
        <f>'Audited FS'!Q16</f>
        <v>243903</v>
      </c>
      <c r="R76" s="217">
        <f>'Audited FS'!R16</f>
        <v>111955</v>
      </c>
      <c r="T76" s="242">
        <f>IF(T$5="Actual",'Audited Balance Sheet Input'!J76,ROUND(AVERAGE($P76:$R76),-3))</f>
        <v>184230</v>
      </c>
      <c r="U76" s="242">
        <f>IF(U$5="Actual",'Audited Balance Sheet Input'!K76,ROUND(AVERAGE($Q76:$R76,T76),-3))</f>
        <v>365259</v>
      </c>
      <c r="V76" s="242">
        <f>IF(V$5="Actual",'Audited Balance Sheet Input'!L76,ROUND(AVERAGE($R76,T76:U76),-3))</f>
        <v>294142</v>
      </c>
      <c r="W76" s="242">
        <f>IF(W$5="Actual",'Audited Balance Sheet Input'!M76,ROUND(AVERAGE(T76:V76),-3))</f>
        <v>284790</v>
      </c>
      <c r="X76" s="242">
        <f>IF(X$5="Actual",'Audited Balance Sheet Input'!N76,ROUND(AVERAGE(U76:W76),-3))</f>
        <v>315000</v>
      </c>
      <c r="Y76" s="242">
        <f>IF(Y$5="Actual",'Audited Balance Sheet Input'!O76,ROUND(AVERAGE(V76:X76),-3))</f>
        <v>298000</v>
      </c>
      <c r="Z76" s="242">
        <f>IF(Z$5="Actual",'Audited Balance Sheet Input'!P76,ROUND(AVERAGE(W76:Y76),-3))</f>
        <v>299000</v>
      </c>
      <c r="AA76" s="242">
        <f>IF(AA$5="Actual",'Audited Balance Sheet Input'!Q76,ROUND(AVERAGE(X76:Z76),-3))</f>
        <v>304000</v>
      </c>
      <c r="AB76" s="242">
        <f>IF(AB$5="Actual",'Audited Balance Sheet Input'!R76,ROUND(AVERAGE(Y76:AA76),-3))</f>
        <v>300000</v>
      </c>
      <c r="AC76" s="242">
        <f>IF(AC$5="Actual",'Audited Balance Sheet Input'!S76,ROUND(AVERAGE(Z76:AB76),-3))</f>
        <v>301000</v>
      </c>
      <c r="AD76" s="242">
        <f>IF(AD$5="Actual",'Audited Balance Sheet Input'!T76,ROUND(AVERAGE(AA76:AC76),-3))</f>
        <v>302000</v>
      </c>
      <c r="AE76" s="242">
        <f>IF(AE$5="Actual",'Audited Balance Sheet Input'!U76,ROUND(AVERAGE(AB76:AD76),-3))</f>
        <v>301000</v>
      </c>
      <c r="AF76" s="242">
        <f>IF(AF$5="Actual",'Audited Balance Sheet Input'!V76,ROUND(AVERAGE(AC76:AE76),-3))</f>
        <v>301000</v>
      </c>
      <c r="AG76" s="242">
        <f>IF(AG$5="Actual",'Audited Balance Sheet Input'!W76,ROUND(AVERAGE(AD76:AF76),-3))</f>
        <v>301000</v>
      </c>
      <c r="AI76" s="77" t="s">
        <v>83</v>
      </c>
    </row>
    <row r="77" spans="1:35" s="57" customFormat="1">
      <c r="A77" s="232"/>
      <c r="B77" s="269"/>
      <c r="C77" s="269"/>
      <c r="D77" s="269"/>
      <c r="E77" s="269"/>
      <c r="F77" s="270" t="s">
        <v>114</v>
      </c>
      <c r="G77" s="306"/>
      <c r="H77" s="601"/>
      <c r="I77" s="306"/>
      <c r="J77" s="618"/>
      <c r="K77" s="78"/>
      <c r="L77" s="315"/>
      <c r="M77" s="231"/>
      <c r="N77" s="316">
        <f>SUM(N17:N24,N39,N75,N76)</f>
        <v>439394059</v>
      </c>
      <c r="O77" s="316">
        <f>SUM(O17:O24,O39,O75,O76)</f>
        <v>595498427</v>
      </c>
      <c r="P77" s="316">
        <f>SUM(P17:P24,P39,P75,P76)</f>
        <v>626585051</v>
      </c>
      <c r="Q77" s="316">
        <f>SUM(Q17:Q24,Q39,Q75,Q76)</f>
        <v>667809457</v>
      </c>
      <c r="R77" s="316">
        <f>SUM(R17:R24,R39,R75,R76)</f>
        <v>637993287</v>
      </c>
      <c r="S77" s="147"/>
      <c r="T77" s="316">
        <f t="shared" ref="T77:AE77" si="21">SUM(T17:T24,T39,T75,T76)</f>
        <v>612103905</v>
      </c>
      <c r="U77" s="316">
        <f t="shared" si="21"/>
        <v>633953231</v>
      </c>
      <c r="V77" s="316">
        <f t="shared" si="21"/>
        <v>660462926</v>
      </c>
      <c r="W77" s="316">
        <f>SUM(W17:W24,W39,W75,W76)</f>
        <v>667849307</v>
      </c>
      <c r="X77" s="316">
        <f t="shared" si="21"/>
        <v>663475717.67188931</v>
      </c>
      <c r="Y77" s="316">
        <f t="shared" si="21"/>
        <v>669916870.3667419</v>
      </c>
      <c r="Z77" s="316">
        <f t="shared" si="21"/>
        <v>674553784.49819672</v>
      </c>
      <c r="AA77" s="316">
        <f t="shared" si="21"/>
        <v>680703348.67451787</v>
      </c>
      <c r="AB77" s="316">
        <f t="shared" si="21"/>
        <v>686792954.39279974</v>
      </c>
      <c r="AC77" s="316">
        <f t="shared" si="21"/>
        <v>692437088.19539523</v>
      </c>
      <c r="AD77" s="316">
        <f t="shared" si="21"/>
        <v>697595853.93479276</v>
      </c>
      <c r="AE77" s="316">
        <f t="shared" si="21"/>
        <v>704072446.29727602</v>
      </c>
      <c r="AF77" s="316">
        <f t="shared" ref="AF77:AG77" si="22">SUM(AF17:AF24,AF39,AF75,AF76)</f>
        <v>711816963.90605247</v>
      </c>
      <c r="AG77" s="316">
        <f t="shared" si="22"/>
        <v>719668519.46550846</v>
      </c>
      <c r="AH77" s="77"/>
      <c r="AI77" s="77"/>
    </row>
    <row r="78" spans="1:35" outlineLevel="1">
      <c r="A78" s="233"/>
      <c r="B78" s="264" t="s">
        <v>115</v>
      </c>
      <c r="C78" s="243"/>
      <c r="D78" s="243"/>
      <c r="E78" s="243"/>
      <c r="F78" s="243"/>
      <c r="H78" s="602"/>
      <c r="J78" s="617" t="s">
        <v>78</v>
      </c>
      <c r="L78" s="229"/>
      <c r="M78" s="229"/>
      <c r="N78" s="217">
        <f>'Audited FS'!N31</f>
        <v>0</v>
      </c>
      <c r="O78" s="217">
        <f>'Audited FS'!O31</f>
        <v>0</v>
      </c>
      <c r="P78" s="217">
        <f>'Audited FS'!P31</f>
        <v>0</v>
      </c>
      <c r="Q78" s="217">
        <f>'Audited FS'!Q31</f>
        <v>0</v>
      </c>
      <c r="R78" s="217">
        <f>'Audited FS'!R31</f>
        <v>2526642</v>
      </c>
      <c r="T78" s="242">
        <f>IF(T$5="Actual",'Audited Balance Sheet Input'!J78,0)</f>
        <v>3070777</v>
      </c>
      <c r="U78" s="242">
        <f>IF(U$5="Actual",'Audited Balance Sheet Input'!K78,0)</f>
        <v>10362562</v>
      </c>
      <c r="V78" s="242">
        <f>IF(V$5="Actual",'Audited Balance Sheet Input'!L78,0)</f>
        <v>7089131</v>
      </c>
      <c r="W78" s="242">
        <f>IF(W$5="Actual",'Audited Balance Sheet Input'!M78,ROUND(AVERAGE(T78:V78),-3))</f>
        <v>5801500</v>
      </c>
      <c r="X78" s="242">
        <f>IF(X$5="Actual",'Audited Balance Sheet Input'!N78,ROUND(AVERAGE(U78:W78),-3))</f>
        <v>7751000</v>
      </c>
      <c r="Y78" s="242">
        <f>IF(Y$5="Actual",'Audited Balance Sheet Input'!O78,ROUND(AVERAGE(V78:X78),-3))</f>
        <v>6881000</v>
      </c>
      <c r="Z78" s="242">
        <f>IF(Z$5="Actual",'Audited Balance Sheet Input'!P78,ROUND(AVERAGE(W78:Y78),-3))</f>
        <v>6811000</v>
      </c>
      <c r="AA78" s="242">
        <f>IF(AA$5="Actual",'Audited Balance Sheet Input'!Q78,ROUND(AVERAGE(X78:Z78),-3))</f>
        <v>7148000</v>
      </c>
      <c r="AB78" s="242">
        <f>IF(AB$5="Actual",'Audited Balance Sheet Input'!R78,ROUND(AVERAGE(Y78:AA78),-3))</f>
        <v>6947000</v>
      </c>
      <c r="AC78" s="242">
        <f>IF(AC$5="Actual",'Audited Balance Sheet Input'!S78,ROUND(AVERAGE(Z78:AB78),-3))</f>
        <v>6969000</v>
      </c>
      <c r="AD78" s="242">
        <f>IF(AD$5="Actual",'Audited Balance Sheet Input'!T78,ROUND(AVERAGE(AA78:AC78),-3))</f>
        <v>7021000</v>
      </c>
      <c r="AE78" s="242">
        <f>IF(AE$5="Actual",'Audited Balance Sheet Input'!U78,ROUND(AVERAGE(AB78:AD78),-3))</f>
        <v>6979000</v>
      </c>
      <c r="AF78" s="242">
        <f>IF(AF$5="Actual",'Audited Balance Sheet Input'!V78,ROUND(AVERAGE(AC78:AE78),-3))</f>
        <v>6990000</v>
      </c>
      <c r="AG78" s="242">
        <f>IF(AG$5="Actual",'Audited Balance Sheet Input'!W78,ROUND(AVERAGE(AD78:AF78),-3))</f>
        <v>6997000</v>
      </c>
    </row>
    <row r="79" spans="1:35" outlineLevel="1">
      <c r="A79" s="233"/>
      <c r="B79" s="264" t="s">
        <v>116</v>
      </c>
      <c r="C79" s="243"/>
      <c r="D79" s="243"/>
      <c r="E79" s="243"/>
      <c r="F79" s="243"/>
      <c r="H79" s="602"/>
      <c r="J79" s="617"/>
      <c r="L79" s="229"/>
      <c r="M79" s="229"/>
      <c r="N79" s="217"/>
      <c r="O79" s="217"/>
      <c r="P79" s="217"/>
      <c r="Q79" s="217"/>
      <c r="R79" s="217"/>
      <c r="T79" s="242">
        <f>IF(T$5="Actual",'Audited Balance Sheet Input'!J79,0)</f>
        <v>0</v>
      </c>
      <c r="U79" s="242">
        <f>IF(U$5="Actual",'Audited Balance Sheet Input'!K79,0)</f>
        <v>0</v>
      </c>
      <c r="V79" s="242">
        <f>IF(V$5="Actual",'Audited Balance Sheet Input'!L79,0)</f>
        <v>1881695</v>
      </c>
      <c r="W79" s="242">
        <f>IF(W$5="Actual",'Audited Balance Sheet Input'!M79,0)</f>
        <v>2418015</v>
      </c>
      <c r="X79" s="242">
        <f>IF(X$5="Actual",'Audited Balance Sheet Input'!N79,ROUND(AVERAGE(U79:W79),-3))</f>
        <v>1433000</v>
      </c>
      <c r="Y79" s="242">
        <f>IF(Y$5="Actual",'Audited Balance Sheet Input'!O79,ROUND(AVERAGE(V79:X79),-3))</f>
        <v>1911000</v>
      </c>
      <c r="Z79" s="242">
        <f>IF(Z$5="Actual",'Audited Balance Sheet Input'!P79,ROUND(AVERAGE(W79:Y79),-3))</f>
        <v>1921000</v>
      </c>
      <c r="AA79" s="242">
        <f>IF(AA$5="Actual",'Audited Balance Sheet Input'!Q79,ROUND(AVERAGE(X79:Z79),-3))</f>
        <v>1755000</v>
      </c>
      <c r="AB79" s="242">
        <f>IF(AB$5="Actual",'Audited Balance Sheet Input'!R79,ROUND(AVERAGE(Y79:AA79),-3))</f>
        <v>1862000</v>
      </c>
      <c r="AC79" s="242">
        <f>IF(AC$5="Actual",'Audited Balance Sheet Input'!S79,ROUND(AVERAGE(Z79:AB79),-3))</f>
        <v>1846000</v>
      </c>
      <c r="AD79" s="242">
        <f>IF(AD$5="Actual",'Audited Balance Sheet Input'!T79,ROUND(AVERAGE(AA79:AC79),-3))</f>
        <v>1821000</v>
      </c>
      <c r="AE79" s="242">
        <f>IF(AE$5="Actual",'Audited Balance Sheet Input'!U79,ROUND(AVERAGE(AB79:AD79),-3))</f>
        <v>1843000</v>
      </c>
      <c r="AF79" s="242">
        <f>IF(AF$5="Actual",'Audited Balance Sheet Input'!V79,ROUND(AVERAGE(AC79:AE79),-3))</f>
        <v>1837000</v>
      </c>
      <c r="AG79" s="242">
        <f>IF(AG$5="Actual",'Audited Balance Sheet Input'!W79,ROUND(AVERAGE(AD79:AF79),-3))</f>
        <v>1834000</v>
      </c>
    </row>
    <row r="80" spans="1:35" s="57" customFormat="1" ht="15" thickBot="1">
      <c r="A80" s="232"/>
      <c r="B80" s="271"/>
      <c r="C80" s="271"/>
      <c r="D80" s="271"/>
      <c r="E80" s="271"/>
      <c r="F80" s="272" t="s">
        <v>117</v>
      </c>
      <c r="G80" s="331"/>
      <c r="H80" s="603"/>
      <c r="I80" s="331"/>
      <c r="J80" s="619"/>
      <c r="K80" s="329"/>
      <c r="L80" s="332"/>
      <c r="M80" s="231"/>
      <c r="N80" s="75">
        <f>+N14+N77+N78</f>
        <v>446943242</v>
      </c>
      <c r="O80" s="75">
        <f>+O14+O77+O78</f>
        <v>609513307</v>
      </c>
      <c r="P80" s="75">
        <f>+P14+P77+P78</f>
        <v>647291999</v>
      </c>
      <c r="Q80" s="75">
        <f>+Q14+Q77+Q78</f>
        <v>689761117</v>
      </c>
      <c r="R80" s="75">
        <f>+R14+R77+R78</f>
        <v>663657058</v>
      </c>
      <c r="S80" s="147"/>
      <c r="T80" s="75">
        <f>+T14+T77+T78+T79</f>
        <v>640866388</v>
      </c>
      <c r="U80" s="75">
        <f t="shared" ref="U80:AG80" si="23">+U14+U77+U78+U79</f>
        <v>672865961</v>
      </c>
      <c r="V80" s="75">
        <f t="shared" si="23"/>
        <v>689525419</v>
      </c>
      <c r="W80" s="75">
        <f t="shared" si="23"/>
        <v>698716700</v>
      </c>
      <c r="X80" s="75">
        <f t="shared" si="23"/>
        <v>691355316.75125945</v>
      </c>
      <c r="Y80" s="75">
        <f t="shared" si="23"/>
        <v>700301818.64374352</v>
      </c>
      <c r="Z80" s="75">
        <f t="shared" si="23"/>
        <v>701042984.89141941</v>
      </c>
      <c r="AA80" s="75">
        <f t="shared" si="23"/>
        <v>710578886.86475921</v>
      </c>
      <c r="AB80" s="75">
        <f t="shared" si="23"/>
        <v>713017482.74367571</v>
      </c>
      <c r="AC80" s="75">
        <f t="shared" si="23"/>
        <v>722460460.94333851</v>
      </c>
      <c r="AD80" s="75">
        <f t="shared" si="23"/>
        <v>724022577.08748579</v>
      </c>
      <c r="AE80" s="75">
        <f t="shared" si="23"/>
        <v>734013691.09719682</v>
      </c>
      <c r="AF80" s="75">
        <f t="shared" si="23"/>
        <v>737837541.64396167</v>
      </c>
      <c r="AG80" s="75">
        <f t="shared" si="23"/>
        <v>748903774.15995467</v>
      </c>
      <c r="AH80" s="77"/>
      <c r="AI80" s="77"/>
    </row>
    <row r="81" spans="1:36" ht="15" thickTop="1">
      <c r="A81" s="276"/>
      <c r="B81" s="233"/>
      <c r="C81" s="233"/>
      <c r="D81" s="233"/>
      <c r="E81" s="233"/>
      <c r="F81" s="382" t="s">
        <v>118</v>
      </c>
      <c r="L81" s="229"/>
      <c r="M81" s="229"/>
      <c r="N81" s="277">
        <f>N80-'Audited FS'!N32</f>
        <v>0</v>
      </c>
      <c r="O81" s="277">
        <f>O80-'Audited FS'!O32</f>
        <v>0</v>
      </c>
      <c r="P81" s="277">
        <f>P80-'Audited FS'!P32</f>
        <v>0</v>
      </c>
      <c r="Q81" s="277">
        <f>Q80-'Audited FS'!Q32</f>
        <v>0</v>
      </c>
      <c r="R81" s="277">
        <f>R80-'Audited FS'!R32</f>
        <v>0</v>
      </c>
      <c r="T81" s="506">
        <f>IF(T5="Actual",+T80-'Audited Balance Sheet Input'!J80,0)</f>
        <v>0</v>
      </c>
      <c r="U81" s="506">
        <f>IF(U5="Actual",+U80-'Audited Balance Sheet Input'!K80,0)</f>
        <v>0</v>
      </c>
      <c r="V81" s="506">
        <f>IF(V5="Actual",+V80-'Audited Balance Sheet Input'!L80,0)</f>
        <v>0</v>
      </c>
      <c r="W81" s="506">
        <f>IF(W5="Actual",+W80-'Audited Balance Sheet Input'!M80,W80+W133)</f>
        <v>0</v>
      </c>
      <c r="X81" s="506">
        <f>IF(X5="Actual",+X80-'Audited Balance Sheet Input'!N80,X80+X133)</f>
        <v>0</v>
      </c>
      <c r="Y81" s="506">
        <f>IF(Y5="Actual",+Y80-'Audited Balance Sheet Input'!O80,Y80+Y133)</f>
        <v>0</v>
      </c>
      <c r="Z81" s="506">
        <f>IF(Z5="Actual",+Z80-'Audited Balance Sheet Input'!P80,Z80+Z133)</f>
        <v>0</v>
      </c>
      <c r="AA81" s="506">
        <f>IF(AA5="Actual",+AA80-'Audited Balance Sheet Input'!Q80,AA80+AA133)</f>
        <v>0</v>
      </c>
      <c r="AB81" s="506">
        <f>IF(AB5="Actual",+AB80-'Audited Balance Sheet Input'!R80,AB80+AB133)</f>
        <v>0</v>
      </c>
      <c r="AC81" s="506">
        <f>IF(AC5="Actual",+AC80-'Audited Balance Sheet Input'!S80,AC80+AC133)</f>
        <v>0</v>
      </c>
      <c r="AD81" s="506">
        <f>IF(AD5="Actual",+AD80-'Audited Balance Sheet Input'!T80,AD80+AD133)</f>
        <v>0</v>
      </c>
      <c r="AE81" s="506">
        <f>IF(AE5="Actual",+AE80-'Audited Balance Sheet Input'!U80,AE80+AE133)</f>
        <v>0</v>
      </c>
      <c r="AF81" s="506">
        <f>IF(AF5="Actual",+AF80-'Audited Balance Sheet Input'!V80,AF80+AF133)</f>
        <v>0</v>
      </c>
      <c r="AG81" s="506">
        <f>IF(AG5="Actual",+AG80-'Audited Balance Sheet Input'!W80,AG80+AG133)</f>
        <v>0</v>
      </c>
    </row>
    <row r="82" spans="1:36">
      <c r="A82" s="276"/>
      <c r="B82" s="233"/>
      <c r="C82" s="233"/>
      <c r="D82" s="233"/>
      <c r="E82" s="233"/>
      <c r="F82" s="251"/>
      <c r="L82" s="229"/>
      <c r="M82" s="229"/>
      <c r="N82" s="277"/>
      <c r="O82" s="277"/>
      <c r="P82" s="277"/>
      <c r="Q82" s="277"/>
      <c r="R82" s="277"/>
      <c r="T82" s="277"/>
    </row>
    <row r="83" spans="1:36">
      <c r="A83" s="263" t="s">
        <v>119</v>
      </c>
      <c r="B83" s="278"/>
      <c r="C83" s="278"/>
      <c r="D83" s="278"/>
      <c r="E83" s="278"/>
      <c r="F83" s="278"/>
      <c r="L83" s="229"/>
      <c r="M83" s="229"/>
    </row>
    <row r="84" spans="1:36" outlineLevel="1">
      <c r="A84" s="233"/>
      <c r="B84" s="276" t="s">
        <v>120</v>
      </c>
      <c r="C84" s="233"/>
      <c r="D84" s="233"/>
      <c r="E84" s="233"/>
      <c r="F84" s="233"/>
      <c r="H84" s="5" t="s">
        <v>83</v>
      </c>
      <c r="J84" s="617" t="s">
        <v>78</v>
      </c>
      <c r="L84" s="229"/>
      <c r="M84" s="229"/>
      <c r="N84" s="242">
        <f>-'Audited FS'!N35</f>
        <v>-16450925</v>
      </c>
      <c r="O84" s="242">
        <f>-'Audited FS'!O35</f>
        <v>-8197464</v>
      </c>
      <c r="P84" s="242">
        <f>-'Audited FS'!P35</f>
        <v>-8287517</v>
      </c>
      <c r="Q84" s="242">
        <f>-'Audited FS'!Q35</f>
        <v>-16931048</v>
      </c>
      <c r="R84" s="242">
        <f>-'Audited FS'!R35</f>
        <v>-6741593</v>
      </c>
      <c r="S84" s="188"/>
      <c r="T84" s="242">
        <f>IF(T$5="Actual",'Audited Balance Sheet Input'!J84,ROUND(AVERAGE($P84:$R84),-3))</f>
        <v>-6653737</v>
      </c>
      <c r="U84" s="242">
        <f>IF(U$5="Actual",'Audited Balance Sheet Input'!K84,ROUND(AVERAGE($Q84:$R84,T84),-3))</f>
        <v>-5386031</v>
      </c>
      <c r="V84" s="242">
        <f>IF(V$5="Actual",'Audited Balance Sheet Input'!L84,ROUND(AVERAGE($R84,T84,U84),-3))</f>
        <v>-7225413</v>
      </c>
      <c r="W84" s="242">
        <f>IF(W$5="Actual",'Audited Balance Sheet Input'!M84,ROUND(AVERAGE(T84:V84),-3))</f>
        <v>-6730596</v>
      </c>
      <c r="X84" s="242">
        <f>IF(X$5="Actual",'Audited Balance Sheet Input'!N84,ROUND(AVERAGE(U84:W84),-3))</f>
        <v>-6447000</v>
      </c>
      <c r="Y84" s="242">
        <f>IF(Y$5="Actual",'Audited Balance Sheet Input'!O84,ROUND(AVERAGE(V84:X84),-3))</f>
        <v>-6801000</v>
      </c>
      <c r="Z84" s="242">
        <f>IF(Z$5="Actual",'Audited Balance Sheet Input'!P84,ROUND(AVERAGE(W84:Y84),-3))</f>
        <v>-6660000</v>
      </c>
      <c r="AA84" s="242">
        <f>IF(AA$5="Actual",'Audited Balance Sheet Input'!Q84,ROUND(AVERAGE(X84:Z84),-3))</f>
        <v>-6636000</v>
      </c>
      <c r="AB84" s="242">
        <f>IF(AB$5="Actual",'Audited Balance Sheet Input'!R84,ROUND(AVERAGE(Y84:AA84),-3))</f>
        <v>-6699000</v>
      </c>
      <c r="AC84" s="242">
        <f>IF(AC$5="Actual",'Audited Balance Sheet Input'!S84,ROUND(AVERAGE(Z84:AB84),-3))</f>
        <v>-6665000</v>
      </c>
      <c r="AD84" s="242">
        <f>IF(AD$5="Actual",'Audited Balance Sheet Input'!T84,ROUND(AVERAGE(AA84:AC84),-3))</f>
        <v>-6667000</v>
      </c>
      <c r="AE84" s="242">
        <f>IF(AE$5="Actual",'Audited Balance Sheet Input'!U84,ROUND(AVERAGE(AB84:AD84),-3))</f>
        <v>-6677000</v>
      </c>
      <c r="AF84" s="242">
        <f>IF(AF$5="Actual",'Audited Balance Sheet Input'!V84,ROUND(AVERAGE(AC84:AE84),-3))</f>
        <v>-6670000</v>
      </c>
      <c r="AG84" s="242">
        <f>IF(AG$5="Actual",'Audited Balance Sheet Input'!W84,ROUND(AVERAGE(AD84:AF84),-3))</f>
        <v>-6671000</v>
      </c>
      <c r="AI84" s="77" t="s">
        <v>83</v>
      </c>
    </row>
    <row r="85" spans="1:36" outlineLevel="1">
      <c r="A85" s="233"/>
      <c r="B85" s="276" t="s">
        <v>473</v>
      </c>
      <c r="C85" s="233"/>
      <c r="D85" s="233"/>
      <c r="E85" s="233"/>
      <c r="F85" s="233"/>
      <c r="H85" s="5" t="s">
        <v>83</v>
      </c>
      <c r="J85" s="617" t="s">
        <v>78</v>
      </c>
      <c r="L85" s="229"/>
      <c r="M85" s="229"/>
      <c r="N85" s="242">
        <f>-'Audited FS'!N36</f>
        <v>0</v>
      </c>
      <c r="O85" s="242">
        <f>-'Audited FS'!O36</f>
        <v>-218144</v>
      </c>
      <c r="P85" s="242">
        <f>-'Audited FS'!P36</f>
        <v>-740648</v>
      </c>
      <c r="Q85" s="242">
        <f>-'Audited FS'!Q36</f>
        <v>-1257376</v>
      </c>
      <c r="R85" s="242">
        <f>-'Audited FS'!R36</f>
        <v>-894536</v>
      </c>
      <c r="S85" s="188"/>
      <c r="T85" s="242">
        <f>IF(T$5="Actual",'Audited Balance Sheet Input'!J85,ROUND(AVERAGE($P85:$R85),-3))</f>
        <v>-3359468</v>
      </c>
      <c r="U85" s="242">
        <f>IF(U$5="Actual",'Audited Balance Sheet Input'!K85,ROUND(AVERAGE($Q85:$R85,T85),-3))</f>
        <v>-1138542</v>
      </c>
      <c r="V85" s="242">
        <f>IF(V$5="Actual",'Audited Balance Sheet Input'!L85,ROUND(AVERAGE($R85,T85,U85),-3))</f>
        <v>-332397</v>
      </c>
      <c r="W85" s="242">
        <f>IF(W$5="Actual",'Audited Balance Sheet Input'!M85,ROUND(AVERAGE(T85:V85),-3))</f>
        <v>-300000</v>
      </c>
      <c r="X85" s="242">
        <f>IF(X$5="Actual",'Audited Balance Sheet Input'!N85,ROUND(AVERAGE(U85:W85),-3))</f>
        <v>-590000</v>
      </c>
      <c r="Y85" s="242">
        <f>IF(Y$5="Actual",'Audited Balance Sheet Input'!O85,ROUND(AVERAGE(V85:X85),-3))</f>
        <v>-407000</v>
      </c>
      <c r="Z85" s="242">
        <f>IF(Z$5="Actual",'Audited Balance Sheet Input'!P85,ROUND(AVERAGE(W85:Y85),-3))</f>
        <v>-432000</v>
      </c>
      <c r="AA85" s="242">
        <f>IF(AA$5="Actual",'Audited Balance Sheet Input'!Q85,ROUND(AVERAGE(X85:Z85),-3))</f>
        <v>-476000</v>
      </c>
      <c r="AB85" s="242">
        <f>IF(AB$5="Actual",'Audited Balance Sheet Input'!R85,ROUND(AVERAGE(Y85:AA85),-3))</f>
        <v>-438000</v>
      </c>
      <c r="AC85" s="242">
        <f>IF(AC$5="Actual",'Audited Balance Sheet Input'!S85,ROUND(AVERAGE(Z85:AB85),-3))</f>
        <v>-449000</v>
      </c>
      <c r="AD85" s="242">
        <f>IF(AD$5="Actual",'Audited Balance Sheet Input'!T85,ROUND(AVERAGE(AA85:AC85),-3))</f>
        <v>-454000</v>
      </c>
      <c r="AE85" s="242">
        <f>IF(AE$5="Actual",'Audited Balance Sheet Input'!U85,ROUND(AVERAGE(AB85:AD85),-3))</f>
        <v>-447000</v>
      </c>
      <c r="AF85" s="242">
        <f>IF(AF$5="Actual",'Audited Balance Sheet Input'!V85,ROUND(AVERAGE(AC85:AE85),-3))</f>
        <v>-450000</v>
      </c>
      <c r="AG85" s="242">
        <f>IF(AG$5="Actual",'Audited Balance Sheet Input'!W85,ROUND(AVERAGE(AD85:AF85),-3))</f>
        <v>-450000</v>
      </c>
      <c r="AI85" s="77" t="s">
        <v>83</v>
      </c>
    </row>
    <row r="86" spans="1:36" outlineLevel="1">
      <c r="A86" s="233"/>
      <c r="B86" s="276" t="s">
        <v>121</v>
      </c>
      <c r="C86" s="232"/>
      <c r="D86" s="232"/>
      <c r="E86" s="232"/>
      <c r="F86" s="232"/>
      <c r="H86" s="5" t="s">
        <v>83</v>
      </c>
      <c r="J86" s="617" t="s">
        <v>78</v>
      </c>
      <c r="L86" s="229"/>
      <c r="M86" s="229"/>
      <c r="N86" s="242">
        <f>-'Audited FS'!N37</f>
        <v>0</v>
      </c>
      <c r="O86" s="242">
        <f>-'Audited FS'!O37</f>
        <v>-50000</v>
      </c>
      <c r="P86" s="242">
        <f>-'Audited FS'!P37</f>
        <v>-454654</v>
      </c>
      <c r="Q86" s="242">
        <f>-'Audited FS'!Q37</f>
        <v>0</v>
      </c>
      <c r="R86" s="242">
        <f>-'Audited FS'!R37</f>
        <v>-143000</v>
      </c>
      <c r="S86" s="188"/>
      <c r="T86" s="242">
        <f>IF(T$5="Actual",'Audited Balance Sheet Input'!J86,ROUND(AVERAGE($P86:$R86),-3))</f>
        <v>0</v>
      </c>
      <c r="U86" s="242">
        <f>IF(U$5="Actual",'Audited Balance Sheet Input'!K86,ROUND(AVERAGE($Q86:$R86,T86),-3))</f>
        <v>0</v>
      </c>
      <c r="V86" s="242">
        <f>IF(V$5="Actual",'Audited Balance Sheet Input'!L86,ROUND(AVERAGE($R86,T86,U86),-3))</f>
        <v>0</v>
      </c>
      <c r="W86" s="242">
        <f>IF(W$5="Actual",'Audited Balance Sheet Input'!M86,ROUND(AVERAGE(T86:V86),-3))</f>
        <v>0</v>
      </c>
      <c r="X86" s="242">
        <f>IF(X$5="Actual",'Audited Balance Sheet Input'!N86,ROUND(AVERAGE(U86:W86),-3))</f>
        <v>0</v>
      </c>
      <c r="Y86" s="242">
        <f>IF(Y$5="Actual",'Audited Balance Sheet Input'!O86,ROUND(AVERAGE(V86:X86),-3))</f>
        <v>0</v>
      </c>
      <c r="Z86" s="242">
        <f>IF(Z$5="Actual",'Audited Balance Sheet Input'!P86,ROUND(AVERAGE(W86:Y86),-3))</f>
        <v>0</v>
      </c>
      <c r="AA86" s="242">
        <f>IF(AA$5="Actual",'Audited Balance Sheet Input'!Q86,ROUND(AVERAGE(X86:Z86),-3))</f>
        <v>0</v>
      </c>
      <c r="AB86" s="242">
        <f>IF(AB$5="Actual",'Audited Balance Sheet Input'!R86,ROUND(AVERAGE(Y86:AA86),-3))</f>
        <v>0</v>
      </c>
      <c r="AC86" s="242">
        <f>IF(AC$5="Actual",'Audited Balance Sheet Input'!S86,ROUND(AVERAGE(Z86:AB86),-3))</f>
        <v>0</v>
      </c>
      <c r="AD86" s="242">
        <f>IF(AD$5="Actual",'Audited Balance Sheet Input'!T86,ROUND(AVERAGE(AA86:AC86),-3))</f>
        <v>0</v>
      </c>
      <c r="AE86" s="242">
        <f>IF(AE$5="Actual",'Audited Balance Sheet Input'!U86,ROUND(AVERAGE(AB86:AD86),-3))</f>
        <v>0</v>
      </c>
      <c r="AF86" s="242">
        <f>IF(AF$5="Actual",'Audited Balance Sheet Input'!V86,ROUND(AVERAGE(AC86:AE86),-3))</f>
        <v>0</v>
      </c>
      <c r="AG86" s="242">
        <f>IF(AG$5="Actual",'Audited Balance Sheet Input'!W86,ROUND(AVERAGE(AD86:AF86),-3))</f>
        <v>0</v>
      </c>
      <c r="AI86" s="77" t="s">
        <v>83</v>
      </c>
    </row>
    <row r="87" spans="1:36">
      <c r="A87" s="233"/>
      <c r="B87" s="267" t="s">
        <v>122</v>
      </c>
      <c r="C87" s="240"/>
      <c r="D87" s="240"/>
      <c r="E87" s="240"/>
      <c r="F87" s="240"/>
      <c r="L87" s="229"/>
      <c r="M87" s="229"/>
      <c r="N87" s="27"/>
      <c r="O87" s="27"/>
      <c r="P87" s="27"/>
      <c r="Q87" s="27"/>
      <c r="R87" s="27"/>
      <c r="S87" s="188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</row>
    <row r="88" spans="1:36">
      <c r="A88" s="233"/>
      <c r="C88" s="530"/>
      <c r="D88" s="530"/>
      <c r="E88" s="530"/>
      <c r="F88" s="530"/>
      <c r="G88" s="280" t="s">
        <v>123</v>
      </c>
      <c r="L88" s="229"/>
      <c r="M88" s="229"/>
      <c r="N88" s="27"/>
      <c r="O88" s="27"/>
      <c r="P88" s="27"/>
      <c r="Q88" s="27"/>
      <c r="R88" s="27"/>
      <c r="S88" s="188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</row>
    <row r="89" spans="1:36">
      <c r="A89" s="233"/>
      <c r="B89" s="281" t="s">
        <v>124</v>
      </c>
      <c r="C89" s="232"/>
      <c r="D89" s="232"/>
      <c r="E89" s="232"/>
      <c r="F89" s="232"/>
      <c r="L89" s="229"/>
      <c r="M89" s="229"/>
      <c r="N89" s="27"/>
      <c r="O89" s="27"/>
      <c r="P89" s="27"/>
      <c r="Q89" s="27"/>
      <c r="R89" s="27"/>
      <c r="S89" s="188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</row>
    <row r="90" spans="1:36" outlineLevel="1">
      <c r="A90" s="233"/>
      <c r="B90" s="233"/>
      <c r="C90" s="276" t="s">
        <v>125</v>
      </c>
      <c r="D90" s="233"/>
      <c r="E90" s="233"/>
      <c r="F90" s="233"/>
      <c r="H90" s="5" t="s">
        <v>101</v>
      </c>
      <c r="J90" s="617" t="s">
        <v>126</v>
      </c>
      <c r="L90" s="229"/>
      <c r="M90" s="229"/>
      <c r="N90" s="242">
        <f>-'1007'!H34</f>
        <v>-666588</v>
      </c>
      <c r="O90" s="242">
        <f>-'1007'!N34</f>
        <v>-644977</v>
      </c>
      <c r="P90" s="242">
        <f>-'1007'!T34</f>
        <v>-855062</v>
      </c>
      <c r="Q90" s="242">
        <f>-'1007'!Z34</f>
        <v>-657686</v>
      </c>
      <c r="R90" s="242">
        <f>-'1007'!AH34</f>
        <v>-868163</v>
      </c>
      <c r="S90" s="188"/>
      <c r="T90" s="242">
        <f>IF(T$5="Actual",'Audited Balance Sheet Input'!J90,-'1007'!AL34)</f>
        <v>-958024</v>
      </c>
      <c r="U90" s="242">
        <f>IF(U$5="Actual",'Audited Balance Sheet Input'!K90,-'1007'!AM34)</f>
        <v>-982476</v>
      </c>
      <c r="V90" s="242">
        <f>IF(V$5="Actual",'Audited Balance Sheet Input'!L90,-'1007'!AN34)</f>
        <v>-1095736</v>
      </c>
      <c r="W90" s="242">
        <f>IF(W$5="Actual",'Audited Balance Sheet Input'!M90,-'1007'!AO34)</f>
        <v>-1005458</v>
      </c>
      <c r="X90" s="242">
        <f>IF(X$5="Actual",'Audited Balance Sheet Input'!N90,-'1007'!AP34)</f>
        <v>-1028000</v>
      </c>
      <c r="Y90" s="242">
        <f>IF(Y$5="Actual",'Audited Balance Sheet Input'!O90,-'1007'!AQ34)</f>
        <v>-1043000</v>
      </c>
      <c r="Z90" s="242">
        <f>IF(Z$5="Actual",'Audited Balance Sheet Input'!P90,-'1007'!AR34)</f>
        <v>-1025000</v>
      </c>
      <c r="AA90" s="242">
        <f>IF(AA$5="Actual",'Audited Balance Sheet Input'!Q90,-'1007'!AS34)</f>
        <v>-1032000</v>
      </c>
      <c r="AB90" s="242">
        <f>IF(AB$5="Actual",'Audited Balance Sheet Input'!R90,-'1007'!AT34)</f>
        <v>-1033000</v>
      </c>
      <c r="AC90" s="242">
        <f>IF(AC$5="Actual",'Audited Balance Sheet Input'!S90,-'1007'!AU34)</f>
        <v>-1030000</v>
      </c>
      <c r="AD90" s="242">
        <f>IF(AD$5="Actual",'Audited Balance Sheet Input'!T90,-'1007'!AV34)</f>
        <v>-1032000</v>
      </c>
      <c r="AE90" s="242">
        <f>IF(AE$5="Actual",'Audited Balance Sheet Input'!U90,-'1007'!AW34)</f>
        <v>-1032000</v>
      </c>
      <c r="AF90" s="242">
        <f>IF(AF$5="Actual",'Audited Balance Sheet Input'!V90,-'1007'!AX34)</f>
        <v>-1031000</v>
      </c>
      <c r="AG90" s="242">
        <f>IF(AG$5="Actual",'Audited Balance Sheet Input'!W90,-'1007'!AY34)</f>
        <v>-1032000</v>
      </c>
      <c r="AI90" s="77">
        <v>1007</v>
      </c>
    </row>
    <row r="91" spans="1:36" outlineLevel="1">
      <c r="A91" s="233"/>
      <c r="B91" s="233"/>
      <c r="C91" s="276" t="s">
        <v>127</v>
      </c>
      <c r="D91" s="233"/>
      <c r="E91" s="233"/>
      <c r="F91" s="233"/>
      <c r="H91" s="5" t="s">
        <v>101</v>
      </c>
      <c r="J91" s="617" t="s">
        <v>126</v>
      </c>
      <c r="L91" s="229"/>
      <c r="M91" s="229"/>
      <c r="N91" s="242">
        <f>-'1007'!H35</f>
        <v>0</v>
      </c>
      <c r="O91" s="242">
        <f>-'1007'!N35</f>
        <v>0</v>
      </c>
      <c r="P91" s="242">
        <f>-'1007'!T35</f>
        <v>0</v>
      </c>
      <c r="Q91" s="242">
        <f>-'1007'!Z35</f>
        <v>0</v>
      </c>
      <c r="R91" s="242">
        <f>-'1007'!AH35</f>
        <v>0</v>
      </c>
      <c r="S91" s="188"/>
      <c r="T91" s="242">
        <f>IF(T$5="Actual",'Audited Balance Sheet Input'!J91,-'1007'!AL35)</f>
        <v>0</v>
      </c>
      <c r="U91" s="242">
        <f>IF(U$5="Actual",'Audited Balance Sheet Input'!K91,-'1007'!AM35)</f>
        <v>0</v>
      </c>
      <c r="V91" s="242">
        <f>IF(V$5="Actual",'Audited Balance Sheet Input'!L91,-'1007'!AN35)</f>
        <v>0</v>
      </c>
      <c r="W91" s="242">
        <f>IF(W$5="Actual",'Audited Balance Sheet Input'!M91,-'1007'!AO35)</f>
        <v>0</v>
      </c>
      <c r="X91" s="242">
        <f>IF(X$5="Actual",'Audited Balance Sheet Input'!N91,-'1007'!AP35)</f>
        <v>0</v>
      </c>
      <c r="Y91" s="242">
        <f>IF(Y$5="Actual",'Audited Balance Sheet Input'!O91,-'1007'!AQ35)</f>
        <v>0</v>
      </c>
      <c r="Z91" s="242">
        <f>IF(Z$5="Actual",'Audited Balance Sheet Input'!P91,-'1007'!AR35)</f>
        <v>0</v>
      </c>
      <c r="AA91" s="242">
        <f>IF(AA$5="Actual",'Audited Balance Sheet Input'!Q91,-'1007'!AS35)</f>
        <v>0</v>
      </c>
      <c r="AB91" s="242">
        <f>IF(AB$5="Actual",'Audited Balance Sheet Input'!R91,-'1007'!AT35)</f>
        <v>0</v>
      </c>
      <c r="AC91" s="242">
        <f>IF(AC$5="Actual",'Audited Balance Sheet Input'!S91,-'1007'!AU35)</f>
        <v>0</v>
      </c>
      <c r="AD91" s="242">
        <f>IF(AD$5="Actual",'Audited Balance Sheet Input'!T91,-'1007'!AV35)</f>
        <v>0</v>
      </c>
      <c r="AE91" s="242">
        <f>IF(AE$5="Actual",'Audited Balance Sheet Input'!U91,-'1007'!AW35)</f>
        <v>0</v>
      </c>
      <c r="AF91" s="242">
        <f>IF(AF$5="Actual",'Audited Balance Sheet Input'!V91,-'1007'!AX35)</f>
        <v>0</v>
      </c>
      <c r="AG91" s="242">
        <f>IF(AG$5="Actual",'Audited Balance Sheet Input'!W91,-'1007'!AY35)</f>
        <v>0</v>
      </c>
      <c r="AI91" s="77">
        <v>1007</v>
      </c>
    </row>
    <row r="92" spans="1:36" outlineLevel="1">
      <c r="A92" s="233"/>
      <c r="B92" s="233"/>
      <c r="C92" s="7" t="s">
        <v>525</v>
      </c>
      <c r="D92" s="233"/>
      <c r="E92" s="233"/>
      <c r="F92" s="233"/>
      <c r="H92" s="5" t="s">
        <v>101</v>
      </c>
      <c r="J92" s="617" t="s">
        <v>126</v>
      </c>
      <c r="L92" s="229"/>
      <c r="M92" s="229"/>
      <c r="N92" s="242">
        <f>-'1007'!H36</f>
        <v>0</v>
      </c>
      <c r="O92" s="242">
        <f>-'1007'!N36</f>
        <v>0</v>
      </c>
      <c r="P92" s="242">
        <f>-'1007'!T36</f>
        <v>0</v>
      </c>
      <c r="Q92" s="242">
        <f>-'1007'!Z36</f>
        <v>0</v>
      </c>
      <c r="R92" s="242">
        <f>-'1007'!AH36</f>
        <v>0</v>
      </c>
      <c r="S92" s="188"/>
      <c r="T92" s="242">
        <f>IF(T$5="Actual",'Audited Balance Sheet Input'!J92,-'1007'!AL36)</f>
        <v>0</v>
      </c>
      <c r="U92" s="242">
        <f>IF(U$5="Actual",'Audited Balance Sheet Input'!K92,-'1007'!AM36)</f>
        <v>0</v>
      </c>
      <c r="V92" s="242">
        <f>IF(V$5="Actual",'Audited Balance Sheet Input'!L92,-'1007'!AN36)</f>
        <v>0</v>
      </c>
      <c r="W92" s="242">
        <f>IF(W$5="Actual",'Audited Balance Sheet Input'!M92,-'1007'!AO36)</f>
        <v>0</v>
      </c>
      <c r="X92" s="242">
        <f>IF(X$5="Actual",'Audited Balance Sheet Input'!N92,-'1007'!AP36)</f>
        <v>0</v>
      </c>
      <c r="Y92" s="242">
        <f>IF(Y$5="Actual",'Audited Balance Sheet Input'!O92,-'1007'!AQ36)</f>
        <v>0</v>
      </c>
      <c r="Z92" s="242">
        <f>IF(Z$5="Actual",'Audited Balance Sheet Input'!P92,-'1007'!AR36)</f>
        <v>0</v>
      </c>
      <c r="AA92" s="242">
        <f>IF(AA$5="Actual",'Audited Balance Sheet Input'!Q92,-'1007'!AS36)</f>
        <v>0</v>
      </c>
      <c r="AB92" s="242">
        <f>IF(AB$5="Actual",'Audited Balance Sheet Input'!R92,-'1007'!AT36)</f>
        <v>0</v>
      </c>
      <c r="AC92" s="242">
        <f>IF(AC$5="Actual",'Audited Balance Sheet Input'!S92,-'1007'!AU36)</f>
        <v>0</v>
      </c>
      <c r="AD92" s="242">
        <f>IF(AD$5="Actual",'Audited Balance Sheet Input'!T92,-'1007'!AV36)</f>
        <v>0</v>
      </c>
      <c r="AE92" s="242">
        <f>IF(AE$5="Actual",'Audited Balance Sheet Input'!U92,-'1007'!AW36)</f>
        <v>0</v>
      </c>
      <c r="AF92" s="242">
        <f>IF(AF$5="Actual",'Audited Balance Sheet Input'!V92,-'1007'!AX36)</f>
        <v>0</v>
      </c>
      <c r="AG92" s="242">
        <f>IF(AG$5="Actual",'Audited Balance Sheet Input'!W92,-'1007'!AY36)</f>
        <v>0</v>
      </c>
      <c r="AI92" s="77">
        <v>1007</v>
      </c>
    </row>
    <row r="93" spans="1:36" outlineLevel="1">
      <c r="A93" s="233"/>
      <c r="B93" s="233"/>
      <c r="C93" s="7" t="s">
        <v>128</v>
      </c>
      <c r="D93" s="233"/>
      <c r="E93" s="233"/>
      <c r="F93" s="233"/>
      <c r="H93" s="5" t="s">
        <v>101</v>
      </c>
      <c r="J93" s="617" t="s">
        <v>126</v>
      </c>
      <c r="L93" s="229"/>
      <c r="M93" s="229"/>
      <c r="N93" s="242">
        <f>-'1007'!H37</f>
        <v>-150000</v>
      </c>
      <c r="O93" s="242">
        <f>-'1007'!N37</f>
        <v>0</v>
      </c>
      <c r="P93" s="242">
        <f>-'1007'!T37</f>
        <v>0</v>
      </c>
      <c r="Q93" s="242">
        <f>-'1007'!Z37</f>
        <v>0</v>
      </c>
      <c r="R93" s="242">
        <f>-'1007'!AH37</f>
        <v>0</v>
      </c>
      <c r="S93" s="188"/>
      <c r="T93" s="242">
        <f>IF(T$5="Actual",'Audited Balance Sheet Input'!J93,-'1007'!AL37)</f>
        <v>0</v>
      </c>
      <c r="U93" s="242">
        <f>IF(U$5="Actual",'Audited Balance Sheet Input'!K93,-'1007'!AM37)</f>
        <v>0</v>
      </c>
      <c r="V93" s="242">
        <f>IF(V$5="Actual",'Audited Balance Sheet Input'!L93,-'1007'!AN37)</f>
        <v>0</v>
      </c>
      <c r="W93" s="242">
        <f>IF(W$5="Actual",'Audited Balance Sheet Input'!M93,-'1007'!AO37)</f>
        <v>0</v>
      </c>
      <c r="X93" s="242">
        <f>IF(X$5="Actual",'Audited Balance Sheet Input'!N93,-'1007'!AP37)</f>
        <v>0</v>
      </c>
      <c r="Y93" s="242">
        <f>IF(Y$5="Actual",'Audited Balance Sheet Input'!O93,-'1007'!AQ37)</f>
        <v>0</v>
      </c>
      <c r="Z93" s="242">
        <f>IF(Z$5="Actual",'Audited Balance Sheet Input'!P93,-'1007'!AR37)</f>
        <v>0</v>
      </c>
      <c r="AA93" s="242">
        <f>IF(AA$5="Actual",'Audited Balance Sheet Input'!Q93,-'1007'!AS37)</f>
        <v>0</v>
      </c>
      <c r="AB93" s="242">
        <f>IF(AB$5="Actual",'Audited Balance Sheet Input'!R93,-'1007'!AT37)</f>
        <v>0</v>
      </c>
      <c r="AC93" s="242">
        <f>IF(AC$5="Actual",'Audited Balance Sheet Input'!S93,-'1007'!AU37)</f>
        <v>0</v>
      </c>
      <c r="AD93" s="242">
        <f>IF(AD$5="Actual",'Audited Balance Sheet Input'!T93,-'1007'!AV37)</f>
        <v>0</v>
      </c>
      <c r="AE93" s="242">
        <f>IF(AE$5="Actual",'Audited Balance Sheet Input'!U93,-'1007'!AW37)</f>
        <v>0</v>
      </c>
      <c r="AF93" s="242">
        <f>IF(AF$5="Actual",'Audited Balance Sheet Input'!V93,-'1007'!AX37)</f>
        <v>0</v>
      </c>
      <c r="AG93" s="242">
        <f>IF(AG$5="Actual",'Audited Balance Sheet Input'!W93,-'1007'!AY37)</f>
        <v>0</v>
      </c>
      <c r="AI93" s="77">
        <v>1007</v>
      </c>
    </row>
    <row r="94" spans="1:36" outlineLevel="1">
      <c r="A94" s="233"/>
      <c r="B94" s="233"/>
      <c r="C94" s="276" t="s">
        <v>129</v>
      </c>
      <c r="D94" s="233"/>
      <c r="E94" s="233"/>
      <c r="F94" s="233"/>
      <c r="H94" s="5" t="s">
        <v>101</v>
      </c>
      <c r="J94" s="617" t="s">
        <v>126</v>
      </c>
      <c r="L94" s="229"/>
      <c r="M94" s="229"/>
      <c r="N94" s="242">
        <f>-'1007'!H38</f>
        <v>-62267</v>
      </c>
      <c r="O94" s="242">
        <f>-'1007'!N38</f>
        <v>-54101</v>
      </c>
      <c r="P94" s="242">
        <f>-'1007'!T38</f>
        <v>-61102</v>
      </c>
      <c r="Q94" s="242">
        <f>-'1007'!Z38</f>
        <v>-114654</v>
      </c>
      <c r="R94" s="242">
        <f>-'1007'!AH38</f>
        <v>-146598</v>
      </c>
      <c r="S94" s="188"/>
      <c r="T94" s="242">
        <f>IF(T$5="Actual",'Audited Balance Sheet Input'!J94,-'1007'!AL38)</f>
        <v>-41595</v>
      </c>
      <c r="U94" s="242">
        <f>IF(U$5="Actual",'Audited Balance Sheet Input'!K94,-'1007'!AM38)</f>
        <v>-45277</v>
      </c>
      <c r="V94" s="242">
        <f>IF(V$5="Actual",'Audited Balance Sheet Input'!L94,-'1007'!AN38)</f>
        <v>-48898</v>
      </c>
      <c r="W94" s="242">
        <f>IF(W$5="Actual",'Audited Balance Sheet Input'!M94,-'1007'!AO38)</f>
        <v>-50461</v>
      </c>
      <c r="X94" s="242">
        <f>IF(X$5="Actual",'Audited Balance Sheet Input'!N94,-'1007'!AP38)</f>
        <v>0</v>
      </c>
      <c r="Y94" s="242">
        <f>IF(Y$5="Actual",'Audited Balance Sheet Input'!O94,-'1007'!AQ38)</f>
        <v>0</v>
      </c>
      <c r="Z94" s="242">
        <f>IF(Z$5="Actual",'Audited Balance Sheet Input'!P94,-'1007'!AR38)</f>
        <v>0</v>
      </c>
      <c r="AA94" s="242">
        <f>IF(AA$5="Actual",'Audited Balance Sheet Input'!Q94,-'1007'!AS38)</f>
        <v>0</v>
      </c>
      <c r="AB94" s="242">
        <f>IF(AB$5="Actual",'Audited Balance Sheet Input'!R94,-'1007'!AT38)</f>
        <v>0</v>
      </c>
      <c r="AC94" s="242">
        <f>IF(AC$5="Actual",'Audited Balance Sheet Input'!S94,-'1007'!AU38)</f>
        <v>0</v>
      </c>
      <c r="AD94" s="242">
        <f>IF(AD$5="Actual",'Audited Balance Sheet Input'!T94,-'1007'!AV38)</f>
        <v>0</v>
      </c>
      <c r="AE94" s="242">
        <f>IF(AE$5="Actual",'Audited Balance Sheet Input'!U94,-'1007'!AW38)</f>
        <v>0</v>
      </c>
      <c r="AF94" s="242">
        <f>IF(AF$5="Actual",'Audited Balance Sheet Input'!V94,-'1007'!AX38)</f>
        <v>0</v>
      </c>
      <c r="AG94" s="242">
        <f>IF(AG$5="Actual",'Audited Balance Sheet Input'!W94,-'1007'!AY38)</f>
        <v>0</v>
      </c>
      <c r="AI94" s="77">
        <v>1007</v>
      </c>
    </row>
    <row r="95" spans="1:36" outlineLevel="1">
      <c r="A95" s="233"/>
      <c r="B95" s="233"/>
      <c r="C95" s="276"/>
      <c r="D95" s="233"/>
      <c r="E95" s="233"/>
      <c r="F95" s="233"/>
      <c r="H95" s="5"/>
      <c r="J95" s="617"/>
      <c r="L95" s="229"/>
      <c r="M95" s="229"/>
      <c r="N95" s="242"/>
      <c r="O95" s="242"/>
      <c r="P95" s="242"/>
      <c r="Q95" s="242"/>
      <c r="R95" s="242"/>
      <c r="S95" s="188"/>
      <c r="T95" s="242"/>
      <c r="U95" s="242"/>
      <c r="V95" s="242"/>
      <c r="W95" s="242"/>
      <c r="X95" s="242"/>
      <c r="Y95" s="242"/>
      <c r="Z95" s="242"/>
      <c r="AA95" s="242"/>
      <c r="AB95" s="242"/>
      <c r="AC95" s="242"/>
      <c r="AD95" s="242"/>
      <c r="AE95" s="242"/>
      <c r="AF95" s="242"/>
      <c r="AG95" s="242"/>
      <c r="AJ95" s="430"/>
    </row>
    <row r="96" spans="1:36" outlineLevel="1">
      <c r="A96" s="233"/>
      <c r="B96" s="233"/>
      <c r="C96" s="276" t="s">
        <v>130</v>
      </c>
      <c r="D96" s="233"/>
      <c r="E96" s="233"/>
      <c r="F96" s="233"/>
      <c r="J96" s="617" t="s">
        <v>126</v>
      </c>
      <c r="L96" s="229"/>
      <c r="M96" s="229"/>
      <c r="N96" s="242"/>
      <c r="O96" s="242"/>
      <c r="P96" s="242">
        <f>-'1007'!T42</f>
        <v>0</v>
      </c>
      <c r="Q96" s="242">
        <f>-'1007'!Z42</f>
        <v>0</v>
      </c>
      <c r="R96" s="242">
        <f>-'1007'!AH42</f>
        <v>0</v>
      </c>
      <c r="S96" s="188"/>
      <c r="T96" s="242">
        <f>IF(T$5="Actual",'Audited Balance Sheet Input'!J96,-'1007'!AL40)</f>
        <v>0</v>
      </c>
      <c r="U96" s="242">
        <f>IF(U$5="Actual",'Audited Balance Sheet Input'!K96,-'1007'!AM40)</f>
        <v>0</v>
      </c>
      <c r="V96" s="242">
        <f>IF(V$5="Actual",'Audited Balance Sheet Input'!L96,-'1007'!AN40)</f>
        <v>0</v>
      </c>
      <c r="W96" s="242">
        <f>IF(W$5="Actual",'Audited Balance Sheet Input'!M96,-'1007'!AO40)</f>
        <v>0</v>
      </c>
      <c r="X96" s="242">
        <f>IF(X$5="Actual",'Audited Balance Sheet Input'!N96,-'1007'!AP40)</f>
        <v>0</v>
      </c>
      <c r="Y96" s="242">
        <f>IF(Y$5="Actual",'Audited Balance Sheet Input'!O96,-'1007'!AQ40)</f>
        <v>0</v>
      </c>
      <c r="Z96" s="242">
        <f>IF(Z$5="Actual",'Audited Balance Sheet Input'!P96,-'1007'!AR40)</f>
        <v>0</v>
      </c>
      <c r="AA96" s="242">
        <f>IF(AA$5="Actual",'Audited Balance Sheet Input'!Q96,-'1007'!AS40)</f>
        <v>0</v>
      </c>
      <c r="AB96" s="242">
        <f>IF(AB$5="Actual",'Audited Balance Sheet Input'!R96,-'1007'!AT40)</f>
        <v>0</v>
      </c>
      <c r="AC96" s="242">
        <f>IF(AC$5="Actual",'Audited Balance Sheet Input'!S96,-'1007'!AU40)</f>
        <v>0</v>
      </c>
      <c r="AD96" s="242">
        <f>IF(AD$5="Actual",'Audited Balance Sheet Input'!T96,-'1007'!AV40)</f>
        <v>0</v>
      </c>
      <c r="AE96" s="242">
        <f>IF(AE$5="Actual",'Audited Balance Sheet Input'!U96,-'1007'!AW40)</f>
        <v>0</v>
      </c>
      <c r="AF96" s="242">
        <f>IF(AF$5="Actual",'Audited Balance Sheet Input'!V96,-'1007'!AX40)</f>
        <v>0</v>
      </c>
      <c r="AG96" s="242">
        <f>IF(AG$5="Actual",'Audited Balance Sheet Input'!W96,-'1007'!AY40)</f>
        <v>0</v>
      </c>
      <c r="AI96" s="77">
        <v>1007</v>
      </c>
    </row>
    <row r="97" spans="1:36" outlineLevel="1">
      <c r="A97" s="233"/>
      <c r="B97" s="233"/>
      <c r="C97" s="276" t="s">
        <v>268</v>
      </c>
      <c r="D97" s="233"/>
      <c r="E97" s="233"/>
      <c r="F97" s="233"/>
      <c r="J97" s="617" t="s">
        <v>126</v>
      </c>
      <c r="L97" s="229"/>
      <c r="M97" s="229"/>
      <c r="N97" s="242"/>
      <c r="O97" s="242"/>
      <c r="P97" s="242"/>
      <c r="Q97" s="242"/>
      <c r="R97" s="242"/>
      <c r="S97" s="188"/>
      <c r="T97" s="242"/>
      <c r="U97" s="242"/>
      <c r="V97" s="242"/>
      <c r="W97" s="242"/>
      <c r="X97" s="242"/>
      <c r="Y97" s="242"/>
      <c r="Z97" s="242"/>
      <c r="AA97" s="242"/>
      <c r="AB97" s="242"/>
      <c r="AC97" s="242"/>
      <c r="AD97" s="242"/>
      <c r="AE97" s="242"/>
      <c r="AF97" s="242"/>
      <c r="AG97" s="242"/>
      <c r="AI97" s="77">
        <v>1007</v>
      </c>
    </row>
    <row r="98" spans="1:36">
      <c r="A98" s="233"/>
      <c r="B98" s="233"/>
      <c r="C98" s="281" t="s">
        <v>131</v>
      </c>
      <c r="D98" s="233"/>
      <c r="E98" s="233"/>
      <c r="F98" s="233"/>
      <c r="L98" s="229"/>
      <c r="M98" s="229"/>
      <c r="N98" s="59"/>
      <c r="O98" s="59"/>
      <c r="P98" s="59"/>
      <c r="Q98" s="59"/>
      <c r="R98" s="59"/>
      <c r="S98" s="188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</row>
    <row r="99" spans="1:36" outlineLevel="1">
      <c r="A99" s="233"/>
      <c r="B99" s="233"/>
      <c r="D99" s="276"/>
      <c r="E99" s="233"/>
      <c r="F99" s="233"/>
      <c r="J99" s="617"/>
      <c r="L99" s="229"/>
      <c r="M99" s="229"/>
      <c r="N99" s="242"/>
      <c r="O99" s="242"/>
      <c r="P99" s="242"/>
      <c r="Q99" s="242"/>
      <c r="R99" s="242"/>
      <c r="S99" s="188"/>
      <c r="T99" s="217"/>
      <c r="U99" s="217"/>
      <c r="V99" s="217"/>
      <c r="W99" s="217"/>
      <c r="X99" s="217"/>
      <c r="Y99" s="217"/>
      <c r="Z99" s="217"/>
      <c r="AA99" s="217"/>
      <c r="AB99" s="217"/>
      <c r="AC99" s="217"/>
      <c r="AD99" s="217"/>
      <c r="AE99" s="217"/>
      <c r="AF99" s="217"/>
      <c r="AG99" s="217"/>
      <c r="AJ99" s="77"/>
    </row>
    <row r="100" spans="1:36" outlineLevel="1">
      <c r="A100" s="233"/>
      <c r="B100" s="233"/>
      <c r="D100" s="276" t="s">
        <v>428</v>
      </c>
      <c r="E100" s="233"/>
      <c r="F100" s="233"/>
      <c r="J100" s="617" t="s">
        <v>126</v>
      </c>
      <c r="L100" s="229"/>
      <c r="M100" s="229"/>
      <c r="N100" s="283"/>
      <c r="O100" s="283"/>
      <c r="P100" s="283">
        <f>-'1007'!T44</f>
        <v>0</v>
      </c>
      <c r="Q100" s="283">
        <f>-'1007'!Z44</f>
        <v>0</v>
      </c>
      <c r="R100" s="283">
        <f>-'1007'!AH44</f>
        <v>0</v>
      </c>
      <c r="S100" s="188"/>
      <c r="T100" s="342"/>
      <c r="U100" s="342"/>
      <c r="V100" s="342"/>
      <c r="W100" s="342"/>
      <c r="X100" s="342"/>
      <c r="Y100" s="342"/>
      <c r="Z100" s="342"/>
      <c r="AA100" s="342"/>
      <c r="AB100" s="342"/>
      <c r="AC100" s="342"/>
      <c r="AD100" s="342"/>
      <c r="AE100" s="342"/>
      <c r="AF100" s="342"/>
      <c r="AG100" s="342"/>
      <c r="AJ100" s="57"/>
    </row>
    <row r="101" spans="1:36" s="57" customFormat="1">
      <c r="A101" s="232"/>
      <c r="B101" s="232"/>
      <c r="C101" s="281" t="s">
        <v>132</v>
      </c>
      <c r="D101" s="232"/>
      <c r="E101" s="232"/>
      <c r="F101" s="232"/>
      <c r="G101" s="56"/>
      <c r="H101" s="51"/>
      <c r="I101" s="56"/>
      <c r="J101" s="451"/>
      <c r="K101" s="95"/>
      <c r="L101" s="231"/>
      <c r="M101" s="231"/>
      <c r="N101" s="371">
        <f>+N99+N100</f>
        <v>0</v>
      </c>
      <c r="O101" s="371">
        <f>+O99+O100</f>
        <v>0</v>
      </c>
      <c r="P101" s="371">
        <f>+P99+P100</f>
        <v>0</v>
      </c>
      <c r="Q101" s="371">
        <f>+Q99+Q100</f>
        <v>0</v>
      </c>
      <c r="R101" s="371">
        <f>+R99+R100</f>
        <v>0</v>
      </c>
      <c r="S101" s="177"/>
      <c r="T101" s="371">
        <f>+T99+T100</f>
        <v>0</v>
      </c>
      <c r="U101" s="61">
        <f t="shared" ref="U101:AE101" si="24">+U99+U100</f>
        <v>0</v>
      </c>
      <c r="V101" s="61">
        <f t="shared" si="24"/>
        <v>0</v>
      </c>
      <c r="W101" s="61">
        <f t="shared" si="24"/>
        <v>0</v>
      </c>
      <c r="X101" s="61">
        <f t="shared" si="24"/>
        <v>0</v>
      </c>
      <c r="Y101" s="61">
        <f t="shared" si="24"/>
        <v>0</v>
      </c>
      <c r="Z101" s="61">
        <f t="shared" si="24"/>
        <v>0</v>
      </c>
      <c r="AA101" s="61">
        <f t="shared" si="24"/>
        <v>0</v>
      </c>
      <c r="AB101" s="61">
        <f t="shared" si="24"/>
        <v>0</v>
      </c>
      <c r="AC101" s="61">
        <f t="shared" si="24"/>
        <v>0</v>
      </c>
      <c r="AD101" s="61">
        <f t="shared" si="24"/>
        <v>0</v>
      </c>
      <c r="AE101" s="61">
        <f t="shared" si="24"/>
        <v>0</v>
      </c>
      <c r="AF101" s="61">
        <f t="shared" ref="AF101:AG101" si="25">+AF99+AF100</f>
        <v>0</v>
      </c>
      <c r="AG101" s="61">
        <f t="shared" si="25"/>
        <v>0</v>
      </c>
      <c r="AH101" s="77"/>
      <c r="AI101" s="77"/>
    </row>
    <row r="102" spans="1:36" outlineLevel="1">
      <c r="A102" s="233"/>
      <c r="B102" s="233"/>
      <c r="C102" s="276" t="s">
        <v>497</v>
      </c>
      <c r="D102" s="233"/>
      <c r="E102" s="233"/>
      <c r="F102" s="233"/>
      <c r="G102" s="5" t="s">
        <v>133</v>
      </c>
      <c r="J102" s="621">
        <v>4002</v>
      </c>
      <c r="L102" s="229"/>
      <c r="M102" s="229"/>
      <c r="N102" s="242">
        <f>-'4002'!D17</f>
        <v>-3000000</v>
      </c>
      <c r="O102" s="242">
        <f>-'4002'!E17</f>
        <v>-3000000</v>
      </c>
      <c r="P102" s="242">
        <f>-'4002'!F17</f>
        <v>-3000000</v>
      </c>
      <c r="Q102" s="242">
        <f>-'4002'!G17</f>
        <v>-3000000</v>
      </c>
      <c r="R102" s="242">
        <f>-'4002'!H17</f>
        <v>-3000000</v>
      </c>
      <c r="S102" s="188"/>
      <c r="T102" s="242">
        <f>IF(T$5="Actual",0,-'4002'!I17)</f>
        <v>0</v>
      </c>
      <c r="U102" s="242">
        <f>IF(U$5="Actual",0,-'4002'!J17)</f>
        <v>0</v>
      </c>
      <c r="V102" s="242">
        <f>IF(V$5="Actual",0,-'4002'!K17)</f>
        <v>0</v>
      </c>
      <c r="W102" s="242">
        <f>IF(W$5="Actual",0,-'4002'!L17)</f>
        <v>0</v>
      </c>
      <c r="X102" s="242">
        <f>IF(X$5="Actual",0,-'4002'!M17)</f>
        <v>-3000000</v>
      </c>
      <c r="Y102" s="242">
        <f>IF(Y$5="Actual",0,-'4002'!N17)</f>
        <v>-3000000</v>
      </c>
      <c r="Z102" s="242">
        <f>IF(Z$5="Actual",0,-'4002'!O17)</f>
        <v>-3000000</v>
      </c>
      <c r="AA102" s="242">
        <f>IF(AA$5="Actual",0,-'4002'!P17)</f>
        <v>-3000000</v>
      </c>
      <c r="AB102" s="242">
        <f>IF(AB$5="Actual",0,-'4002'!Q17)</f>
        <v>-3000000</v>
      </c>
      <c r="AC102" s="242">
        <f>IF(AC$5="Actual",0,-'4002'!R17)</f>
        <v>-3000000</v>
      </c>
      <c r="AD102" s="242">
        <f>IF(AD$5="Actual",0,-'4002'!S17)</f>
        <v>-3000000</v>
      </c>
      <c r="AE102" s="242">
        <f>IF(AE$5="Actual",0,-'4002'!T17)</f>
        <v>-3000000</v>
      </c>
      <c r="AF102" s="242">
        <f>IF(AF$5="Actual",0,-'4002'!U17)</f>
        <v>-3000000</v>
      </c>
      <c r="AG102" s="242">
        <f>IF(AG$5="Actual",0,-'4002'!V17)</f>
        <v>-3000000</v>
      </c>
      <c r="AI102" s="77">
        <v>4002</v>
      </c>
    </row>
    <row r="103" spans="1:36" s="52" customFormat="1">
      <c r="A103" s="251"/>
      <c r="B103" s="233"/>
      <c r="C103" s="276"/>
      <c r="D103" s="233"/>
      <c r="E103" s="233"/>
      <c r="F103" s="531"/>
      <c r="J103" s="622"/>
      <c r="K103" s="254"/>
      <c r="L103" s="255"/>
      <c r="M103" s="255"/>
      <c r="N103" s="106">
        <f>N104+'Audited FS'!N38-N102</f>
        <v>0</v>
      </c>
      <c r="O103" s="106">
        <f>O104+'Audited FS'!O38-O102</f>
        <v>0</v>
      </c>
      <c r="P103" s="106">
        <f>P104+'Audited FS'!P38-P102</f>
        <v>0</v>
      </c>
      <c r="Q103" s="106">
        <f>Q104+'Audited FS'!Q38-Q102</f>
        <v>0</v>
      </c>
      <c r="R103" s="106">
        <f>R104+'Audited FS'!R38-R102</f>
        <v>0</v>
      </c>
      <c r="S103" s="257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77"/>
      <c r="AI103" s="77"/>
    </row>
    <row r="104" spans="1:36" s="57" customFormat="1">
      <c r="A104" s="232"/>
      <c r="B104" s="281" t="s">
        <v>134</v>
      </c>
      <c r="C104" s="232"/>
      <c r="D104" s="232"/>
      <c r="E104" s="232"/>
      <c r="F104" s="232"/>
      <c r="G104" s="56"/>
      <c r="H104" s="51"/>
      <c r="I104" s="56"/>
      <c r="J104" s="451"/>
      <c r="K104" s="95"/>
      <c r="L104" s="231"/>
      <c r="M104" s="231"/>
      <c r="N104" s="371">
        <f>SUM(N90:N96,N101,N102)</f>
        <v>-3878855</v>
      </c>
      <c r="O104" s="371">
        <f>SUM(O90:O96,O101,O102)</f>
        <v>-3699078</v>
      </c>
      <c r="P104" s="371">
        <f>SUM(P90:P96,P101,P102)</f>
        <v>-3916164</v>
      </c>
      <c r="Q104" s="371">
        <f>SUM(Q90:Q96,Q101,Q102)</f>
        <v>-3772340</v>
      </c>
      <c r="R104" s="371">
        <f>SUM(R90:R96,R101,R102)</f>
        <v>-4014761</v>
      </c>
      <c r="S104" s="177"/>
      <c r="T104" s="371">
        <f>SUM(T90:T97,T101,T102)</f>
        <v>-999619</v>
      </c>
      <c r="U104" s="371">
        <f t="shared" ref="U104:AE104" si="26">SUM(U90:U97,U101,U102)</f>
        <v>-1027753</v>
      </c>
      <c r="V104" s="371">
        <f t="shared" si="26"/>
        <v>-1144634</v>
      </c>
      <c r="W104" s="371">
        <f t="shared" si="26"/>
        <v>-1055919</v>
      </c>
      <c r="X104" s="371">
        <f t="shared" si="26"/>
        <v>-4028000</v>
      </c>
      <c r="Y104" s="371">
        <f t="shared" si="26"/>
        <v>-4043000</v>
      </c>
      <c r="Z104" s="371">
        <f t="shared" si="26"/>
        <v>-4025000</v>
      </c>
      <c r="AA104" s="371">
        <f t="shared" si="26"/>
        <v>-4032000</v>
      </c>
      <c r="AB104" s="371">
        <f t="shared" si="26"/>
        <v>-4033000</v>
      </c>
      <c r="AC104" s="371">
        <f t="shared" si="26"/>
        <v>-4030000</v>
      </c>
      <c r="AD104" s="371">
        <f t="shared" si="26"/>
        <v>-4032000</v>
      </c>
      <c r="AE104" s="371">
        <f t="shared" si="26"/>
        <v>-4032000</v>
      </c>
      <c r="AF104" s="371">
        <f t="shared" ref="AF104:AG104" si="27">SUM(AF90:AF97,AF101,AF102)</f>
        <v>-4031000</v>
      </c>
      <c r="AG104" s="371">
        <f t="shared" si="27"/>
        <v>-4032000</v>
      </c>
      <c r="AH104" s="77"/>
      <c r="AI104" s="77"/>
    </row>
    <row r="105" spans="1:36">
      <c r="A105" s="233"/>
      <c r="B105" s="281" t="s">
        <v>135</v>
      </c>
      <c r="C105" s="232"/>
      <c r="D105" s="232"/>
      <c r="E105" s="232"/>
      <c r="F105" s="232"/>
      <c r="L105" s="229"/>
      <c r="M105" s="229"/>
      <c r="N105" s="27"/>
      <c r="O105" s="27"/>
      <c r="P105" s="27"/>
      <c r="Q105" s="27"/>
      <c r="R105" s="27"/>
      <c r="S105" s="188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</row>
    <row r="106" spans="1:36" outlineLevel="1">
      <c r="A106" s="233"/>
      <c r="B106" s="233"/>
      <c r="C106" s="276" t="s">
        <v>125</v>
      </c>
      <c r="D106" s="233"/>
      <c r="E106" s="233"/>
      <c r="F106" s="233"/>
      <c r="H106" s="5" t="s">
        <v>101</v>
      </c>
      <c r="J106" s="617" t="s">
        <v>126</v>
      </c>
      <c r="L106" s="229"/>
      <c r="M106" s="229"/>
      <c r="N106" s="242">
        <f>-'1007'!I34</f>
        <v>-698726</v>
      </c>
      <c r="O106" s="242">
        <f>-'1007'!O34</f>
        <v>-876628</v>
      </c>
      <c r="P106" s="242">
        <f>-'1007'!U34</f>
        <v>-637105</v>
      </c>
      <c r="Q106" s="242">
        <f>-'1007'!AA34</f>
        <v>-1052170</v>
      </c>
      <c r="R106" s="242">
        <f>-'1007'!AI34</f>
        <v>-953049</v>
      </c>
      <c r="S106" s="188"/>
      <c r="T106" s="242">
        <f>IF(T$5="Actual",'Audited Balance Sheet Input'!J106,-'1007'!BB34)</f>
        <v>-773416</v>
      </c>
      <c r="U106" s="242">
        <f>IF(U$5="Actual",'Audited Balance Sheet Input'!K106,-'1007'!BC34)</f>
        <v>-678289</v>
      </c>
      <c r="V106" s="242">
        <f>IF(V$5="Actual",'Audited Balance Sheet Input'!L106,-'1007'!BD34)</f>
        <v>-494627</v>
      </c>
      <c r="W106" s="242">
        <f>IF(W$5="Actual",'Audited Balance Sheet Input'!M106,-'1007'!BE34)</f>
        <v>-417670</v>
      </c>
      <c r="X106" s="242">
        <f>IF(X$5="Actual",'Audited Balance Sheet Input'!N106,-'1007'!BF34)</f>
        <v>-530000</v>
      </c>
      <c r="Y106" s="242">
        <f>IF(Y$5="Actual",'Audited Balance Sheet Input'!O106,-'1007'!BG34)</f>
        <v>-481000</v>
      </c>
      <c r="Z106" s="242">
        <f>IF(Z$5="Actual",'Audited Balance Sheet Input'!P106,-'1007'!BH34)</f>
        <v>-476000</v>
      </c>
      <c r="AA106" s="242">
        <f>IF(AA$5="Actual",'Audited Balance Sheet Input'!Q106,-'1007'!BI34)</f>
        <v>-496000</v>
      </c>
      <c r="AB106" s="242">
        <f>IF(AB$5="Actual",'Audited Balance Sheet Input'!R106,-'1007'!BJ34)</f>
        <v>-484000</v>
      </c>
      <c r="AC106" s="242">
        <f>IF(AC$5="Actual",'Audited Balance Sheet Input'!S106,-'1007'!BK34)</f>
        <v>-485000</v>
      </c>
      <c r="AD106" s="242">
        <f>IF(AD$5="Actual",'Audited Balance Sheet Input'!T106,-'1007'!BL34)</f>
        <v>-488000</v>
      </c>
      <c r="AE106" s="242">
        <f>IF(AE$5="Actual",'Audited Balance Sheet Input'!U106,-'1007'!BM34)</f>
        <v>-486000</v>
      </c>
      <c r="AF106" s="242">
        <f>IF(AF$5="Actual",'Audited Balance Sheet Input'!V106,-'1007'!BN34)</f>
        <v>-486000</v>
      </c>
      <c r="AG106" s="242">
        <f>IF(AG$5="Actual",'Audited Balance Sheet Input'!W106,-'1007'!BO34)</f>
        <v>-487000</v>
      </c>
      <c r="AI106" s="77">
        <v>1007</v>
      </c>
    </row>
    <row r="107" spans="1:36" outlineLevel="1">
      <c r="A107" s="233"/>
      <c r="B107" s="233"/>
      <c r="C107" s="276" t="s">
        <v>127</v>
      </c>
      <c r="D107" s="233"/>
      <c r="E107" s="233"/>
      <c r="F107" s="233"/>
      <c r="H107" s="5" t="s">
        <v>101</v>
      </c>
      <c r="J107" s="617" t="s">
        <v>126</v>
      </c>
      <c r="L107" s="229"/>
      <c r="M107" s="229"/>
      <c r="N107" s="242">
        <f>-'1007'!I35</f>
        <v>-408834</v>
      </c>
      <c r="O107" s="242">
        <f>-'1007'!O35</f>
        <v>-178987</v>
      </c>
      <c r="P107" s="242">
        <f>-'1007'!U35</f>
        <v>-59545</v>
      </c>
      <c r="Q107" s="242">
        <f>-'1007'!AA35</f>
        <v>-47818</v>
      </c>
      <c r="R107" s="242">
        <f>-'1007'!AI35</f>
        <v>-47818</v>
      </c>
      <c r="S107" s="188"/>
      <c r="T107" s="242">
        <f>IF(T$5="Actual",'Audited Balance Sheet Input'!J107,-'1007'!BB35)</f>
        <v>0</v>
      </c>
      <c r="U107" s="242">
        <f>IF(U$5="Actual",'Audited Balance Sheet Input'!K107,-'1007'!BC35)</f>
        <v>0</v>
      </c>
      <c r="V107" s="242">
        <f>IF(V$5="Actual",'Audited Balance Sheet Input'!L107,-'1007'!BD35)</f>
        <v>0</v>
      </c>
      <c r="W107" s="242">
        <f>IF(W$5="Actual",'Audited Balance Sheet Input'!M107,-'1007'!BE35)</f>
        <v>0</v>
      </c>
      <c r="X107" s="242">
        <f>IF(X$5="Actual",'Audited Balance Sheet Input'!N107,-'1007'!BF35)</f>
        <v>0</v>
      </c>
      <c r="Y107" s="242">
        <f>IF(Y$5="Actual",'Audited Balance Sheet Input'!O107,-'1007'!BG35)</f>
        <v>0</v>
      </c>
      <c r="Z107" s="242">
        <f>IF(Z$5="Actual",'Audited Balance Sheet Input'!P107,-'1007'!BH35)</f>
        <v>0</v>
      </c>
      <c r="AA107" s="242">
        <f>IF(AA$5="Actual",'Audited Balance Sheet Input'!Q107,-'1007'!BI35)</f>
        <v>0</v>
      </c>
      <c r="AB107" s="242">
        <f>IF(AB$5="Actual",'Audited Balance Sheet Input'!R107,-'1007'!BJ35)</f>
        <v>0</v>
      </c>
      <c r="AC107" s="242">
        <f>IF(AC$5="Actual",'Audited Balance Sheet Input'!S107,-'1007'!BK35)</f>
        <v>0</v>
      </c>
      <c r="AD107" s="242">
        <f>IF(AD$5="Actual",'Audited Balance Sheet Input'!T107,-'1007'!BL35)</f>
        <v>0</v>
      </c>
      <c r="AE107" s="242">
        <f>IF(AE$5="Actual",'Audited Balance Sheet Input'!U107,-'1007'!BM35)</f>
        <v>0</v>
      </c>
      <c r="AF107" s="242">
        <f>IF(AF$5="Actual",'Audited Balance Sheet Input'!V107,-'1007'!BN35)</f>
        <v>0</v>
      </c>
      <c r="AG107" s="242">
        <f>IF(AG$5="Actual",'Audited Balance Sheet Input'!W107,-'1007'!BO35)</f>
        <v>0</v>
      </c>
      <c r="AI107" s="77">
        <v>1007</v>
      </c>
    </row>
    <row r="108" spans="1:36" outlineLevel="1">
      <c r="A108" s="233"/>
      <c r="B108" s="233"/>
      <c r="C108" s="7" t="s">
        <v>525</v>
      </c>
      <c r="D108" s="233"/>
      <c r="E108" s="233"/>
      <c r="F108" s="233"/>
      <c r="H108" s="5" t="s">
        <v>101</v>
      </c>
      <c r="J108" s="617" t="s">
        <v>126</v>
      </c>
      <c r="L108" s="229"/>
      <c r="M108" s="229"/>
      <c r="N108" s="242">
        <f>-'1007'!I36</f>
        <v>0</v>
      </c>
      <c r="O108" s="242">
        <f>-'1007'!O36</f>
        <v>0</v>
      </c>
      <c r="P108" s="242">
        <f>-'1007'!U36</f>
        <v>0</v>
      </c>
      <c r="Q108" s="242">
        <f>-'1007'!AA36</f>
        <v>0</v>
      </c>
      <c r="R108" s="242">
        <f>-'1007'!AI36</f>
        <v>0</v>
      </c>
      <c r="S108" s="188"/>
      <c r="T108" s="242">
        <f>IF(T$5="Actual",'Audited Balance Sheet Input'!J108,-'1007'!BB36)</f>
        <v>0</v>
      </c>
      <c r="U108" s="242">
        <f>IF(U$5="Actual",'Audited Balance Sheet Input'!K108,-'1007'!BC36)</f>
        <v>0</v>
      </c>
      <c r="V108" s="242">
        <f>IF(V$5="Actual",'Audited Balance Sheet Input'!L108,-'1007'!BD36)</f>
        <v>0</v>
      </c>
      <c r="W108" s="242">
        <f>IF(W$5="Actual",'Audited Balance Sheet Input'!M108,-'1007'!BE36)</f>
        <v>0</v>
      </c>
      <c r="X108" s="242">
        <f>IF(X$5="Actual",'Audited Balance Sheet Input'!N108,-'1007'!BF36)</f>
        <v>0</v>
      </c>
      <c r="Y108" s="242">
        <f>IF(Y$5="Actual",'Audited Balance Sheet Input'!O108,-'1007'!BG36)</f>
        <v>0</v>
      </c>
      <c r="Z108" s="242">
        <f>IF(Z$5="Actual",'Audited Balance Sheet Input'!P108,-'1007'!BH36)</f>
        <v>0</v>
      </c>
      <c r="AA108" s="242">
        <f>IF(AA$5="Actual",'Audited Balance Sheet Input'!Q108,-'1007'!BI36)</f>
        <v>0</v>
      </c>
      <c r="AB108" s="242">
        <f>IF(AB$5="Actual",'Audited Balance Sheet Input'!R108,-'1007'!BJ36)</f>
        <v>0</v>
      </c>
      <c r="AC108" s="242">
        <f>IF(AC$5="Actual",'Audited Balance Sheet Input'!S108,-'1007'!BK36)</f>
        <v>0</v>
      </c>
      <c r="AD108" s="242">
        <f>IF(AD$5="Actual",'Audited Balance Sheet Input'!T108,-'1007'!BL36)</f>
        <v>0</v>
      </c>
      <c r="AE108" s="242">
        <f>IF(AE$5="Actual",'Audited Balance Sheet Input'!U108,-'1007'!BM36)</f>
        <v>0</v>
      </c>
      <c r="AF108" s="242">
        <f>IF(AF$5="Actual",'Audited Balance Sheet Input'!V108,-'1007'!BN36)</f>
        <v>0</v>
      </c>
      <c r="AG108" s="242">
        <f>IF(AG$5="Actual",'Audited Balance Sheet Input'!W108,-'1007'!BO36)</f>
        <v>0</v>
      </c>
      <c r="AI108" s="77">
        <v>1007</v>
      </c>
    </row>
    <row r="109" spans="1:36" outlineLevel="1">
      <c r="A109" s="233"/>
      <c r="B109" s="233"/>
      <c r="C109" s="7" t="s">
        <v>128</v>
      </c>
      <c r="D109" s="233"/>
      <c r="E109" s="233"/>
      <c r="F109" s="233"/>
      <c r="H109" s="5" t="s">
        <v>101</v>
      </c>
      <c r="J109" s="617" t="s">
        <v>126</v>
      </c>
      <c r="L109" s="229"/>
      <c r="M109" s="229"/>
      <c r="N109" s="242">
        <f>-'1007'!I37</f>
        <v>0</v>
      </c>
      <c r="O109" s="242">
        <f>-'1007'!O37</f>
        <v>0</v>
      </c>
      <c r="P109" s="242">
        <f>-'1007'!U37</f>
        <v>0</v>
      </c>
      <c r="Q109" s="242">
        <f>-'1007'!AA37</f>
        <v>0</v>
      </c>
      <c r="R109" s="242">
        <f>-'1007'!AI37</f>
        <v>0</v>
      </c>
      <c r="S109" s="188"/>
      <c r="T109" s="242">
        <f>IF(T$5="Actual",'Audited Balance Sheet Input'!J109,-'1007'!BB37)</f>
        <v>0</v>
      </c>
      <c r="U109" s="242">
        <f>IF(U$5="Actual",'Audited Balance Sheet Input'!K109,-'1007'!BC37)</f>
        <v>0</v>
      </c>
      <c r="V109" s="242">
        <f>IF(V$5="Actual",'Audited Balance Sheet Input'!L109,-'1007'!BD37)</f>
        <v>0</v>
      </c>
      <c r="W109" s="242">
        <f>IF(W$5="Actual",'Audited Balance Sheet Input'!M109,-'1007'!BE37)</f>
        <v>0</v>
      </c>
      <c r="X109" s="242">
        <f>IF(X$5="Actual",'Audited Balance Sheet Input'!N109,-'1007'!BF37)</f>
        <v>0</v>
      </c>
      <c r="Y109" s="242">
        <f>IF(Y$5="Actual",'Audited Balance Sheet Input'!O109,-'1007'!BG37)</f>
        <v>0</v>
      </c>
      <c r="Z109" s="242">
        <f>IF(Z$5="Actual",'Audited Balance Sheet Input'!P109,-'1007'!BH37)</f>
        <v>0</v>
      </c>
      <c r="AA109" s="242">
        <f>IF(AA$5="Actual",'Audited Balance Sheet Input'!Q109,-'1007'!BI37)</f>
        <v>0</v>
      </c>
      <c r="AB109" s="242">
        <f>IF(AB$5="Actual",'Audited Balance Sheet Input'!R109,-'1007'!BJ37)</f>
        <v>0</v>
      </c>
      <c r="AC109" s="242">
        <f>IF(AC$5="Actual",'Audited Balance Sheet Input'!S109,-'1007'!BK37)</f>
        <v>0</v>
      </c>
      <c r="AD109" s="242">
        <f>IF(AD$5="Actual",'Audited Balance Sheet Input'!T109,-'1007'!BL37)</f>
        <v>0</v>
      </c>
      <c r="AE109" s="242">
        <f>IF(AE$5="Actual",'Audited Balance Sheet Input'!U109,-'1007'!BM37)</f>
        <v>0</v>
      </c>
      <c r="AF109" s="242">
        <f>IF(AF$5="Actual",'Audited Balance Sheet Input'!V109,-'1007'!BN37)</f>
        <v>0</v>
      </c>
      <c r="AG109" s="242">
        <f>IF(AG$5="Actual",'Audited Balance Sheet Input'!W109,-'1007'!BO37)</f>
        <v>0</v>
      </c>
      <c r="AI109" s="77">
        <v>1007</v>
      </c>
    </row>
    <row r="110" spans="1:36" outlineLevel="1">
      <c r="A110" s="233"/>
      <c r="B110" s="233"/>
      <c r="C110" s="276" t="s">
        <v>129</v>
      </c>
      <c r="D110" s="233"/>
      <c r="E110" s="233"/>
      <c r="F110" s="233"/>
      <c r="H110" s="5" t="s">
        <v>101</v>
      </c>
      <c r="J110" s="617" t="s">
        <v>126</v>
      </c>
      <c r="L110" s="229"/>
      <c r="M110" s="229"/>
      <c r="N110" s="242">
        <f>-'1007'!I38</f>
        <v>-77471</v>
      </c>
      <c r="O110" s="242">
        <f>-'1007'!O38</f>
        <v>-179311</v>
      </c>
      <c r="P110" s="242">
        <f>-'1007'!U38</f>
        <v>-128831</v>
      </c>
      <c r="Q110" s="242">
        <f>-'1007'!AA38</f>
        <v>-145484</v>
      </c>
      <c r="R110" s="242">
        <f>-'1007'!AI38</f>
        <v>-42283</v>
      </c>
      <c r="S110" s="188"/>
      <c r="T110" s="242">
        <f>IF(T$5="Actual",'Audited Balance Sheet Input'!J110,-'1007'!BB38)</f>
        <v>-688</v>
      </c>
      <c r="U110" s="242">
        <f>IF(U$5="Actual",'Audited Balance Sheet Input'!K110,-'1007'!BC38)</f>
        <v>-167694</v>
      </c>
      <c r="V110" s="242">
        <f>IF(V$5="Actual",'Audited Balance Sheet Input'!L110,-'1007'!BD38)</f>
        <v>-131617</v>
      </c>
      <c r="W110" s="242">
        <f>IF(W$5="Actual",'Audited Balance Sheet Input'!M110,-'1007'!BE38)</f>
        <v>-81808</v>
      </c>
      <c r="X110" s="242">
        <f>IF(X$5="Actual",'Audited Balance Sheet Input'!N110,-'1007'!BF38)</f>
        <v>0</v>
      </c>
      <c r="Y110" s="242">
        <f>IF(Y$5="Actual",'Audited Balance Sheet Input'!O110,-'1007'!BG38)</f>
        <v>0</v>
      </c>
      <c r="Z110" s="242">
        <f>IF(Z$5="Actual",'Audited Balance Sheet Input'!P110,-'1007'!BH38)</f>
        <v>0</v>
      </c>
      <c r="AA110" s="242">
        <f>IF(AA$5="Actual",'Audited Balance Sheet Input'!Q110,-'1007'!BI38)</f>
        <v>0</v>
      </c>
      <c r="AB110" s="242">
        <f>IF(AB$5="Actual",'Audited Balance Sheet Input'!R110,-'1007'!BJ38)</f>
        <v>0</v>
      </c>
      <c r="AC110" s="242">
        <f>IF(AC$5="Actual",'Audited Balance Sheet Input'!S110,-'1007'!BK38)</f>
        <v>0</v>
      </c>
      <c r="AD110" s="242">
        <f>IF(AD$5="Actual",'Audited Balance Sheet Input'!T110,-'1007'!BL38)</f>
        <v>0</v>
      </c>
      <c r="AE110" s="242">
        <f>IF(AE$5="Actual",'Audited Balance Sheet Input'!U110,-'1007'!BM38)</f>
        <v>0</v>
      </c>
      <c r="AF110" s="242">
        <f>IF(AF$5="Actual",'Audited Balance Sheet Input'!V110,-'1007'!BN38)</f>
        <v>0</v>
      </c>
      <c r="AG110" s="242">
        <f>IF(AG$5="Actual",'Audited Balance Sheet Input'!W110,-'1007'!BO38)</f>
        <v>0</v>
      </c>
      <c r="AI110" s="77">
        <v>1007</v>
      </c>
    </row>
    <row r="111" spans="1:36" outlineLevel="1">
      <c r="A111" s="233"/>
      <c r="B111" s="233"/>
      <c r="C111" s="276"/>
      <c r="D111" s="233"/>
      <c r="E111" s="233"/>
      <c r="F111" s="233"/>
      <c r="H111" s="5"/>
      <c r="J111" s="617"/>
      <c r="L111" s="229"/>
      <c r="M111" s="229"/>
      <c r="N111" s="242"/>
      <c r="O111" s="242"/>
      <c r="P111" s="242"/>
      <c r="Q111" s="242"/>
      <c r="R111" s="242"/>
      <c r="S111" s="188"/>
      <c r="T111" s="242"/>
      <c r="U111" s="242"/>
      <c r="V111" s="242"/>
      <c r="W111" s="242"/>
      <c r="X111" s="242"/>
      <c r="Y111" s="242"/>
      <c r="Z111" s="242"/>
      <c r="AA111" s="242"/>
      <c r="AB111" s="242"/>
      <c r="AC111" s="242"/>
      <c r="AD111" s="242"/>
      <c r="AE111" s="242"/>
      <c r="AF111" s="242"/>
      <c r="AG111" s="242"/>
      <c r="AJ111" s="430"/>
    </row>
    <row r="112" spans="1:36" outlineLevel="1">
      <c r="A112" s="233"/>
      <c r="B112" s="233"/>
      <c r="C112" s="276" t="s">
        <v>130</v>
      </c>
      <c r="D112" s="233"/>
      <c r="E112" s="233"/>
      <c r="F112" s="233"/>
      <c r="H112" s="5" t="s">
        <v>101</v>
      </c>
      <c r="J112" s="617" t="s">
        <v>126</v>
      </c>
      <c r="L112" s="229"/>
      <c r="M112" s="229"/>
      <c r="N112" s="242"/>
      <c r="O112" s="242"/>
      <c r="P112" s="242">
        <f>-'1007'!U40</f>
        <v>0</v>
      </c>
      <c r="Q112" s="242">
        <f>-'1007'!AA40</f>
        <v>0</v>
      </c>
      <c r="R112" s="242">
        <f>-'1007'!AI40</f>
        <v>-20322122</v>
      </c>
      <c r="S112" s="188"/>
      <c r="T112" s="242">
        <f>IF(T$5="Actual",'Audited Balance Sheet Input'!J112,-'1007'!BB40)</f>
        <v>-21773504</v>
      </c>
      <c r="U112" s="242">
        <f>IF(U$5="Actual",'Audited Balance Sheet Input'!K112,-'1007'!BC40)</f>
        <v>-32669717</v>
      </c>
      <c r="V112" s="242">
        <f>IF(V$5="Actual",'Audited Balance Sheet Input'!L112,-'1007'!BD40)</f>
        <v>-31892391</v>
      </c>
      <c r="W112" s="242">
        <f>IF(W$5="Actual",'Audited Balance Sheet Input'!M112,-'1007'!BE40)</f>
        <v>-32698545</v>
      </c>
      <c r="X112" s="242">
        <f>IF(X$5="Actual",'Audited Balance Sheet Input'!N112,-'1007'!BF40)</f>
        <v>-32420217.666666668</v>
      </c>
      <c r="Y112" s="242">
        <f>IF(Y$5="Actual",'Audited Balance Sheet Input'!O112,-'1007'!BG40)</f>
        <v>-32337051.222222224</v>
      </c>
      <c r="Z112" s="242">
        <f>IF(Z$5="Actual",'Audited Balance Sheet Input'!P112,-'1007'!BH40)</f>
        <v>-32485271.296296299</v>
      </c>
      <c r="AA112" s="242">
        <f>IF(AA$5="Actual",'Audited Balance Sheet Input'!Q112,-'1007'!BI40)</f>
        <v>-32414180.061728399</v>
      </c>
      <c r="AB112" s="242">
        <f>IF(AB$5="Actual",'Audited Balance Sheet Input'!R112,-'1007'!BJ40)</f>
        <v>-32412167.526748974</v>
      </c>
      <c r="AC112" s="242">
        <f>IF(AC$5="Actual",'Audited Balance Sheet Input'!S112,-'1007'!BK40)</f>
        <v>-32437206.294924557</v>
      </c>
      <c r="AD112" s="242">
        <f>IF(AD$5="Actual",'Audited Balance Sheet Input'!T112,-'1007'!BL40)</f>
        <v>-32421184.627800643</v>
      </c>
      <c r="AE112" s="242">
        <f>IF(AE$5="Actual",'Audited Balance Sheet Input'!U112,-'1007'!BM40)</f>
        <v>-32423519.483158056</v>
      </c>
      <c r="AF112" s="242">
        <f>IF(AF$5="Actual",'Audited Balance Sheet Input'!V112,-'1007'!BN40)</f>
        <v>-32427303.468627751</v>
      </c>
      <c r="AG112" s="242">
        <f>IF(AG$5="Actual",'Audited Balance Sheet Input'!W112,-'1007'!BO40)</f>
        <v>-32424002.526528817</v>
      </c>
      <c r="AI112" s="77">
        <v>1007</v>
      </c>
    </row>
    <row r="113" spans="1:36" outlineLevel="1">
      <c r="A113" s="233"/>
      <c r="B113" s="233"/>
      <c r="C113" s="276" t="s">
        <v>136</v>
      </c>
      <c r="D113" s="233"/>
      <c r="E113" s="233"/>
      <c r="F113" s="233"/>
      <c r="H113" s="5"/>
      <c r="J113" s="617" t="s">
        <v>126</v>
      </c>
      <c r="L113" s="229"/>
      <c r="M113" s="229"/>
      <c r="N113" s="242"/>
      <c r="O113" s="242"/>
      <c r="P113" s="242"/>
      <c r="Q113" s="242"/>
      <c r="R113" s="242"/>
      <c r="S113" s="188"/>
      <c r="T113" s="242">
        <f>IF(T$5="Actual",'Audited Balance Sheet Input'!J113,-'1007'!BB41)</f>
        <v>0</v>
      </c>
      <c r="U113" s="242">
        <f>IF(U$5="Actual",'Audited Balance Sheet Input'!K113,-'1007'!BC41)</f>
        <v>0</v>
      </c>
      <c r="V113" s="242">
        <f>IF(V$5="Actual",'Audited Balance Sheet Input'!L113,-'1007'!BD41)</f>
        <v>-33325299</v>
      </c>
      <c r="W113" s="242">
        <f>IF(W$5="Actual",'Audited Balance Sheet Input'!M113,-'1007'!BE41)</f>
        <v>-33586793</v>
      </c>
      <c r="X113" s="242">
        <f>IF(X$5="Actual",'Audited Balance Sheet Input'!N113,-'1007'!BF41)</f>
        <v>-33586793</v>
      </c>
      <c r="Y113" s="242">
        <f>IF(Y$5="Actual",'Audited Balance Sheet Input'!O113,-'1007'!BG41)</f>
        <v>-33499628.333333332</v>
      </c>
      <c r="Z113" s="242">
        <f>IF(Z$5="Actual",'Audited Balance Sheet Input'!P113,-'1007'!BH41)</f>
        <v>-33557738.111111112</v>
      </c>
      <c r="AA113" s="242">
        <f>IF(AA$5="Actual",'Audited Balance Sheet Input'!Q113,-'1007'!BI41)</f>
        <v>-33548053.148148149</v>
      </c>
      <c r="AB113" s="242">
        <f>IF(AB$5="Actual",'Audited Balance Sheet Input'!R113,-'1007'!BJ41)</f>
        <v>-33535139.864197534</v>
      </c>
      <c r="AC113" s="242">
        <f>IF(AC$5="Actual",'Audited Balance Sheet Input'!S113,-'1007'!BK41)</f>
        <v>-33546977.041152265</v>
      </c>
      <c r="AD113" s="242">
        <f>IF(AD$5="Actual",'Audited Balance Sheet Input'!T113,-'1007'!BL41)</f>
        <v>-33543390.017832652</v>
      </c>
      <c r="AE113" s="242">
        <f>IF(AE$5="Actual",'Audited Balance Sheet Input'!U113,-'1007'!BM41)</f>
        <v>-33541835.641060818</v>
      </c>
      <c r="AF113" s="242">
        <f>IF(AF$5="Actual",'Audited Balance Sheet Input'!V113,-'1007'!BN41)</f>
        <v>-33544067.56668191</v>
      </c>
      <c r="AG113" s="242">
        <f>IF(AG$5="Actual",'Audited Balance Sheet Input'!W113,-'1007'!BO41)</f>
        <v>-33543097.741858456</v>
      </c>
      <c r="AI113" s="77">
        <v>1007</v>
      </c>
    </row>
    <row r="114" spans="1:36">
      <c r="A114" s="233"/>
      <c r="B114" s="233"/>
      <c r="C114" s="281" t="s">
        <v>131</v>
      </c>
      <c r="D114" s="233"/>
      <c r="E114" s="233"/>
      <c r="F114" s="233"/>
      <c r="H114" s="5"/>
      <c r="J114" s="621"/>
      <c r="L114" s="229"/>
      <c r="M114" s="229"/>
      <c r="N114" s="27"/>
      <c r="O114" s="27"/>
      <c r="P114" s="59"/>
      <c r="Q114" s="59"/>
      <c r="R114" s="59"/>
      <c r="S114" s="188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</row>
    <row r="115" spans="1:36" outlineLevel="1">
      <c r="A115" s="233"/>
      <c r="B115" s="233"/>
      <c r="D115" s="276"/>
      <c r="E115" s="233"/>
      <c r="F115" s="233"/>
      <c r="H115" s="5"/>
      <c r="I115" s="287"/>
      <c r="J115" s="644"/>
      <c r="L115" s="229"/>
      <c r="M115" s="229"/>
      <c r="N115" s="242"/>
      <c r="O115" s="242"/>
      <c r="P115" s="242"/>
      <c r="Q115" s="242"/>
      <c r="R115" s="242"/>
      <c r="S115" s="188"/>
      <c r="T115" s="217"/>
      <c r="U115" s="217"/>
      <c r="V115" s="217"/>
      <c r="W115" s="217"/>
      <c r="X115" s="217"/>
      <c r="Y115" s="217"/>
      <c r="Z115" s="217"/>
      <c r="AA115" s="217"/>
      <c r="AB115" s="217"/>
      <c r="AC115" s="217"/>
      <c r="AD115" s="217"/>
      <c r="AE115" s="217"/>
      <c r="AF115" s="217"/>
      <c r="AG115" s="217"/>
      <c r="AJ115" s="77"/>
    </row>
    <row r="116" spans="1:36" outlineLevel="1">
      <c r="A116" s="233"/>
      <c r="B116" s="233"/>
      <c r="D116" s="276" t="s">
        <v>427</v>
      </c>
      <c r="E116" s="233"/>
      <c r="F116" s="233"/>
      <c r="G116" s="5" t="s">
        <v>422</v>
      </c>
      <c r="H116" s="5" t="s">
        <v>101</v>
      </c>
      <c r="J116" s="617">
        <v>4001</v>
      </c>
      <c r="L116" s="229"/>
      <c r="M116" s="229"/>
      <c r="N116" s="283"/>
      <c r="O116" s="283"/>
      <c r="P116" s="283">
        <f>-'1007'!U43</f>
        <v>0</v>
      </c>
      <c r="Q116" s="283">
        <f>-'1007'!AA43</f>
        <v>0</v>
      </c>
      <c r="R116" s="283">
        <f>-'1007'!AI43</f>
        <v>-755500</v>
      </c>
      <c r="S116" s="188"/>
      <c r="T116" s="342">
        <f>-'4001'!E39</f>
        <v>-3700000</v>
      </c>
      <c r="U116" s="342">
        <f>-'4001'!F39</f>
        <v>-3700000</v>
      </c>
      <c r="V116" s="342">
        <f>-'4001'!G39</f>
        <v>-3193142.8571428573</v>
      </c>
      <c r="W116" s="342">
        <f>-'4001'!H39</f>
        <v>-2686285.7142857146</v>
      </c>
      <c r="X116" s="342">
        <f>-'4001'!I39</f>
        <v>-2179428.5714285718</v>
      </c>
      <c r="Y116" s="342">
        <f>-'4001'!J39</f>
        <v>-1672571.4285714291</v>
      </c>
      <c r="Z116" s="342">
        <f>-'4001'!K39</f>
        <v>-1165714.2857142864</v>
      </c>
      <c r="AA116" s="342">
        <f>-'4001'!L39</f>
        <v>-658857.14285714354</v>
      </c>
      <c r="AB116" s="342">
        <f>-'4001'!M39</f>
        <v>-152000.0000000007</v>
      </c>
      <c r="AC116" s="342">
        <f>-'4001'!N39</f>
        <v>0</v>
      </c>
      <c r="AD116" s="342">
        <f>-'4001'!O39</f>
        <v>0</v>
      </c>
      <c r="AE116" s="342">
        <f>-'4001'!P39</f>
        <v>0</v>
      </c>
      <c r="AF116" s="342">
        <f>-'4001'!S39</f>
        <v>0</v>
      </c>
      <c r="AG116" s="342">
        <f>-'4001'!T39</f>
        <v>0</v>
      </c>
      <c r="AI116" s="77">
        <v>4001</v>
      </c>
    </row>
    <row r="117" spans="1:36" s="57" customFormat="1">
      <c r="A117" s="232"/>
      <c r="B117" s="232"/>
      <c r="C117" s="281" t="s">
        <v>132</v>
      </c>
      <c r="D117" s="232"/>
      <c r="E117" s="232"/>
      <c r="F117" s="232"/>
      <c r="G117" s="56"/>
      <c r="H117" s="56"/>
      <c r="I117" s="56"/>
      <c r="J117" s="451"/>
      <c r="K117" s="95"/>
      <c r="L117" s="231"/>
      <c r="M117" s="231"/>
      <c r="N117" s="371">
        <f>+N115+N116</f>
        <v>0</v>
      </c>
      <c r="O117" s="371">
        <f>+O115+O116</f>
        <v>0</v>
      </c>
      <c r="P117" s="371">
        <f>+P115+P116</f>
        <v>0</v>
      </c>
      <c r="Q117" s="371">
        <f>+Q115+Q116</f>
        <v>0</v>
      </c>
      <c r="R117" s="63">
        <f>+R115+R116</f>
        <v>-755500</v>
      </c>
      <c r="S117" s="177"/>
      <c r="T117" s="63">
        <f>+T115+T116</f>
        <v>-3700000</v>
      </c>
      <c r="U117" s="61">
        <f t="shared" ref="U117:AE117" si="28">+U115+U116</f>
        <v>-3700000</v>
      </c>
      <c r="V117" s="61">
        <f t="shared" si="28"/>
        <v>-3193142.8571428573</v>
      </c>
      <c r="W117" s="61">
        <f t="shared" si="28"/>
        <v>-2686285.7142857146</v>
      </c>
      <c r="X117" s="61">
        <f t="shared" si="28"/>
        <v>-2179428.5714285718</v>
      </c>
      <c r="Y117" s="61">
        <f t="shared" si="28"/>
        <v>-1672571.4285714291</v>
      </c>
      <c r="Z117" s="61">
        <f t="shared" si="28"/>
        <v>-1165714.2857142864</v>
      </c>
      <c r="AA117" s="61">
        <f t="shared" si="28"/>
        <v>-658857.14285714354</v>
      </c>
      <c r="AB117" s="61">
        <f t="shared" si="28"/>
        <v>-152000.0000000007</v>
      </c>
      <c r="AC117" s="61">
        <f t="shared" si="28"/>
        <v>0</v>
      </c>
      <c r="AD117" s="61">
        <f t="shared" si="28"/>
        <v>0</v>
      </c>
      <c r="AE117" s="61">
        <f t="shared" si="28"/>
        <v>0</v>
      </c>
      <c r="AF117" s="61">
        <f t="shared" ref="AF117:AG117" si="29">+AF115+AF116</f>
        <v>0</v>
      </c>
      <c r="AG117" s="61">
        <f t="shared" si="29"/>
        <v>0</v>
      </c>
      <c r="AH117" s="77"/>
      <c r="AI117" s="77"/>
    </row>
    <row r="118" spans="1:36" outlineLevel="1">
      <c r="A118" s="233"/>
      <c r="B118" s="233"/>
      <c r="C118" s="276" t="s">
        <v>497</v>
      </c>
      <c r="D118" s="233"/>
      <c r="E118" s="233"/>
      <c r="F118" s="233"/>
      <c r="G118" s="5" t="s">
        <v>133</v>
      </c>
      <c r="H118" s="5" t="s">
        <v>101</v>
      </c>
      <c r="J118" s="621">
        <v>4002</v>
      </c>
      <c r="L118" s="229"/>
      <c r="M118" s="229"/>
      <c r="N118" s="242">
        <f>-'4002'!D18</f>
        <v>-84000000</v>
      </c>
      <c r="O118" s="242">
        <f>-'4002'!E18</f>
        <v>-81000000</v>
      </c>
      <c r="P118" s="242">
        <f>-'4002'!F18</f>
        <v>-78000000</v>
      </c>
      <c r="Q118" s="242">
        <f>-'4002'!G18</f>
        <v>-75000000</v>
      </c>
      <c r="R118" s="242">
        <f>-'4002'!H18</f>
        <v>-72000000</v>
      </c>
      <c r="S118" s="188"/>
      <c r="T118" s="242">
        <f>-'4002'!I18</f>
        <v>-69000000</v>
      </c>
      <c r="U118" s="242">
        <f>-'4002'!J18</f>
        <v>-66000000</v>
      </c>
      <c r="V118" s="242">
        <f>-'4002'!K18</f>
        <v>-63000000</v>
      </c>
      <c r="W118" s="242">
        <f>-'4002'!L19</f>
        <v>-39000000</v>
      </c>
      <c r="X118" s="242">
        <f>-'4002'!M19</f>
        <v>-36000000</v>
      </c>
      <c r="Y118" s="242">
        <f>-'4002'!N19</f>
        <v>-33000000</v>
      </c>
      <c r="Z118" s="242">
        <f>-'4002'!O19</f>
        <v>-30000000</v>
      </c>
      <c r="AA118" s="242">
        <f>-'4002'!P19</f>
        <v>-27000000</v>
      </c>
      <c r="AB118" s="242">
        <f>-'4002'!Q19</f>
        <v>-24000000</v>
      </c>
      <c r="AC118" s="242">
        <f>-'4002'!R19</f>
        <v>-21000000</v>
      </c>
      <c r="AD118" s="242">
        <f>-'4002'!S19</f>
        <v>-18000000</v>
      </c>
      <c r="AE118" s="242">
        <f>-'4002'!T19</f>
        <v>-15000000</v>
      </c>
      <c r="AF118" s="242">
        <f>-'4002'!U19</f>
        <v>-12000000</v>
      </c>
      <c r="AG118" s="242">
        <f>-'4002'!V19</f>
        <v>-9000000</v>
      </c>
      <c r="AI118" s="77">
        <v>4002</v>
      </c>
    </row>
    <row r="119" spans="1:36" s="52" customFormat="1">
      <c r="A119" s="251"/>
      <c r="B119" s="233"/>
      <c r="C119" s="276"/>
      <c r="D119" s="233"/>
      <c r="E119" s="233"/>
      <c r="F119" s="382"/>
      <c r="H119" s="5"/>
      <c r="J119" s="622"/>
      <c r="K119" s="254"/>
      <c r="L119" s="255"/>
      <c r="M119" s="255"/>
      <c r="N119" s="106">
        <f>N120+'Audited FS'!N39-N118</f>
        <v>0</v>
      </c>
      <c r="O119" s="106">
        <f>O120+'Audited FS'!O39-O118</f>
        <v>0</v>
      </c>
      <c r="P119" s="106">
        <f>P120+'Audited FS'!P39-P118</f>
        <v>22974500</v>
      </c>
      <c r="Q119" s="106">
        <f>Q120+'Audited FS'!Q39-Q118</f>
        <v>27294500</v>
      </c>
      <c r="R119" s="106">
        <f>R120+'Audited FS'!R39-R118</f>
        <v>27636420</v>
      </c>
      <c r="S119" s="257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77"/>
      <c r="AI119" s="77"/>
    </row>
    <row r="120" spans="1:36" s="57" customFormat="1">
      <c r="A120" s="232"/>
      <c r="B120" s="281" t="s">
        <v>137</v>
      </c>
      <c r="C120" s="232"/>
      <c r="D120" s="232"/>
      <c r="E120" s="232"/>
      <c r="F120" s="232"/>
      <c r="G120" s="56"/>
      <c r="H120" s="51"/>
      <c r="I120" s="56"/>
      <c r="J120" s="451"/>
      <c r="K120" s="95"/>
      <c r="L120" s="231"/>
      <c r="M120" s="231"/>
      <c r="N120" s="63">
        <f t="shared" ref="N120:Q120" si="30">SUM(N106:N113,N117,N118)</f>
        <v>-85185031</v>
      </c>
      <c r="O120" s="63">
        <f t="shared" si="30"/>
        <v>-82234926</v>
      </c>
      <c r="P120" s="63">
        <f>SUM(P106:P113,P117,P118)</f>
        <v>-78825481</v>
      </c>
      <c r="Q120" s="63">
        <f t="shared" si="30"/>
        <v>-76245472</v>
      </c>
      <c r="R120" s="63">
        <f>SUM(R106:R113,R117,R118)</f>
        <v>-94120772</v>
      </c>
      <c r="S120" s="177"/>
      <c r="T120" s="63">
        <f>SUM(T106:T113,T117,T118)</f>
        <v>-95247608</v>
      </c>
      <c r="U120" s="63">
        <f>SUM(U106:U113,U117,U118)</f>
        <v>-103215700</v>
      </c>
      <c r="V120" s="63">
        <f>SUM(V106:V113,V117,V118)</f>
        <v>-132037076.85714285</v>
      </c>
      <c r="W120" s="63">
        <f t="shared" ref="W120:AE120" si="31">SUM(W106:W113,W117,W118)</f>
        <v>-108471101.71428572</v>
      </c>
      <c r="X120" s="63">
        <f t="shared" si="31"/>
        <v>-104716439.23809524</v>
      </c>
      <c r="Y120" s="63">
        <f t="shared" si="31"/>
        <v>-100990250.98412699</v>
      </c>
      <c r="Z120" s="63">
        <f t="shared" si="31"/>
        <v>-97684723.693121701</v>
      </c>
      <c r="AA120" s="63">
        <f t="shared" si="31"/>
        <v>-94117090.352733701</v>
      </c>
      <c r="AB120" s="63">
        <f t="shared" si="31"/>
        <v>-90583307.390946507</v>
      </c>
      <c r="AC120" s="63">
        <f t="shared" si="31"/>
        <v>-87469183.336076826</v>
      </c>
      <c r="AD120" s="63">
        <f t="shared" si="31"/>
        <v>-84452574.645633295</v>
      </c>
      <c r="AE120" s="63">
        <f t="shared" si="31"/>
        <v>-81451355.124218881</v>
      </c>
      <c r="AF120" s="63">
        <f t="shared" ref="AF120:AG120" si="32">SUM(AF106:AF113,AF117,AF118)</f>
        <v>-78457371.035309657</v>
      </c>
      <c r="AG120" s="63">
        <f t="shared" si="32"/>
        <v>-75454100.268387273</v>
      </c>
      <c r="AH120" s="77"/>
      <c r="AI120" s="77"/>
    </row>
    <row r="121" spans="1:36" s="57" customFormat="1">
      <c r="A121" s="232"/>
      <c r="B121" s="235"/>
      <c r="C121" s="249"/>
      <c r="D121" s="249"/>
      <c r="E121" s="249"/>
      <c r="F121" s="250" t="s">
        <v>138</v>
      </c>
      <c r="G121" s="306"/>
      <c r="H121" s="601"/>
      <c r="I121" s="306"/>
      <c r="J121" s="618"/>
      <c r="K121" s="78"/>
      <c r="L121" s="315"/>
      <c r="M121" s="231"/>
      <c r="N121" s="316">
        <f>+N84+N85+N86+N104+N120</f>
        <v>-105514811</v>
      </c>
      <c r="O121" s="316">
        <f>+O84+O85+O86+O104+O120</f>
        <v>-94399612</v>
      </c>
      <c r="P121" s="316">
        <f>+P84+P85+P86+P104+P120</f>
        <v>-92224464</v>
      </c>
      <c r="Q121" s="316">
        <f>+Q84+Q85+Q86+Q104+Q120</f>
        <v>-98206236</v>
      </c>
      <c r="R121" s="316">
        <f>+R84+R85+R86+R104+R120</f>
        <v>-105914662</v>
      </c>
      <c r="S121" s="147"/>
      <c r="T121" s="316">
        <f>+T84+T85+T86+T104+T120</f>
        <v>-106260432</v>
      </c>
      <c r="U121" s="316">
        <f t="shared" ref="U121:AE121" si="33">+U84+U85+U86+U104+U120</f>
        <v>-110768026</v>
      </c>
      <c r="V121" s="316">
        <f t="shared" si="33"/>
        <v>-140739520.85714287</v>
      </c>
      <c r="W121" s="316">
        <f>+W84+W85+W86+W104+W120</f>
        <v>-116557616.71428572</v>
      </c>
      <c r="X121" s="316">
        <f t="shared" si="33"/>
        <v>-115781439.23809524</v>
      </c>
      <c r="Y121" s="316">
        <f t="shared" si="33"/>
        <v>-112241250.98412699</v>
      </c>
      <c r="Z121" s="316">
        <f t="shared" si="33"/>
        <v>-108801723.6931217</v>
      </c>
      <c r="AA121" s="316">
        <f t="shared" si="33"/>
        <v>-105261090.3527337</v>
      </c>
      <c r="AB121" s="316">
        <f t="shared" si="33"/>
        <v>-101753307.39094651</v>
      </c>
      <c r="AC121" s="316">
        <f>+AC84+AC85+AC86+AC104+AC120</f>
        <v>-98613183.336076826</v>
      </c>
      <c r="AD121" s="316">
        <f t="shared" si="33"/>
        <v>-95605574.645633295</v>
      </c>
      <c r="AE121" s="316">
        <f t="shared" si="33"/>
        <v>-92607355.124218881</v>
      </c>
      <c r="AF121" s="316">
        <f t="shared" ref="AF121:AG121" si="34">+AF84+AF85+AF86+AF104+AF120</f>
        <v>-89608371.035309657</v>
      </c>
      <c r="AG121" s="316">
        <f t="shared" si="34"/>
        <v>-86607100.268387273</v>
      </c>
      <c r="AH121" s="77"/>
      <c r="AI121" s="77"/>
    </row>
    <row r="122" spans="1:36">
      <c r="A122" s="258"/>
      <c r="B122" s="246"/>
      <c r="C122" s="246"/>
      <c r="D122" s="246"/>
      <c r="E122" s="246"/>
      <c r="F122" s="246"/>
      <c r="L122" s="229"/>
      <c r="M122" s="229"/>
      <c r="T122" s="67"/>
    </row>
    <row r="123" spans="1:36" outlineLevel="1">
      <c r="A123" s="233"/>
      <c r="B123" s="276" t="s">
        <v>139</v>
      </c>
      <c r="C123" s="233"/>
      <c r="D123" s="233"/>
      <c r="E123" s="233"/>
      <c r="F123" s="233"/>
      <c r="J123" s="617" t="s">
        <v>78</v>
      </c>
      <c r="L123" s="50"/>
      <c r="M123" s="50"/>
      <c r="N123" s="473">
        <f>-'Audited FS'!N42</f>
        <v>0</v>
      </c>
      <c r="O123" s="473">
        <f>-'Audited FS'!O42</f>
        <v>0</v>
      </c>
      <c r="P123" s="473">
        <f>-'Audited FS'!P42</f>
        <v>0</v>
      </c>
      <c r="Q123" s="473">
        <f>-'Audited FS'!Q42</f>
        <v>0</v>
      </c>
      <c r="R123" s="473">
        <f>-'Audited FS'!R42</f>
        <v>-2300531</v>
      </c>
      <c r="S123" s="288"/>
      <c r="T123" s="242">
        <f>IF(T$5="Actual",'Audited Balance Sheet Input'!J123,0)</f>
        <v>-1413791</v>
      </c>
      <c r="U123" s="242">
        <f>IF(U$5="Actual",'Audited Balance Sheet Input'!K123,0)</f>
        <v>-575904</v>
      </c>
      <c r="V123" s="242">
        <f>IF(V$5="Actual",'Audited Balance Sheet Input'!L123,0)</f>
        <v>-420848</v>
      </c>
      <c r="W123" s="242">
        <f>IF(W$5="Actual",'Audited Balance Sheet Input'!M123,ROUND(AVERAGE(T123:V123),-3))</f>
        <v>-528581</v>
      </c>
      <c r="X123" s="242">
        <f>IF(X$5="Actual",'Audited Balance Sheet Input'!N123,ROUND(AVERAGE(U123:W123),-3))</f>
        <v>-508000</v>
      </c>
      <c r="Y123" s="242">
        <f>IF(Y$5="Actual",'Audited Balance Sheet Input'!O123,ROUND(AVERAGE(V123:X123),-3))</f>
        <v>-486000</v>
      </c>
      <c r="Z123" s="242">
        <f>IF(Z$5="Actual",'Audited Balance Sheet Input'!P123,ROUND(AVERAGE(W123:Y123),-3))</f>
        <v>-508000</v>
      </c>
      <c r="AA123" s="242">
        <f>IF(AA$5="Actual",'Audited Balance Sheet Input'!Q123,ROUND(AVERAGE(X123:Z123),-3))</f>
        <v>-501000</v>
      </c>
      <c r="AB123" s="242">
        <f>IF(AB$5="Actual",'Audited Balance Sheet Input'!R123,ROUND(AVERAGE(Y123:AA123),-3))</f>
        <v>-498000</v>
      </c>
      <c r="AC123" s="242">
        <f>IF(AC$5="Actual",'Audited Balance Sheet Input'!S123,ROUND(AVERAGE(Z123:AB123),-3))</f>
        <v>-502000</v>
      </c>
      <c r="AD123" s="242">
        <f>IF(AD$5="Actual",'Audited Balance Sheet Input'!T123,ROUND(AVERAGE(AA123:AC123),-3))</f>
        <v>-500000</v>
      </c>
      <c r="AE123" s="242">
        <f>IF(AE$5="Actual",'Audited Balance Sheet Input'!U123,ROUND(AVERAGE(AB123:AD123),-3))</f>
        <v>-500000</v>
      </c>
      <c r="AF123" s="242">
        <f>IF(AF$5="Actual",'Audited Balance Sheet Input'!V123,ROUND(AVERAGE(AC123:AE123),-3))</f>
        <v>-501000</v>
      </c>
      <c r="AG123" s="242">
        <f>IF(AG$5="Actual",'Audited Balance Sheet Input'!W123,ROUND(AVERAGE(AD123:AF123),-3))</f>
        <v>-500000</v>
      </c>
    </row>
    <row r="124" spans="1:36" outlineLevel="1">
      <c r="A124" s="233"/>
      <c r="B124" s="276" t="s">
        <v>140</v>
      </c>
      <c r="C124" s="233"/>
      <c r="D124" s="233"/>
      <c r="E124" s="233"/>
      <c r="F124" s="233"/>
      <c r="J124" s="617" t="s">
        <v>78</v>
      </c>
      <c r="L124" s="50"/>
      <c r="M124" s="50"/>
      <c r="N124" s="473"/>
      <c r="O124" s="473"/>
      <c r="P124" s="473"/>
      <c r="Q124" s="473"/>
      <c r="R124" s="473"/>
      <c r="S124" s="288"/>
      <c r="T124" s="283">
        <f>IF(T$5="Actual",'Audited Balance Sheet Input'!J124,0)</f>
        <v>0</v>
      </c>
      <c r="U124" s="283">
        <f>IF(U$5="Actual",'Audited Balance Sheet Input'!K124,0)</f>
        <v>0</v>
      </c>
      <c r="V124" s="283">
        <f>IF(V$5="Actual",'Audited Balance Sheet Input'!L124,0)</f>
        <v>-38288</v>
      </c>
      <c r="W124" s="242">
        <f>IF(W$5="Actual",'Audited Balance Sheet Input'!M124,V124)</f>
        <v>-521102</v>
      </c>
      <c r="X124" s="283">
        <f>IF(X$5="Actual",'Audited Balance Sheet Input'!N124,W124)</f>
        <v>-521102</v>
      </c>
      <c r="Y124" s="283">
        <f>IF(Y$5="Actual",'Audited Balance Sheet Input'!O124,X124)</f>
        <v>-521102</v>
      </c>
      <c r="Z124" s="283">
        <f>IF(Z$5="Actual",'Audited Balance Sheet Input'!P124,Y124)</f>
        <v>-521102</v>
      </c>
      <c r="AA124" s="283">
        <f>IF(AA$5="Actual",'Audited Balance Sheet Input'!Q124,Z124)</f>
        <v>-521102</v>
      </c>
      <c r="AB124" s="283">
        <f>IF(AB$5="Actual",'Audited Balance Sheet Input'!R124,AA124)</f>
        <v>-521102</v>
      </c>
      <c r="AC124" s="283">
        <f>IF(AC$5="Actual",'Audited Balance Sheet Input'!S124,AB124)</f>
        <v>-521102</v>
      </c>
      <c r="AD124" s="283">
        <f>IF(AD$5="Actual",'Audited Balance Sheet Input'!T124,AC124)</f>
        <v>-521102</v>
      </c>
      <c r="AE124" s="283">
        <f>IF(AE$5="Actual",'Audited Balance Sheet Input'!U124,AD124)</f>
        <v>-521102</v>
      </c>
      <c r="AF124" s="283">
        <f>IF(AF$5="Actual",'Audited Balance Sheet Input'!V124,AE124)</f>
        <v>-521102</v>
      </c>
      <c r="AG124" s="283">
        <f>IF(AG$5="Actual",'Audited Balance Sheet Input'!W124,AF124)</f>
        <v>-521102</v>
      </c>
    </row>
    <row r="125" spans="1:36" s="57" customFormat="1">
      <c r="A125" s="232"/>
      <c r="B125" s="289"/>
      <c r="C125" s="289"/>
      <c r="D125" s="289"/>
      <c r="E125" s="289"/>
      <c r="F125" s="270" t="s">
        <v>141</v>
      </c>
      <c r="G125" s="306"/>
      <c r="H125" s="601"/>
      <c r="I125" s="306"/>
      <c r="J125" s="618"/>
      <c r="K125" s="78"/>
      <c r="L125" s="315"/>
      <c r="M125" s="231"/>
      <c r="N125" s="316">
        <f>+N121+N123</f>
        <v>-105514811</v>
      </c>
      <c r="O125" s="316">
        <f t="shared" ref="O125:R125" si="35">+O121+O123</f>
        <v>-94399612</v>
      </c>
      <c r="P125" s="316">
        <f t="shared" si="35"/>
        <v>-92224464</v>
      </c>
      <c r="Q125" s="316">
        <f t="shared" si="35"/>
        <v>-98206236</v>
      </c>
      <c r="R125" s="316">
        <f t="shared" si="35"/>
        <v>-108215193</v>
      </c>
      <c r="S125" s="147"/>
      <c r="T125" s="316">
        <f>+T121+T123+T124</f>
        <v>-107674223</v>
      </c>
      <c r="U125" s="316">
        <f t="shared" ref="U125:AE125" si="36">+U121+U123+U124</f>
        <v>-111343930</v>
      </c>
      <c r="V125" s="316">
        <f t="shared" si="36"/>
        <v>-141198656.85714287</v>
      </c>
      <c r="W125" s="316">
        <f t="shared" si="36"/>
        <v>-117607299.71428572</v>
      </c>
      <c r="X125" s="316">
        <f t="shared" si="36"/>
        <v>-116810541.23809524</v>
      </c>
      <c r="Y125" s="316">
        <f t="shared" si="36"/>
        <v>-113248352.98412699</v>
      </c>
      <c r="Z125" s="316">
        <f t="shared" si="36"/>
        <v>-109830825.6931217</v>
      </c>
      <c r="AA125" s="316">
        <f t="shared" si="36"/>
        <v>-106283192.3527337</v>
      </c>
      <c r="AB125" s="316">
        <f t="shared" si="36"/>
        <v>-102772409.39094651</v>
      </c>
      <c r="AC125" s="316">
        <f t="shared" si="36"/>
        <v>-99636285.336076826</v>
      </c>
      <c r="AD125" s="316">
        <f t="shared" si="36"/>
        <v>-96626676.645633295</v>
      </c>
      <c r="AE125" s="316">
        <f t="shared" si="36"/>
        <v>-93628457.124218881</v>
      </c>
      <c r="AF125" s="316">
        <f t="shared" ref="AF125:AG125" si="37">+AF121+AF123+AF124</f>
        <v>-90630473.035309657</v>
      </c>
      <c r="AG125" s="316">
        <f t="shared" si="37"/>
        <v>-87628202.268387273</v>
      </c>
      <c r="AH125" s="77"/>
      <c r="AI125" s="77"/>
    </row>
    <row r="126" spans="1:36" s="52" customFormat="1">
      <c r="A126" s="284"/>
      <c r="B126" s="540"/>
      <c r="C126" s="540"/>
      <c r="D126" s="540"/>
      <c r="E126" s="540"/>
      <c r="F126" s="541" t="s">
        <v>118</v>
      </c>
      <c r="J126" s="615"/>
      <c r="K126" s="254"/>
      <c r="L126" s="255"/>
      <c r="M126" s="255"/>
      <c r="N126" s="277">
        <f>'Audited FS'!N44+N125</f>
        <v>-87000000</v>
      </c>
      <c r="O126" s="277">
        <f>'Audited FS'!O44+O125</f>
        <v>-84000000</v>
      </c>
      <c r="P126" s="277">
        <f>'Audited FS'!P44+P125</f>
        <v>-58025500</v>
      </c>
      <c r="Q126" s="277">
        <f>'Audited FS'!Q44+Q125</f>
        <v>-50705500</v>
      </c>
      <c r="R126" s="277">
        <f>'Audited FS'!R44+R125</f>
        <v>-47363580</v>
      </c>
      <c r="S126" s="292"/>
      <c r="T126" s="542">
        <f>IF(T5="Actual",+T125-'Audited Balance Sheet Input'!J125,0)</f>
        <v>-41613014</v>
      </c>
      <c r="U126" s="542">
        <f>IF(U5="Actual",+U125-'Audited Balance Sheet Input'!K125,0)</f>
        <v>-39204114</v>
      </c>
      <c r="V126" s="542">
        <f>IF(V5="Actual",+V125-'Audited Balance Sheet Input'!L125,0)</f>
        <v>-38133070.857142866</v>
      </c>
      <c r="W126" s="542">
        <f>IF(W5="Actual",+W125-'Audited Balance Sheet Input'!M125,0)</f>
        <v>-15838761.714285716</v>
      </c>
      <c r="X126" s="542">
        <f>IF(X5="Actual",+X125-'Audited Balance Sheet Input'!N125,0)</f>
        <v>0</v>
      </c>
      <c r="Y126" s="542">
        <f>IF(Y5="Actual",+Y125-'Audited Balance Sheet Input'!O125,0)</f>
        <v>0</v>
      </c>
      <c r="Z126" s="542">
        <f>IF(Z5="Actual",+Z125-'Audited Balance Sheet Input'!P125,0)</f>
        <v>0</v>
      </c>
      <c r="AA126" s="542">
        <f>IF(AA5="Actual",+AA125-'Audited Balance Sheet Input'!Q125,0)</f>
        <v>0</v>
      </c>
      <c r="AB126" s="542">
        <f>IF(AB5="Actual",+AB125-'Audited Balance Sheet Input'!R125,0)</f>
        <v>0</v>
      </c>
      <c r="AC126" s="542">
        <f>IF(AC5="Actual",+AC125-'Audited Balance Sheet Input'!S125,0)</f>
        <v>0</v>
      </c>
      <c r="AD126" s="542">
        <f>IF(AD5="Actual",+AD125-'Audited Balance Sheet Input'!T125,0)</f>
        <v>0</v>
      </c>
      <c r="AE126" s="542">
        <f>IF(AE5="Actual",+AE125-'Audited Balance Sheet Input'!U125,0)</f>
        <v>0</v>
      </c>
      <c r="AF126" s="542">
        <f>IF(AF5="Actual",+AF125-'Audited Balance Sheet Input'!V125,0)</f>
        <v>0</v>
      </c>
      <c r="AG126" s="542">
        <f>IF(AG5="Actual",+AG125-'Audited Balance Sheet Input'!W125,0)</f>
        <v>0</v>
      </c>
      <c r="AH126" s="162"/>
      <c r="AI126" s="162"/>
    </row>
    <row r="127" spans="1:36">
      <c r="A127" s="276"/>
      <c r="B127" s="543"/>
      <c r="C127" s="543"/>
      <c r="D127" s="543"/>
      <c r="E127" s="543"/>
      <c r="F127" s="543"/>
      <c r="L127" s="229"/>
      <c r="M127" s="229"/>
      <c r="N127" s="365" t="s">
        <v>522</v>
      </c>
      <c r="T127" s="365" t="s">
        <v>497</v>
      </c>
      <c r="AH127" s="162"/>
      <c r="AI127" s="162"/>
    </row>
    <row r="128" spans="1:36">
      <c r="A128" s="281" t="s">
        <v>142</v>
      </c>
      <c r="B128" s="281"/>
      <c r="C128" s="281"/>
      <c r="D128" s="281"/>
      <c r="E128" s="281"/>
      <c r="F128" s="281"/>
      <c r="L128" s="229"/>
      <c r="M128" s="229"/>
    </row>
    <row r="129" spans="1:36" outlineLevel="1">
      <c r="A129" s="233"/>
      <c r="B129" s="276" t="s">
        <v>143</v>
      </c>
      <c r="C129" s="233"/>
      <c r="D129" s="233"/>
      <c r="E129" s="233"/>
      <c r="F129" s="233"/>
      <c r="J129" s="617" t="s">
        <v>78</v>
      </c>
      <c r="L129" s="229"/>
      <c r="M129" s="229"/>
      <c r="N129" s="217">
        <f>-'Audited FS'!N47</f>
        <v>-26847369</v>
      </c>
      <c r="O129" s="217">
        <f>-'Audited FS'!O47</f>
        <v>-26991663</v>
      </c>
      <c r="P129" s="217">
        <f>-'Audited FS'!P47</f>
        <v>-229034192</v>
      </c>
      <c r="Q129" s="217">
        <f>-'Audited FS'!Q47</f>
        <v>-229573413</v>
      </c>
      <c r="R129" s="217">
        <f>-'Audited FS'!R47</f>
        <v>-226721016</v>
      </c>
      <c r="T129" s="242">
        <f>IF(T$5="Actual",'Audited Balance Sheet Input'!J129,-SUM(T75,T94,T111,T115))</f>
        <v>-225290261</v>
      </c>
      <c r="U129" s="242">
        <f>IF(U$5="Actual",'Audited Balance Sheet Input'!K129,-SUM(U75,U94,U111,U115))</f>
        <v>-220222616</v>
      </c>
      <c r="V129" s="242">
        <f>IF(V$5="Actual",'Audited Balance Sheet Input'!L129,-SUM(V75,V94,V111,V115))</f>
        <v>-220811572</v>
      </c>
      <c r="W129" s="242">
        <f>IF(W$5="Actual",'Audited Balance Sheet Input'!M129,-SUM(W75,W94,W111,W115))</f>
        <v>-221500308</v>
      </c>
      <c r="X129" s="242">
        <f>IF(X$5="Actual",'Audited Balance Sheet Input'!N129,-SUM(X75,X94,X111,X115))</f>
        <v>-244785799.76666665</v>
      </c>
      <c r="Y129" s="242">
        <f>IF(Y$5="Actual",'Audited Balance Sheet Input'!O129,-SUM(Y75,Y94,Y111,Y115))</f>
        <v>-242012548.33333334</v>
      </c>
      <c r="Z129" s="242">
        <f>IF(Z$5="Actual",'Audited Balance Sheet Input'!P129,-SUM(Z75,Z94,Z111,Z115))</f>
        <v>-237750458.23333332</v>
      </c>
      <c r="AA129" s="242">
        <f>IF(AA$5="Actual",'Audited Balance Sheet Input'!Q129,-SUM(AA75,AA94,AA111,AA115))</f>
        <v>-235352591.06666666</v>
      </c>
      <c r="AB129" s="242">
        <f>IF(AB$5="Actual",'Audited Balance Sheet Input'!R129,-SUM(AB75,AB94,AB111,AB115))</f>
        <v>-232954723.90000001</v>
      </c>
      <c r="AC129" s="242">
        <f>IF(AC$5="Actual",'Audited Balance Sheet Input'!S129,-SUM(AC75,AC94,AC111,AC115))</f>
        <v>-230556856.73333332</v>
      </c>
      <c r="AD129" s="242">
        <f>IF(AD$5="Actual",'Audited Balance Sheet Input'!T129,-SUM(AD75,AD94,AD111,AD115))</f>
        <v>-228158989.56666666</v>
      </c>
      <c r="AE129" s="242">
        <f>IF(AE$5="Actual",'Audited Balance Sheet Input'!U129,-SUM(AE75,AE94,AE111,AE115))</f>
        <v>-226965802</v>
      </c>
      <c r="AF129" s="242">
        <f>IF(AF$5="Actual",'Audited Balance Sheet Input'!V129,-SUM(AF75,AF94,AF111,AF115))</f>
        <v>-226965802</v>
      </c>
      <c r="AG129" s="242">
        <f>IF(AG$5="Actual",'Audited Balance Sheet Input'!W129,-SUM(AG75,AG94,AG111,AG115))</f>
        <v>-226965802</v>
      </c>
    </row>
    <row r="130" spans="1:36" outlineLevel="1">
      <c r="A130" s="233"/>
      <c r="B130" s="276" t="s">
        <v>144</v>
      </c>
      <c r="C130" s="233"/>
      <c r="D130" s="233"/>
      <c r="E130" s="233"/>
      <c r="F130" s="233"/>
      <c r="G130" s="50"/>
      <c r="I130" s="50"/>
      <c r="J130" s="620" t="s">
        <v>78</v>
      </c>
      <c r="L130" s="532"/>
      <c r="M130" s="532"/>
      <c r="N130" s="67">
        <f>-'Audited FS'!N48</f>
        <v>-27894651</v>
      </c>
      <c r="O130" s="67">
        <f>-'Audited FS'!O48</f>
        <v>-27654608</v>
      </c>
      <c r="P130" s="67">
        <f>-'Audited FS'!P48</f>
        <v>-27784204</v>
      </c>
      <c r="Q130" s="67">
        <f>-'Audited FS'!Q48</f>
        <v>-27540859</v>
      </c>
      <c r="R130" s="67">
        <f>-'Audited FS'!R48</f>
        <v>-27494848</v>
      </c>
      <c r="T130" s="242">
        <f>IF(T$5="Actual",'Audited Balance Sheet Input'!J130,0)</f>
        <v>-26690007</v>
      </c>
      <c r="U130" s="242">
        <f>IF(U$5="Actual",'Audited Balance Sheet Input'!K130,0)</f>
        <v>-25498353</v>
      </c>
      <c r="V130" s="242">
        <f>IF(V$5="Actual",'Audited Balance Sheet Input'!L130,0)</f>
        <v>-25326992</v>
      </c>
      <c r="W130" s="242">
        <f>IF(W$5="Actual",'Audited Balance Sheet Input'!M130,AVERAGE(T130:V130))</f>
        <v>-25335251</v>
      </c>
      <c r="X130" s="242">
        <f>IF(X$5="Actual",'Audited Balance Sheet Input'!N130,AVERAGE(U130:W130))</f>
        <v>-25386865.333333332</v>
      </c>
      <c r="Y130" s="242">
        <f>IF(Y$5="Actual",'Audited Balance Sheet Input'!O130,AVERAGE(V130:X130))</f>
        <v>-25349702.777777776</v>
      </c>
      <c r="Z130" s="242">
        <f>IF(Z$5="Actual",'Audited Balance Sheet Input'!P130,AVERAGE(W130:Y130))</f>
        <v>-25357273.037037034</v>
      </c>
      <c r="AA130" s="242">
        <f>IF(AA$5="Actual",'Audited Balance Sheet Input'!Q130,AVERAGE(X130:Z130))</f>
        <v>-25364613.716049377</v>
      </c>
      <c r="AB130" s="242">
        <f>IF(AB$5="Actual",'Audited Balance Sheet Input'!R130,AVERAGE(Y130:AA130))</f>
        <v>-25357196.51028806</v>
      </c>
      <c r="AC130" s="242">
        <f>IF(AC$5="Actual",'Audited Balance Sheet Input'!S130,AVERAGE(Z130:AB130))</f>
        <v>-25359694.421124827</v>
      </c>
      <c r="AD130" s="242">
        <f>IF(AD$5="Actual",'Audited Balance Sheet Input'!T130,AVERAGE(AA130:AC130))</f>
        <v>-25360501.549154088</v>
      </c>
      <c r="AE130" s="242">
        <f>IF(AE$5="Actual",'Audited Balance Sheet Input'!U130,AVERAGE(AB130:AD130))</f>
        <v>-25359130.826855659</v>
      </c>
      <c r="AF130" s="242">
        <f>IF(AF$5="Actual",'Audited Balance Sheet Input'!V130,AVERAGE(AC130:AE130))</f>
        <v>-25359775.599044859</v>
      </c>
      <c r="AG130" s="242">
        <f>IF(AG$5="Actual",'Audited Balance Sheet Input'!W130,AVERAGE(AD130:AF130))</f>
        <v>-25359802.658351537</v>
      </c>
    </row>
    <row r="131" spans="1:36" outlineLevel="1">
      <c r="A131" s="233"/>
      <c r="B131" s="276" t="s">
        <v>145</v>
      </c>
      <c r="C131" s="233"/>
      <c r="D131" s="233"/>
      <c r="E131" s="233"/>
      <c r="F131" s="233"/>
      <c r="J131" s="617" t="s">
        <v>78</v>
      </c>
      <c r="L131" s="229"/>
      <c r="M131" s="229"/>
      <c r="N131" s="217">
        <f>-'Audited FS'!N49</f>
        <v>-373686411</v>
      </c>
      <c r="O131" s="217">
        <f>-'Audited FS'!O49</f>
        <v>-544467424</v>
      </c>
      <c r="P131" s="217">
        <f>-'Audited FS'!P49</f>
        <v>-356274639</v>
      </c>
      <c r="Q131" s="217">
        <f>-'Audited FS'!Q49</f>
        <v>-385146109</v>
      </c>
      <c r="R131" s="217">
        <f>-'Audited FS'!R49</f>
        <v>-348589581</v>
      </c>
      <c r="T131" s="242">
        <f>IF(T$5="Actual",'Audited Balance Sheet Input'!J131,-T80-T125-T129-T130)</f>
        <v>-322824911</v>
      </c>
      <c r="U131" s="242">
        <f>IF(U$5="Actual",'Audited Balance Sheet Input'!K131,-U80-U125-U129-U130)</f>
        <v>-355005176</v>
      </c>
      <c r="V131" s="242">
        <f>IF(V$5="Actual",'Audited Balance Sheet Input'!L131,-V80-V125-V129-V130)</f>
        <v>-340321269</v>
      </c>
      <c r="W131" s="242">
        <f>IF(W$5="Actual",'Audited Balance Sheet Input'!M131,-W80-W125-W129-W130)</f>
        <v>-350112603</v>
      </c>
      <c r="X131" s="242">
        <f>IF(X$5="Actual",'Audited Balance Sheet Input'!N131,-X80-X125-X129-X130)</f>
        <v>-304372110.4131642</v>
      </c>
      <c r="Y131" s="242">
        <f>IF(Y$5="Actual",'Audited Balance Sheet Input'!O131,-Y80-Y125-Y129-Y130)</f>
        <v>-319691214.54850531</v>
      </c>
      <c r="Z131" s="242">
        <f>IF(Z$5="Actual",'Audited Balance Sheet Input'!P131,-Z80-Z125-Z129-Z130)</f>
        <v>-328104427.92792737</v>
      </c>
      <c r="AA131" s="242">
        <f>IF(AA$5="Actual",'Audited Balance Sheet Input'!Q131,-AA80-AA125-AA129-AA130)</f>
        <v>-343578489.72930944</v>
      </c>
      <c r="AB131" s="242">
        <f>IF(AB$5="Actual",'Audited Balance Sheet Input'!R131,-AB80-AB125-AB129-AB130)</f>
        <v>-351933152.94244117</v>
      </c>
      <c r="AC131" s="242">
        <f>IF(AC$5="Actual",'Audited Balance Sheet Input'!S131,-AC80-AC125-AC129-AC130)</f>
        <v>-366907624.45280349</v>
      </c>
      <c r="AD131" s="242">
        <f>IF(AD$5="Actual",'Audited Balance Sheet Input'!T131,-AD80-AD125-AD129-AD130)</f>
        <v>-373876409.32603168</v>
      </c>
      <c r="AE131" s="242">
        <f>IF(AE$5="Actual",'Audited Balance Sheet Input'!U131,-AE80-AE125-AE129-AE130)</f>
        <v>-388060301.14612222</v>
      </c>
      <c r="AF131" s="242">
        <f>IF(AF$5="Actual",'Audited Balance Sheet Input'!V131,-AF80-AF125-AF129-AF130)</f>
        <v>-394881491.00960714</v>
      </c>
      <c r="AG131" s="242">
        <f>IF(AG$5="Actual",'Audited Balance Sheet Input'!W131,-AG80-AG125-AG129-AG130)</f>
        <v>-408949967.23321581</v>
      </c>
    </row>
    <row r="132" spans="1:36" s="57" customFormat="1">
      <c r="A132" s="232"/>
      <c r="B132" s="294"/>
      <c r="C132" s="249"/>
      <c r="D132" s="249"/>
      <c r="E132" s="249"/>
      <c r="F132" s="250" t="s">
        <v>146</v>
      </c>
      <c r="G132" s="306"/>
      <c r="H132" s="601"/>
      <c r="I132" s="306"/>
      <c r="J132" s="618"/>
      <c r="K132" s="78"/>
      <c r="L132" s="315"/>
      <c r="M132" s="231"/>
      <c r="N132" s="316">
        <f>SUM(N129:N131)</f>
        <v>-428428431</v>
      </c>
      <c r="O132" s="316">
        <f>SUM(O129:O131)</f>
        <v>-599113695</v>
      </c>
      <c r="P132" s="316">
        <f>SUM(P129:P131)</f>
        <v>-613093035</v>
      </c>
      <c r="Q132" s="316">
        <f>SUM(Q129:Q131)</f>
        <v>-642260381</v>
      </c>
      <c r="R132" s="316">
        <f>SUM(R129:R131)</f>
        <v>-602805445</v>
      </c>
      <c r="S132" s="147"/>
      <c r="T132" s="316">
        <f>SUM(T129:T131)</f>
        <v>-574805179</v>
      </c>
      <c r="U132" s="316">
        <f t="shared" ref="U132:AE132" si="38">SUM(U129:U131)</f>
        <v>-600726145</v>
      </c>
      <c r="V132" s="316">
        <f t="shared" si="38"/>
        <v>-586459833</v>
      </c>
      <c r="W132" s="316">
        <f t="shared" si="38"/>
        <v>-596948162</v>
      </c>
      <c r="X132" s="316">
        <f t="shared" si="38"/>
        <v>-574544775.51316416</v>
      </c>
      <c r="Y132" s="316">
        <f t="shared" si="38"/>
        <v>-587053465.65961647</v>
      </c>
      <c r="Z132" s="316">
        <f t="shared" si="38"/>
        <v>-591212159.19829774</v>
      </c>
      <c r="AA132" s="316">
        <f t="shared" si="38"/>
        <v>-604295694.51202548</v>
      </c>
      <c r="AB132" s="316">
        <f t="shared" si="38"/>
        <v>-610245073.3527292</v>
      </c>
      <c r="AC132" s="316">
        <f t="shared" si="38"/>
        <v>-622824175.60726166</v>
      </c>
      <c r="AD132" s="316">
        <f t="shared" si="38"/>
        <v>-627395900.44185245</v>
      </c>
      <c r="AE132" s="316">
        <f t="shared" si="38"/>
        <v>-640385233.97297788</v>
      </c>
      <c r="AF132" s="316">
        <f t="shared" ref="AF132:AG132" si="39">SUM(AF129:AF131)</f>
        <v>-647207068.608652</v>
      </c>
      <c r="AG132" s="316">
        <f t="shared" si="39"/>
        <v>-661275571.89156735</v>
      </c>
      <c r="AH132" s="77"/>
      <c r="AI132" s="77"/>
    </row>
    <row r="133" spans="1:36" s="57" customFormat="1" ht="15" thickBot="1">
      <c r="A133" s="232"/>
      <c r="B133" s="271"/>
      <c r="C133" s="271"/>
      <c r="D133" s="271"/>
      <c r="E133" s="271"/>
      <c r="F133" s="272" t="s">
        <v>147</v>
      </c>
      <c r="G133" s="331"/>
      <c r="H133" s="603"/>
      <c r="I133" s="331"/>
      <c r="J133" s="619"/>
      <c r="K133" s="329"/>
      <c r="L133" s="332"/>
      <c r="M133" s="231"/>
      <c r="N133" s="75">
        <f t="shared" ref="N133:Q133" si="40">N125+N132</f>
        <v>-533943242</v>
      </c>
      <c r="O133" s="75">
        <f t="shared" si="40"/>
        <v>-693513307</v>
      </c>
      <c r="P133" s="75">
        <f t="shared" si="40"/>
        <v>-705317499</v>
      </c>
      <c r="Q133" s="75">
        <f t="shared" si="40"/>
        <v>-740466617</v>
      </c>
      <c r="R133" s="75">
        <f>R125+R132</f>
        <v>-711020638</v>
      </c>
      <c r="S133" s="147"/>
      <c r="T133" s="75">
        <f>T125+T132</f>
        <v>-682479402</v>
      </c>
      <c r="U133" s="75">
        <f t="shared" ref="U133:AE133" si="41">U125+U132</f>
        <v>-712070075</v>
      </c>
      <c r="V133" s="75">
        <f t="shared" si="41"/>
        <v>-727658489.85714293</v>
      </c>
      <c r="W133" s="75">
        <f t="shared" si="41"/>
        <v>-714555461.71428573</v>
      </c>
      <c r="X133" s="75">
        <f t="shared" si="41"/>
        <v>-691355316.75125945</v>
      </c>
      <c r="Y133" s="75">
        <f t="shared" si="41"/>
        <v>-700301818.64374352</v>
      </c>
      <c r="Z133" s="75">
        <f t="shared" si="41"/>
        <v>-701042984.89141941</v>
      </c>
      <c r="AA133" s="75">
        <f t="shared" si="41"/>
        <v>-710578886.86475921</v>
      </c>
      <c r="AB133" s="75">
        <f t="shared" si="41"/>
        <v>-713017482.74367571</v>
      </c>
      <c r="AC133" s="75">
        <f t="shared" si="41"/>
        <v>-722460460.94333851</v>
      </c>
      <c r="AD133" s="75">
        <f t="shared" si="41"/>
        <v>-724022577.08748579</v>
      </c>
      <c r="AE133" s="75">
        <f t="shared" si="41"/>
        <v>-734013691.09719682</v>
      </c>
      <c r="AF133" s="75">
        <f t="shared" ref="AF133:AG133" si="42">AF125+AF132</f>
        <v>-737837541.64396167</v>
      </c>
      <c r="AG133" s="75">
        <f t="shared" si="42"/>
        <v>-748903774.15995467</v>
      </c>
      <c r="AH133" s="77"/>
      <c r="AI133" s="77"/>
    </row>
    <row r="134" spans="1:36" s="365" customFormat="1" ht="15" thickTop="1">
      <c r="A134" s="541"/>
      <c r="B134" s="544"/>
      <c r="C134" s="544"/>
      <c r="D134" s="544"/>
      <c r="E134" s="544"/>
      <c r="F134" s="382" t="s">
        <v>118</v>
      </c>
      <c r="J134" s="615"/>
      <c r="K134" s="338"/>
      <c r="L134" s="358"/>
      <c r="M134" s="358"/>
      <c r="N134" s="379"/>
      <c r="O134" s="379"/>
      <c r="P134" s="379"/>
      <c r="Q134" s="379"/>
      <c r="R134" s="542"/>
      <c r="S134" s="545"/>
      <c r="T134" s="542">
        <f>IF(T5="Actual",+T133-'Audited Balance Sheet Input'!J133,0)</f>
        <v>-41613014</v>
      </c>
      <c r="U134" s="542">
        <f>IF(U5="Actual",+U133-'Audited Balance Sheet Input'!K133,0)</f>
        <v>-39204114</v>
      </c>
      <c r="V134" s="542">
        <f>IF(V5="Actual",+V133-'Audited Balance Sheet Input'!L133,0)</f>
        <v>-38133070.857142925</v>
      </c>
      <c r="W134" s="542">
        <f>IF(W5="Actual",+W133-'Audited Balance Sheet Input'!M133,0)</f>
        <v>-15838761.714285731</v>
      </c>
      <c r="X134" s="506">
        <f>IF(X5="Actual",+X133-'Audited Balance Sheet Input'!N133,0)</f>
        <v>0</v>
      </c>
      <c r="Y134" s="506">
        <f>IF(Y5="Actual",+Y133-'Audited Balance Sheet Input'!O133,0)</f>
        <v>0</v>
      </c>
      <c r="Z134" s="506">
        <f>IF(Z5="Actual",+Z133-'Audited Balance Sheet Input'!P133,0)</f>
        <v>0</v>
      </c>
      <c r="AA134" s="506">
        <f>IF(AA5="Actual",+AA133-'Audited Balance Sheet Input'!Q133,0)</f>
        <v>0</v>
      </c>
      <c r="AB134" s="506">
        <f>IF(AB5="Actual",+AB133-'Audited Balance Sheet Input'!R133,0)</f>
        <v>0</v>
      </c>
      <c r="AC134" s="506">
        <f>IF(AC5="Actual",+AC133-'Audited Balance Sheet Input'!S133,0)</f>
        <v>0</v>
      </c>
      <c r="AD134" s="506">
        <f>IF(AD5="Actual",+AD133-'Audited Balance Sheet Input'!T133,0)</f>
        <v>0</v>
      </c>
      <c r="AE134" s="506">
        <f>IF(AE5="Actual",+AE133-'Audited Balance Sheet Input'!U133,0)</f>
        <v>0</v>
      </c>
      <c r="AF134" s="506">
        <f>IF(AF5="Actual",+AF133-'Audited Balance Sheet Input'!V133,0)</f>
        <v>0</v>
      </c>
      <c r="AG134" s="506">
        <f>IF(AG5="Actual",+AG133-'Audited Balance Sheet Input'!W133,0)</f>
        <v>0</v>
      </c>
      <c r="AH134" s="546"/>
      <c r="AI134" s="546"/>
    </row>
    <row r="135" spans="1:36" s="365" customFormat="1">
      <c r="A135" s="541"/>
      <c r="B135" s="544"/>
      <c r="C135" s="544"/>
      <c r="D135" s="544"/>
      <c r="E135" s="544"/>
      <c r="F135" s="547"/>
      <c r="J135" s="615"/>
      <c r="K135" s="338"/>
      <c r="L135" s="358"/>
      <c r="M135" s="358"/>
      <c r="N135" s="365" t="s">
        <v>522</v>
      </c>
      <c r="O135" s="379"/>
      <c r="P135" s="379"/>
      <c r="Q135" s="379"/>
      <c r="R135" s="379"/>
      <c r="S135" s="545"/>
      <c r="T135" s="507" t="s">
        <v>497</v>
      </c>
      <c r="AH135" s="546"/>
      <c r="AI135" s="546"/>
    </row>
    <row r="136" spans="1:36">
      <c r="A136" s="50"/>
      <c r="F136" s="5"/>
      <c r="I136" s="214"/>
      <c r="K136" s="229"/>
      <c r="L136" s="50"/>
      <c r="M136" s="50"/>
    </row>
    <row r="137" spans="1:36" s="302" customFormat="1">
      <c r="A137" s="295" t="s">
        <v>148</v>
      </c>
      <c r="B137" s="296"/>
      <c r="C137" s="296"/>
      <c r="D137" s="296"/>
      <c r="E137" s="296"/>
      <c r="F137" s="296"/>
      <c r="G137" s="297"/>
      <c r="H137" s="604"/>
      <c r="I137" s="297"/>
      <c r="J137" s="623"/>
      <c r="K137" s="298"/>
      <c r="L137" s="299"/>
      <c r="M137" s="300"/>
      <c r="N137" s="297"/>
      <c r="O137" s="297"/>
      <c r="P137" s="297"/>
      <c r="Q137" s="297"/>
      <c r="R137" s="297"/>
      <c r="S137" s="301"/>
      <c r="T137" s="297"/>
      <c r="U137" s="297"/>
      <c r="V137" s="297"/>
      <c r="W137" s="297"/>
      <c r="X137" s="297"/>
      <c r="Y137" s="297"/>
      <c r="Z137" s="297"/>
      <c r="AA137" s="297"/>
      <c r="AB137" s="297"/>
      <c r="AC137" s="297"/>
      <c r="AD137" s="297"/>
      <c r="AE137" s="297"/>
      <c r="AF137" s="297"/>
      <c r="AG137" s="297"/>
      <c r="AH137" s="77"/>
      <c r="AI137" s="77"/>
    </row>
    <row r="138" spans="1:36" ht="15" thickBot="1">
      <c r="L138" s="229"/>
      <c r="M138" s="229"/>
      <c r="W138" s="71"/>
      <c r="X138" s="71"/>
      <c r="Y138" s="71"/>
    </row>
    <row r="139" spans="1:36" ht="15" thickBot="1">
      <c r="A139" s="77" t="s">
        <v>149</v>
      </c>
      <c r="B139" s="57"/>
      <c r="C139" s="57"/>
      <c r="D139" s="57"/>
      <c r="E139" s="57"/>
      <c r="F139" s="57"/>
      <c r="L139" s="229"/>
      <c r="M139" s="229"/>
      <c r="N139" s="149" t="s">
        <v>51</v>
      </c>
      <c r="O139" s="149" t="s">
        <v>51</v>
      </c>
      <c r="P139" s="149" t="s">
        <v>51</v>
      </c>
      <c r="Q139" s="149" t="s">
        <v>51</v>
      </c>
      <c r="R139" s="149" t="s">
        <v>51</v>
      </c>
      <c r="T139" s="149" t="s">
        <v>51</v>
      </c>
      <c r="U139" s="149" t="s">
        <v>51</v>
      </c>
      <c r="V139" s="149" t="s">
        <v>51</v>
      </c>
      <c r="W139" s="149" t="s">
        <v>51</v>
      </c>
      <c r="X139" s="98" t="s">
        <v>52</v>
      </c>
      <c r="Y139" s="98" t="s">
        <v>52</v>
      </c>
      <c r="Z139" s="98" t="s">
        <v>52</v>
      </c>
      <c r="AA139" s="98" t="s">
        <v>52</v>
      </c>
      <c r="AB139" s="98" t="s">
        <v>52</v>
      </c>
      <c r="AC139" s="98" t="s">
        <v>52</v>
      </c>
      <c r="AD139" s="98" t="s">
        <v>52</v>
      </c>
      <c r="AE139" s="98" t="s">
        <v>52</v>
      </c>
      <c r="AF139" s="98" t="s">
        <v>52</v>
      </c>
      <c r="AG139" s="98" t="s">
        <v>52</v>
      </c>
    </row>
    <row r="140" spans="1:36" s="57" customFormat="1">
      <c r="A140" s="150" t="s">
        <v>53</v>
      </c>
      <c r="B140" s="151"/>
      <c r="C140" s="151"/>
      <c r="D140" s="151"/>
      <c r="E140" s="151"/>
      <c r="F140" s="151"/>
      <c r="G140" s="152" t="s">
        <v>54</v>
      </c>
      <c r="H140" s="152" t="s">
        <v>55</v>
      </c>
      <c r="I140" s="152" t="s">
        <v>56</v>
      </c>
      <c r="J140" s="614" t="s">
        <v>57</v>
      </c>
      <c r="K140" s="154"/>
      <c r="L140" s="229"/>
      <c r="M140" s="227"/>
      <c r="N140" s="228" t="s">
        <v>275</v>
      </c>
      <c r="O140" s="228" t="s">
        <v>276</v>
      </c>
      <c r="P140" s="228" t="s">
        <v>58</v>
      </c>
      <c r="Q140" s="228" t="s">
        <v>59</v>
      </c>
      <c r="R140" s="228" t="s">
        <v>60</v>
      </c>
      <c r="S140" s="155"/>
      <c r="T140" s="228" t="s">
        <v>61</v>
      </c>
      <c r="U140" s="100" t="s">
        <v>62</v>
      </c>
      <c r="V140" s="100" t="s">
        <v>63</v>
      </c>
      <c r="W140" s="100" t="s">
        <v>64</v>
      </c>
      <c r="X140" s="100" t="s">
        <v>65</v>
      </c>
      <c r="Y140" s="100" t="s">
        <v>66</v>
      </c>
      <c r="Z140" s="100" t="s">
        <v>67</v>
      </c>
      <c r="AA140" s="100" t="s">
        <v>68</v>
      </c>
      <c r="AB140" s="100" t="s">
        <v>69</v>
      </c>
      <c r="AC140" s="100" t="s">
        <v>70</v>
      </c>
      <c r="AD140" s="100" t="s">
        <v>71</v>
      </c>
      <c r="AE140" s="100" t="s">
        <v>72</v>
      </c>
      <c r="AF140" s="100" t="s">
        <v>73</v>
      </c>
      <c r="AG140" s="100" t="s">
        <v>74</v>
      </c>
      <c r="AH140" s="77"/>
      <c r="AI140" s="77"/>
      <c r="AJ140" s="71"/>
    </row>
    <row r="141" spans="1:36">
      <c r="A141" s="77" t="s">
        <v>150</v>
      </c>
      <c r="B141" s="57"/>
      <c r="C141" s="57"/>
      <c r="D141" s="57"/>
      <c r="E141" s="57"/>
      <c r="F141" s="57"/>
      <c r="L141" s="229"/>
      <c r="M141" s="229"/>
      <c r="S141" s="188"/>
    </row>
    <row r="142" spans="1:36" outlineLevel="1">
      <c r="A142" s="50"/>
      <c r="B142" s="162" t="s">
        <v>469</v>
      </c>
      <c r="G142" s="5" t="s">
        <v>151</v>
      </c>
      <c r="J142" s="436" t="s">
        <v>152</v>
      </c>
      <c r="K142" s="187"/>
      <c r="L142" s="303"/>
      <c r="M142" s="304"/>
      <c r="N142" s="242">
        <f>'Budget P&amp;L Input'!G9</f>
        <v>18821801</v>
      </c>
      <c r="O142" s="242">
        <f>'Budget P&amp;L Input'!H9</f>
        <v>18706586</v>
      </c>
      <c r="P142" s="242">
        <f>'Budget P&amp;L Input'!I9</f>
        <v>18530773</v>
      </c>
      <c r="Q142" s="242">
        <f>'Budget P&amp;L Input'!J9</f>
        <v>17956175</v>
      </c>
      <c r="R142" s="242">
        <f>'Budget P&amp;L Input'!K9</f>
        <v>17110928</v>
      </c>
      <c r="S142" s="188"/>
      <c r="T142" s="242">
        <f>IF(T$139="Actual", 'Budget P&amp;L Input'!L9, '2005-2'!F32)</f>
        <v>17298636</v>
      </c>
      <c r="U142" s="242">
        <f>IF(U$139="Actual", 'Budget P&amp;L Input'!M9, '2005-2'!G32)</f>
        <v>17745949</v>
      </c>
      <c r="V142" s="242">
        <f>IF(V$139="Actual", 'Budget P&amp;L Input'!N9, '2005-2'!H32)</f>
        <v>17555826</v>
      </c>
      <c r="W142" s="242">
        <f>IF(W$139="Actual", 'Budget P&amp;L Input'!O9, '2005-2'!I32)</f>
        <v>17448120</v>
      </c>
      <c r="X142" s="242">
        <f>IF(X$139="Actual", 'Budget P&amp;L Input'!P9, '2005-2'!J32)</f>
        <v>17548282.09008</v>
      </c>
      <c r="Y142" s="242">
        <f>IF(Y$139="Actual", 'Budget P&amp;L Input'!Q9, '2005-2'!K32)</f>
        <v>18228341.036019087</v>
      </c>
      <c r="Z142" s="242">
        <f>IF(Z$139="Actual", 'Budget P&amp;L Input'!R9, '2005-2'!L32)</f>
        <v>18925516.62677272</v>
      </c>
      <c r="AA142" s="242">
        <f>IF(AA$139="Actual", 'Budget P&amp;L Input'!S9, '2005-2'!M32)</f>
        <v>19730064.557456236</v>
      </c>
      <c r="AB142" s="242">
        <f>IF(AB$139="Actual", 'Budget P&amp;L Input'!T9, '2005-2'!N32)</f>
        <v>20623851.316989228</v>
      </c>
      <c r="AC142" s="242">
        <f>IF(AC$139="Actual", 'Budget P&amp;L Input'!U9, '2005-2'!O32)</f>
        <v>21568148.678609848</v>
      </c>
      <c r="AD142" s="242">
        <f>IF(AD$139="Actual", 'Budget P&amp;L Input'!V9, '2005-2'!P32)</f>
        <v>21983674.101957023</v>
      </c>
      <c r="AE142" s="242">
        <f>IF(AE$139="Actual", 'Budget P&amp;L Input'!W9, '2005-2'!Q32)</f>
        <v>22387477.282281153</v>
      </c>
      <c r="AF142" s="242">
        <f>IF(AF$139="Actual", 'Budget P&amp;L Input'!X9, '2005-2'!R32)</f>
        <v>22781891.325263161</v>
      </c>
      <c r="AG142" s="242">
        <f>IF(AG$139="Actual", 'Budget P&amp;L Input'!Y9, '2005-2'!S32)</f>
        <v>23170656.194990247</v>
      </c>
      <c r="AI142" s="77" t="s">
        <v>26</v>
      </c>
    </row>
    <row r="143" spans="1:36" outlineLevel="1">
      <c r="A143" s="50"/>
      <c r="B143" s="162" t="s">
        <v>507</v>
      </c>
      <c r="H143" s="5" t="s">
        <v>523</v>
      </c>
      <c r="J143" s="436" t="s">
        <v>153</v>
      </c>
      <c r="K143" s="187"/>
      <c r="L143" s="303"/>
      <c r="M143" s="304"/>
      <c r="N143" s="242">
        <f>'Budget P&amp;L Input'!G10</f>
        <v>15100000</v>
      </c>
      <c r="O143" s="242">
        <f>'Budget P&amp;L Input'!H10</f>
        <v>15100000</v>
      </c>
      <c r="P143" s="242">
        <f>'Budget P&amp;L Input'!I10</f>
        <v>15100000</v>
      </c>
      <c r="Q143" s="242">
        <f>'Budget P&amp;L Input'!J10</f>
        <v>15100000</v>
      </c>
      <c r="R143" s="242">
        <f>'Budget P&amp;L Input'!K10</f>
        <v>15100000</v>
      </c>
      <c r="S143" s="188"/>
      <c r="T143" s="242">
        <f>IF(T$139="Actual", 'Budget P&amp;L Input'!L10, 15100000)</f>
        <v>15100000</v>
      </c>
      <c r="U143" s="242">
        <f>IF(U$139="Actual", 'Budget P&amp;L Input'!M10, 15100000)</f>
        <v>15100000</v>
      </c>
      <c r="V143" s="242">
        <f>IF(V$139="Actual", 'Budget P&amp;L Input'!N10, 15100000)</f>
        <v>15100000</v>
      </c>
      <c r="W143" s="242">
        <f>IF(W$139="Actual", 'Budget P&amp;L Input'!O10, 15100000)</f>
        <v>15100000</v>
      </c>
      <c r="X143" s="242">
        <f>IF(X$139="Actual", 'Budget P&amp;L Input'!P10, 15100000)</f>
        <v>15100000</v>
      </c>
      <c r="Y143" s="242">
        <f>IF(Y$139="Actual", 'Budget P&amp;L Input'!Q10, 15100000)</f>
        <v>15100000</v>
      </c>
      <c r="Z143" s="242">
        <f>IF(Z$139="Actual", 'Budget P&amp;L Input'!R10, 15100000)</f>
        <v>15100000</v>
      </c>
      <c r="AA143" s="242">
        <f>IF(AA$139="Actual", 'Budget P&amp;L Input'!S10, 15100000)</f>
        <v>15100000</v>
      </c>
      <c r="AB143" s="242">
        <f>IF(AB$139="Actual", 'Budget P&amp;L Input'!T10, 15100000)</f>
        <v>15100000</v>
      </c>
      <c r="AC143" s="242">
        <f>IF(AC$139="Actual", 'Budget P&amp;L Input'!U10, 15100000)</f>
        <v>15100000</v>
      </c>
      <c r="AD143" s="242">
        <f>IF(AD$139="Actual", 'Budget P&amp;L Input'!V10, 15100000)</f>
        <v>15100000</v>
      </c>
      <c r="AE143" s="242">
        <f>IF(AE$139="Actual", 'Budget P&amp;L Input'!W10, 15100000)</f>
        <v>15100000</v>
      </c>
      <c r="AF143" s="242">
        <f>IF(AF$139="Actual", 'Budget P&amp;L Input'!X10, 15100000)</f>
        <v>15100000</v>
      </c>
      <c r="AG143" s="242">
        <f>IF(AG$139="Actual", 'Budget P&amp;L Input'!Y10, 15100000)</f>
        <v>15100000</v>
      </c>
      <c r="AI143" s="77" t="s">
        <v>154</v>
      </c>
    </row>
    <row r="144" spans="1:36" outlineLevel="1">
      <c r="A144" s="50"/>
      <c r="B144" s="162" t="s">
        <v>472</v>
      </c>
      <c r="H144" s="5" t="s">
        <v>83</v>
      </c>
      <c r="J144" s="436" t="s">
        <v>153</v>
      </c>
      <c r="K144" s="187"/>
      <c r="L144" s="303"/>
      <c r="M144" s="304"/>
      <c r="N144" s="242">
        <f>'Budget P&amp;L Input'!G11</f>
        <v>2469659</v>
      </c>
      <c r="O144" s="242">
        <f>'Budget P&amp;L Input'!H11</f>
        <v>2370872</v>
      </c>
      <c r="P144" s="242">
        <f>'Budget P&amp;L Input'!I11</f>
        <v>2370872</v>
      </c>
      <c r="Q144" s="242">
        <f>'Budget P&amp;L Input'!J11</f>
        <v>3141574</v>
      </c>
      <c r="R144" s="242">
        <f>'Budget P&amp;L Input'!K11</f>
        <v>2741574</v>
      </c>
      <c r="S144" s="188"/>
      <c r="T144" s="242">
        <f>IF(T$139="Actual", 'Budget P&amp;L Input'!L11, ROUND(AVERAGE(P144:R144),-3))</f>
        <v>3741574</v>
      </c>
      <c r="U144" s="242">
        <f>IF(U$139="Actual", 'Budget P&amp;L Input'!M11, ROUND(AVERAGE(Q144:R144,T144),-3))</f>
        <v>3741574</v>
      </c>
      <c r="V144" s="242">
        <f>IF(V$139="Actual", 'Budget P&amp;L Input'!N11, ROUND(AVERAGE(R144,T144,U144),-3))</f>
        <v>3037879</v>
      </c>
      <c r="W144" s="242">
        <f>IF(W$139="Actual", 'Budget P&amp;L Input'!O11, ROUND(AVERAGE(S144,U144,V144),-3))</f>
        <v>3018899</v>
      </c>
      <c r="X144" s="242">
        <f>IF(X$139="Actual", 'Budget P&amp;L Input'!P11, ROUND(AVERAGE(T144,V144,W144),-3))</f>
        <v>3266000</v>
      </c>
      <c r="Y144" s="242">
        <f>IF(Y$139="Actual", 'Budget P&amp;L Input'!Q11, ROUND(AVERAGE(U144,W144,X144),-3))</f>
        <v>3342000</v>
      </c>
      <c r="Z144" s="242">
        <f>IF(Z$139="Actual", 'Budget P&amp;L Input'!R11, ROUND(AVERAGE(W144:Y144),-3))</f>
        <v>3209000</v>
      </c>
      <c r="AA144" s="242">
        <f>IF(AA$139="Actual", 'Budget P&amp;L Input'!S11, ROUND(AVERAGE(X144:Z144),-3))</f>
        <v>3272000</v>
      </c>
      <c r="AB144" s="242">
        <f>IF(AB$139="Actual", 'Budget P&amp;L Input'!T11, ROUND(AVERAGE(Y144:AA144),-3))</f>
        <v>3274000</v>
      </c>
      <c r="AC144" s="242">
        <f>IF(AC$139="Actual", 'Budget P&amp;L Input'!U11, ROUND(AVERAGE(Z144:AB144),-3))</f>
        <v>3252000</v>
      </c>
      <c r="AD144" s="242">
        <f>IF(AD$139="Actual", 'Budget P&amp;L Input'!V11, ROUND(AVERAGE(AA144:AC144),-3))</f>
        <v>3266000</v>
      </c>
      <c r="AE144" s="242">
        <f>IF(AE$139="Actual", 'Budget P&amp;L Input'!W11, ROUND(AVERAGE(AB144:AD144),-3))</f>
        <v>3264000</v>
      </c>
      <c r="AF144" s="242">
        <f>IF(AF$139="Actual", 'Budget P&amp;L Input'!X11, ROUND(AVERAGE(AC144:AE144),-3))</f>
        <v>3261000</v>
      </c>
      <c r="AG144" s="242">
        <f>IF(AG$139="Actual", 'Budget P&amp;L Input'!Y11, ROUND(AVERAGE(AD144:AF144),-3))</f>
        <v>3264000</v>
      </c>
      <c r="AI144" s="77" t="s">
        <v>83</v>
      </c>
    </row>
    <row r="145" spans="1:35" outlineLevel="1">
      <c r="A145" s="50"/>
      <c r="B145" s="162"/>
      <c r="J145" s="436"/>
      <c r="K145" s="187"/>
      <c r="L145" s="303"/>
      <c r="M145" s="304"/>
      <c r="N145" s="242"/>
      <c r="O145" s="242"/>
      <c r="P145" s="242"/>
      <c r="Q145" s="242"/>
      <c r="R145" s="242"/>
      <c r="S145" s="188"/>
      <c r="T145" s="242"/>
      <c r="U145" s="242"/>
      <c r="V145" s="242"/>
      <c r="W145" s="242"/>
      <c r="X145" s="242"/>
      <c r="Y145" s="242"/>
      <c r="Z145" s="242"/>
      <c r="AA145" s="242"/>
      <c r="AB145" s="242"/>
      <c r="AC145" s="242"/>
      <c r="AD145" s="242"/>
      <c r="AE145" s="242"/>
      <c r="AF145" s="242"/>
      <c r="AG145" s="242"/>
    </row>
    <row r="146" spans="1:35" outlineLevel="1">
      <c r="A146" s="50"/>
      <c r="B146" s="162" t="s">
        <v>155</v>
      </c>
      <c r="J146" s="436" t="s">
        <v>153</v>
      </c>
      <c r="K146" s="187"/>
      <c r="L146" s="303"/>
      <c r="M146" s="304"/>
      <c r="N146" s="242">
        <f>'Budget P&amp;L Input'!G13</f>
        <v>0</v>
      </c>
      <c r="O146" s="242">
        <f>'Budget P&amp;L Input'!H13</f>
        <v>0</v>
      </c>
      <c r="P146" s="242">
        <f>'Budget P&amp;L Input'!I13</f>
        <v>-63480</v>
      </c>
      <c r="Q146" s="242">
        <f>'Budget P&amp;L Input'!J13</f>
        <v>0</v>
      </c>
      <c r="R146" s="242">
        <f>'Budget P&amp;L Input'!K13</f>
        <v>0</v>
      </c>
      <c r="S146" s="188"/>
      <c r="T146" s="242">
        <f>IF(T$139="Actual", 'Budget P&amp;L Input'!L13, 0)</f>
        <v>0</v>
      </c>
      <c r="U146" s="242">
        <f>IF(U$139="Actual", 'Budget P&amp;L Input'!M13, 0)</f>
        <v>0</v>
      </c>
      <c r="V146" s="242">
        <f>IF(V$139="Actual", 'Budget P&amp;L Input'!N13, 0)</f>
        <v>0</v>
      </c>
      <c r="W146" s="242">
        <f>IF(W$139="Actual", 'Budget P&amp;L Input'!O13, 0)</f>
        <v>0</v>
      </c>
      <c r="X146" s="242">
        <f>IF(X$139="Actual", 'Budget P&amp;L Input'!P13, 0)</f>
        <v>0</v>
      </c>
      <c r="Y146" s="242">
        <f>IF(Y$139="Actual", 'Budget P&amp;L Input'!Q13, 0)</f>
        <v>0</v>
      </c>
      <c r="Z146" s="242">
        <f>IF(Z$139="Actual", 'Budget P&amp;L Input'!R13, 0)</f>
        <v>0</v>
      </c>
      <c r="AA146" s="242">
        <f>IF(AA$139="Actual", 'Budget P&amp;L Input'!S13, 0)</f>
        <v>0</v>
      </c>
      <c r="AB146" s="242">
        <f>IF(AB$139="Actual", 'Budget P&amp;L Input'!T13, 0)</f>
        <v>0</v>
      </c>
      <c r="AC146" s="242">
        <f>IF(AC$139="Actual", 'Budget P&amp;L Input'!U13, 0)</f>
        <v>0</v>
      </c>
      <c r="AD146" s="242">
        <f>IF(AD$139="Actual", 'Budget P&amp;L Input'!V13, 0)</f>
        <v>0</v>
      </c>
      <c r="AE146" s="242">
        <f>IF(AE$139="Actual", 'Budget P&amp;L Input'!W13, 0)</f>
        <v>0</v>
      </c>
      <c r="AF146" s="242">
        <f>IF(AF$139="Actual", 'Budget P&amp;L Input'!X13, 0)</f>
        <v>0</v>
      </c>
      <c r="AG146" s="242">
        <f>IF(AG$139="Actual", 'Budget P&amp;L Input'!Y13, 0)</f>
        <v>0</v>
      </c>
    </row>
    <row r="147" spans="1:35" s="52" customFormat="1" outlineLevel="1">
      <c r="B147" s="162" t="s">
        <v>156</v>
      </c>
      <c r="C147" s="50"/>
      <c r="D147" s="50"/>
      <c r="E147" s="50"/>
      <c r="F147" s="50"/>
      <c r="G147" s="5" t="s">
        <v>157</v>
      </c>
      <c r="H147" s="5" t="s">
        <v>423</v>
      </c>
      <c r="J147" s="436" t="s">
        <v>153</v>
      </c>
      <c r="K147" s="286"/>
      <c r="L147" s="323"/>
      <c r="M147" s="323"/>
      <c r="N147" s="106">
        <f>'Budget P&amp;L Input'!G14</f>
        <v>0</v>
      </c>
      <c r="O147" s="106">
        <f>'Budget P&amp;L Input'!H14</f>
        <v>0</v>
      </c>
      <c r="P147" s="106">
        <f>'Budget P&amp;L Input'!I14</f>
        <v>0</v>
      </c>
      <c r="Q147" s="106">
        <f>'Budget P&amp;L Input'!J14</f>
        <v>0</v>
      </c>
      <c r="R147" s="106">
        <f>'Budget P&amp;L Input'!K14</f>
        <v>0</v>
      </c>
      <c r="S147" s="257"/>
      <c r="T147" s="242">
        <f>IF(T$139="Actual", 'Budget P&amp;L Input'!L14, 1845000)</f>
        <v>0</v>
      </c>
      <c r="U147" s="242">
        <f>IF(U$139="Actual", 'Budget P&amp;L Input'!M14, 1845000)</f>
        <v>0</v>
      </c>
      <c r="V147" s="242">
        <f>IF(V$139="Actual", 'Budget P&amp;L Input'!N14, 500000)</f>
        <v>0</v>
      </c>
      <c r="W147" s="242">
        <f>IF(W$139="Actual", 'Budget P&amp;L Input'!O14, 500000)</f>
        <v>0</v>
      </c>
      <c r="X147" s="242">
        <f>IF(X$139="Actual", 'Budget P&amp;L Input'!P14,0)</f>
        <v>0</v>
      </c>
      <c r="Y147" s="242">
        <f>IF(Y$139="Actual", 'Budget P&amp;L Input'!Q14,0)</f>
        <v>0</v>
      </c>
      <c r="Z147" s="242">
        <f>IF(Z$139="Actual", 'Budget P&amp;L Input'!R14,0)</f>
        <v>0</v>
      </c>
      <c r="AA147" s="242">
        <f>IF(AA$139="Actual", 'Budget P&amp;L Input'!S14,0)</f>
        <v>0</v>
      </c>
      <c r="AB147" s="242">
        <f>IF(AB$139="Actual", 'Budget P&amp;L Input'!T14,0)</f>
        <v>0</v>
      </c>
      <c r="AC147" s="242">
        <f>IF(AC$139="Actual", 'Budget P&amp;L Input'!U14,0)</f>
        <v>0</v>
      </c>
      <c r="AD147" s="242">
        <f>IF(AD$139="Actual", 'Budget P&amp;L Input'!V14,0)</f>
        <v>0</v>
      </c>
      <c r="AE147" s="242">
        <f>IF(AE$139="Actual", 'Budget P&amp;L Input'!W14,0)</f>
        <v>0</v>
      </c>
      <c r="AF147" s="242">
        <f>IF(AF$139="Actual", 'Budget P&amp;L Input'!X14,0)</f>
        <v>0</v>
      </c>
      <c r="AG147" s="242">
        <f>IF(AG$139="Actual", 'Budget P&amp;L Input'!Y14,0)</f>
        <v>0</v>
      </c>
      <c r="AH147" s="321"/>
      <c r="AI147" s="77" t="s">
        <v>158</v>
      </c>
    </row>
    <row r="148" spans="1:35" s="57" customFormat="1">
      <c r="B148" s="78"/>
      <c r="C148" s="78"/>
      <c r="D148" s="78"/>
      <c r="E148" s="78"/>
      <c r="F148" s="305" t="s">
        <v>159</v>
      </c>
      <c r="G148" s="306"/>
      <c r="H148" s="601"/>
      <c r="I148" s="306"/>
      <c r="J148" s="624"/>
      <c r="K148" s="307"/>
      <c r="L148" s="308"/>
      <c r="M148" s="309"/>
      <c r="N148" s="176">
        <f>SUM(N142:N147)</f>
        <v>36391460</v>
      </c>
      <c r="O148" s="176">
        <f t="shared" ref="O148:AE148" si="43">SUM(O142:O147)</f>
        <v>36177458</v>
      </c>
      <c r="P148" s="176">
        <f t="shared" si="43"/>
        <v>35938165</v>
      </c>
      <c r="Q148" s="176">
        <f t="shared" si="43"/>
        <v>36197749</v>
      </c>
      <c r="R148" s="176">
        <f>SUM(R142:R147)</f>
        <v>34952502</v>
      </c>
      <c r="S148" s="177"/>
      <c r="T148" s="176">
        <f>SUM(T142:T147)</f>
        <v>36140210</v>
      </c>
      <c r="U148" s="176">
        <f t="shared" si="43"/>
        <v>36587523</v>
      </c>
      <c r="V148" s="176">
        <f t="shared" si="43"/>
        <v>35693705</v>
      </c>
      <c r="W148" s="176">
        <f t="shared" si="43"/>
        <v>35567019</v>
      </c>
      <c r="X148" s="176">
        <f t="shared" si="43"/>
        <v>35914282.09008</v>
      </c>
      <c r="Y148" s="176">
        <f t="shared" si="43"/>
        <v>36670341.036019087</v>
      </c>
      <c r="Z148" s="176">
        <f t="shared" si="43"/>
        <v>37234516.626772717</v>
      </c>
      <c r="AA148" s="176">
        <f t="shared" si="43"/>
        <v>38102064.55745624</v>
      </c>
      <c r="AB148" s="176">
        <f t="shared" si="43"/>
        <v>38997851.316989228</v>
      </c>
      <c r="AC148" s="176">
        <f t="shared" si="43"/>
        <v>39920148.678609848</v>
      </c>
      <c r="AD148" s="176">
        <f t="shared" si="43"/>
        <v>40349674.101957023</v>
      </c>
      <c r="AE148" s="176">
        <f t="shared" si="43"/>
        <v>40751477.282281153</v>
      </c>
      <c r="AF148" s="176">
        <f t="shared" ref="AF148:AG148" si="44">SUM(AF142:AF147)</f>
        <v>41142891.325263157</v>
      </c>
      <c r="AG148" s="176">
        <f t="shared" si="44"/>
        <v>41534656.194990247</v>
      </c>
      <c r="AH148" s="77"/>
      <c r="AI148" s="77"/>
    </row>
    <row r="149" spans="1:35" s="57" customFormat="1">
      <c r="A149" s="77"/>
      <c r="B149" s="95"/>
      <c r="C149" s="95"/>
      <c r="D149" s="95"/>
      <c r="E149" s="95"/>
      <c r="F149" s="95"/>
      <c r="G149" s="56"/>
      <c r="H149" s="51"/>
      <c r="I149" s="56"/>
      <c r="J149" s="613"/>
      <c r="K149" s="310"/>
      <c r="L149" s="309"/>
      <c r="M149" s="309"/>
      <c r="N149" s="63"/>
      <c r="O149" s="63"/>
      <c r="P149" s="63"/>
      <c r="Q149" s="63"/>
      <c r="R149" s="63"/>
      <c r="S149" s="177"/>
      <c r="T149" s="508">
        <f>T148-'Budget P&amp;L Input'!L15</f>
        <v>0</v>
      </c>
      <c r="U149" s="508">
        <f>U148-'Budget P&amp;L Input'!M15</f>
        <v>0</v>
      </c>
      <c r="V149" s="508">
        <f>V148-'Budget P&amp;L Input'!N15</f>
        <v>0</v>
      </c>
      <c r="W149" s="508">
        <f>W148-'Budget P&amp;L Input'!O15</f>
        <v>0</v>
      </c>
      <c r="X149" s="508"/>
      <c r="Y149" s="508"/>
      <c r="Z149" s="508"/>
      <c r="AA149" s="508"/>
      <c r="AB149" s="508"/>
      <c r="AC149" s="508"/>
      <c r="AD149" s="508"/>
      <c r="AE149" s="508"/>
      <c r="AF149" s="508"/>
      <c r="AG149" s="508"/>
      <c r="AH149" s="77"/>
      <c r="AI149" s="77"/>
    </row>
    <row r="150" spans="1:35">
      <c r="A150" s="77" t="s">
        <v>160</v>
      </c>
      <c r="B150" s="57"/>
      <c r="C150" s="57"/>
      <c r="D150" s="57"/>
      <c r="E150" s="57"/>
      <c r="F150" s="57"/>
      <c r="J150" s="622"/>
      <c r="K150" s="311"/>
      <c r="L150" s="304"/>
      <c r="M150" s="304"/>
      <c r="N150" s="59"/>
      <c r="O150" s="59"/>
      <c r="P150" s="312"/>
      <c r="Q150" s="59"/>
      <c r="R150" s="59"/>
      <c r="S150" s="188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</row>
    <row r="151" spans="1:35" outlineLevel="1">
      <c r="A151" s="50"/>
      <c r="B151" s="162" t="s">
        <v>43</v>
      </c>
      <c r="H151" s="5" t="s">
        <v>83</v>
      </c>
      <c r="J151" s="436" t="s">
        <v>12</v>
      </c>
      <c r="K151" s="187"/>
      <c r="L151" s="303"/>
      <c r="M151" s="304"/>
      <c r="N151" s="242"/>
      <c r="O151" s="242"/>
      <c r="P151" s="242"/>
      <c r="Q151" s="242"/>
      <c r="R151" s="242"/>
      <c r="S151" s="188"/>
      <c r="T151" s="217"/>
      <c r="U151" s="242"/>
      <c r="V151" s="242"/>
      <c r="W151" s="242"/>
      <c r="X151" s="242"/>
      <c r="Y151" s="242"/>
      <c r="Z151" s="242"/>
      <c r="AA151" s="242"/>
      <c r="AB151" s="242"/>
      <c r="AC151" s="242"/>
      <c r="AD151" s="242"/>
      <c r="AE151" s="242"/>
      <c r="AF151" s="242"/>
      <c r="AG151" s="242"/>
    </row>
    <row r="152" spans="1:35" outlineLevel="1">
      <c r="A152" s="50"/>
      <c r="B152" s="162" t="s">
        <v>44</v>
      </c>
      <c r="H152" s="5" t="s">
        <v>83</v>
      </c>
      <c r="J152" s="436" t="s">
        <v>12</v>
      </c>
      <c r="K152" s="187"/>
      <c r="L152" s="303"/>
      <c r="M152" s="304"/>
      <c r="N152" s="242"/>
      <c r="O152" s="242"/>
      <c r="P152" s="242"/>
      <c r="Q152" s="242"/>
      <c r="R152" s="242"/>
      <c r="S152" s="188"/>
      <c r="T152" s="217"/>
      <c r="U152" s="242"/>
      <c r="V152" s="242"/>
      <c r="W152" s="242"/>
      <c r="X152" s="242"/>
      <c r="Y152" s="242"/>
      <c r="Z152" s="242"/>
      <c r="AA152" s="242"/>
      <c r="AB152" s="242"/>
      <c r="AC152" s="242"/>
      <c r="AD152" s="242"/>
      <c r="AE152" s="242"/>
      <c r="AF152" s="242"/>
      <c r="AG152" s="242"/>
    </row>
    <row r="153" spans="1:35" outlineLevel="1">
      <c r="A153" s="50"/>
      <c r="B153" s="162" t="s">
        <v>161</v>
      </c>
      <c r="H153" s="602"/>
      <c r="J153" s="436" t="s">
        <v>12</v>
      </c>
      <c r="K153" s="187"/>
      <c r="L153" s="303"/>
      <c r="M153" s="304"/>
      <c r="N153" s="242"/>
      <c r="O153" s="242"/>
      <c r="P153" s="242"/>
      <c r="Q153" s="242"/>
      <c r="R153" s="242"/>
      <c r="S153" s="188"/>
      <c r="T153" s="217"/>
      <c r="U153" s="242"/>
      <c r="V153" s="242"/>
      <c r="W153" s="242"/>
      <c r="X153" s="242"/>
      <c r="Y153" s="242"/>
      <c r="Z153" s="242"/>
      <c r="AA153" s="242"/>
      <c r="AB153" s="242"/>
      <c r="AC153" s="242"/>
      <c r="AD153" s="242"/>
      <c r="AE153" s="242"/>
      <c r="AF153" s="242"/>
      <c r="AG153" s="242"/>
    </row>
    <row r="154" spans="1:35" s="57" customFormat="1">
      <c r="B154" s="78"/>
      <c r="C154" s="78"/>
      <c r="D154" s="78"/>
      <c r="E154" s="78"/>
      <c r="F154" s="305" t="s">
        <v>162</v>
      </c>
      <c r="G154" s="306"/>
      <c r="H154" s="601"/>
      <c r="I154" s="306"/>
      <c r="J154" s="624"/>
      <c r="K154" s="307"/>
      <c r="L154" s="308"/>
      <c r="M154" s="309"/>
      <c r="N154" s="176">
        <f>SUM(N151:N153)</f>
        <v>0</v>
      </c>
      <c r="O154" s="176">
        <f t="shared" ref="O154:AE154" si="45">SUM(O151:O153)</f>
        <v>0</v>
      </c>
      <c r="P154" s="176">
        <f t="shared" si="45"/>
        <v>0</v>
      </c>
      <c r="Q154" s="176">
        <f t="shared" si="45"/>
        <v>0</v>
      </c>
      <c r="R154" s="176">
        <f>SUM(R151:R153)</f>
        <v>0</v>
      </c>
      <c r="S154" s="177"/>
      <c r="T154" s="176">
        <f>SUM(T151:T153)</f>
        <v>0</v>
      </c>
      <c r="U154" s="176">
        <f>SUM(U151:U153)</f>
        <v>0</v>
      </c>
      <c r="V154" s="176">
        <f>SUM(V151:V153)</f>
        <v>0</v>
      </c>
      <c r="W154" s="176">
        <f>SUM(W151:W153)</f>
        <v>0</v>
      </c>
      <c r="X154" s="176">
        <f t="shared" si="45"/>
        <v>0</v>
      </c>
      <c r="Y154" s="176">
        <f t="shared" si="45"/>
        <v>0</v>
      </c>
      <c r="Z154" s="176">
        <f t="shared" si="45"/>
        <v>0</v>
      </c>
      <c r="AA154" s="176">
        <f t="shared" si="45"/>
        <v>0</v>
      </c>
      <c r="AB154" s="176">
        <f t="shared" si="45"/>
        <v>0</v>
      </c>
      <c r="AC154" s="176">
        <f t="shared" si="45"/>
        <v>0</v>
      </c>
      <c r="AD154" s="176">
        <f t="shared" si="45"/>
        <v>0</v>
      </c>
      <c r="AE154" s="176">
        <f t="shared" si="45"/>
        <v>0</v>
      </c>
      <c r="AF154" s="176">
        <f t="shared" ref="AF154:AG154" si="46">SUM(AF151:AF153)</f>
        <v>0</v>
      </c>
      <c r="AG154" s="176">
        <f t="shared" si="46"/>
        <v>0</v>
      </c>
      <c r="AH154" s="77"/>
      <c r="AI154" s="77"/>
    </row>
    <row r="155" spans="1:35">
      <c r="A155" s="50"/>
      <c r="B155" s="95"/>
      <c r="C155" s="95"/>
      <c r="D155" s="95"/>
      <c r="E155" s="95"/>
      <c r="F155" s="77" t="s">
        <v>163</v>
      </c>
      <c r="J155" s="622"/>
      <c r="K155" s="311"/>
      <c r="L155" s="304"/>
      <c r="M155" s="304"/>
      <c r="N155" s="63">
        <f>+N148+N154</f>
        <v>36391460</v>
      </c>
      <c r="O155" s="63">
        <f t="shared" ref="O155:AE155" si="47">+O148+O154</f>
        <v>36177458</v>
      </c>
      <c r="P155" s="63">
        <f t="shared" si="47"/>
        <v>35938165</v>
      </c>
      <c r="Q155" s="63">
        <f t="shared" si="47"/>
        <v>36197749</v>
      </c>
      <c r="R155" s="63">
        <f t="shared" si="47"/>
        <v>34952502</v>
      </c>
      <c r="S155" s="177"/>
      <c r="T155" s="63">
        <f t="shared" ref="T155" si="48">+T148+T154</f>
        <v>36140210</v>
      </c>
      <c r="U155" s="63">
        <f t="shared" si="47"/>
        <v>36587523</v>
      </c>
      <c r="V155" s="63">
        <f t="shared" si="47"/>
        <v>35693705</v>
      </c>
      <c r="W155" s="63">
        <f t="shared" si="47"/>
        <v>35567019</v>
      </c>
      <c r="X155" s="63">
        <f t="shared" si="47"/>
        <v>35914282.09008</v>
      </c>
      <c r="Y155" s="63">
        <f t="shared" si="47"/>
        <v>36670341.036019087</v>
      </c>
      <c r="Z155" s="63">
        <f t="shared" si="47"/>
        <v>37234516.626772717</v>
      </c>
      <c r="AA155" s="63">
        <f t="shared" si="47"/>
        <v>38102064.55745624</v>
      </c>
      <c r="AB155" s="63">
        <f t="shared" si="47"/>
        <v>38997851.316989228</v>
      </c>
      <c r="AC155" s="63">
        <f t="shared" si="47"/>
        <v>39920148.678609848</v>
      </c>
      <c r="AD155" s="63">
        <f t="shared" si="47"/>
        <v>40349674.101957023</v>
      </c>
      <c r="AE155" s="63">
        <f t="shared" si="47"/>
        <v>40751477.282281153</v>
      </c>
      <c r="AF155" s="63">
        <f t="shared" ref="AF155:AG155" si="49">+AF148+AF154</f>
        <v>41142891.325263157</v>
      </c>
      <c r="AG155" s="63">
        <f t="shared" si="49"/>
        <v>41534656.194990247</v>
      </c>
    </row>
    <row r="156" spans="1:35">
      <c r="J156" s="622"/>
      <c r="K156" s="311"/>
      <c r="L156" s="304"/>
      <c r="M156" s="304"/>
      <c r="N156" s="59"/>
      <c r="O156" s="59"/>
      <c r="P156" s="59"/>
      <c r="Q156" s="59"/>
      <c r="R156" s="59"/>
      <c r="S156" s="188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</row>
    <row r="157" spans="1:35">
      <c r="A157" s="77" t="s">
        <v>164</v>
      </c>
      <c r="B157" s="57"/>
      <c r="C157" s="57"/>
      <c r="D157" s="57"/>
      <c r="E157" s="57"/>
      <c r="F157" s="57"/>
      <c r="J157" s="622"/>
      <c r="K157" s="311"/>
      <c r="L157" s="304"/>
      <c r="M157" s="304"/>
      <c r="N157" s="59"/>
      <c r="O157" s="59"/>
      <c r="P157" s="59"/>
      <c r="Q157" s="59"/>
      <c r="R157" s="59"/>
      <c r="S157" s="188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</row>
    <row r="158" spans="1:35" outlineLevel="1">
      <c r="A158" s="50"/>
      <c r="B158" s="162" t="s">
        <v>165</v>
      </c>
      <c r="G158" s="5" t="s">
        <v>501</v>
      </c>
      <c r="J158" s="436" t="s">
        <v>12</v>
      </c>
      <c r="K158" s="187"/>
      <c r="L158" s="303"/>
      <c r="M158" s="304"/>
      <c r="N158" s="242"/>
      <c r="O158" s="242"/>
      <c r="P158" s="242"/>
      <c r="Q158" s="242"/>
      <c r="R158" s="242"/>
      <c r="S158" s="188"/>
      <c r="T158" s="217"/>
      <c r="U158" s="242"/>
      <c r="V158" s="242"/>
      <c r="W158" s="242"/>
      <c r="X158" s="242"/>
      <c r="Y158" s="242"/>
      <c r="Z158" s="242"/>
      <c r="AA158" s="242"/>
      <c r="AB158" s="242"/>
      <c r="AC158" s="242"/>
      <c r="AD158" s="242"/>
      <c r="AE158" s="242"/>
      <c r="AF158" s="242"/>
      <c r="AG158" s="242"/>
    </row>
    <row r="159" spans="1:35" outlineLevel="1">
      <c r="A159" s="50"/>
      <c r="B159" s="162" t="s">
        <v>166</v>
      </c>
      <c r="G159" s="5" t="s">
        <v>461</v>
      </c>
      <c r="H159" s="602"/>
      <c r="J159" s="436" t="s">
        <v>12</v>
      </c>
      <c r="K159" s="187"/>
      <c r="L159" s="303"/>
      <c r="M159" s="304"/>
      <c r="N159" s="242"/>
      <c r="O159" s="242"/>
      <c r="P159" s="242"/>
      <c r="Q159" s="242"/>
      <c r="R159" s="242"/>
      <c r="S159" s="188"/>
      <c r="T159" s="217"/>
      <c r="U159" s="242"/>
      <c r="V159" s="242"/>
      <c r="W159" s="242"/>
      <c r="X159" s="242"/>
      <c r="Y159" s="242"/>
      <c r="Z159" s="242"/>
      <c r="AA159" s="242"/>
      <c r="AB159" s="242"/>
      <c r="AC159" s="242"/>
      <c r="AD159" s="242"/>
      <c r="AE159" s="242"/>
      <c r="AF159" s="242"/>
      <c r="AG159" s="242"/>
    </row>
    <row r="160" spans="1:35" outlineLevel="1">
      <c r="A160" s="50"/>
      <c r="B160" s="162" t="s">
        <v>45</v>
      </c>
      <c r="H160" s="5" t="s">
        <v>83</v>
      </c>
      <c r="J160" s="436" t="s">
        <v>12</v>
      </c>
      <c r="K160" s="187"/>
      <c r="L160" s="303"/>
      <c r="M160" s="304"/>
      <c r="N160" s="242"/>
      <c r="O160" s="242"/>
      <c r="P160" s="242"/>
      <c r="Q160" s="242"/>
      <c r="R160" s="242"/>
      <c r="S160" s="188"/>
      <c r="T160" s="217"/>
      <c r="U160" s="242"/>
      <c r="V160" s="242"/>
      <c r="W160" s="242"/>
      <c r="X160" s="242"/>
      <c r="Y160" s="242"/>
      <c r="Z160" s="242"/>
      <c r="AA160" s="242"/>
      <c r="AB160" s="242"/>
      <c r="AC160" s="242"/>
      <c r="AD160" s="242"/>
      <c r="AE160" s="242"/>
      <c r="AF160" s="242"/>
      <c r="AG160" s="242"/>
    </row>
    <row r="161" spans="1:35" outlineLevel="1">
      <c r="A161" s="50"/>
      <c r="B161" s="162" t="s">
        <v>167</v>
      </c>
      <c r="H161" s="5" t="s">
        <v>83</v>
      </c>
      <c r="J161" s="436" t="s">
        <v>12</v>
      </c>
      <c r="K161" s="187"/>
      <c r="L161" s="303"/>
      <c r="M161" s="304"/>
      <c r="N161" s="242"/>
      <c r="O161" s="242"/>
      <c r="P161" s="242"/>
      <c r="Q161" s="242"/>
      <c r="R161" s="242"/>
      <c r="S161" s="188"/>
      <c r="T161" s="217"/>
      <c r="U161" s="242"/>
      <c r="V161" s="242"/>
      <c r="W161" s="242"/>
      <c r="X161" s="242"/>
      <c r="Y161" s="242"/>
      <c r="Z161" s="242"/>
      <c r="AA161" s="242"/>
      <c r="AB161" s="242"/>
      <c r="AC161" s="242"/>
      <c r="AD161" s="242"/>
      <c r="AE161" s="242"/>
      <c r="AF161" s="242"/>
      <c r="AG161" s="242"/>
    </row>
    <row r="162" spans="1:35" outlineLevel="1">
      <c r="A162" s="50"/>
      <c r="B162" s="162" t="s">
        <v>503</v>
      </c>
      <c r="H162" s="5" t="s">
        <v>83</v>
      </c>
      <c r="J162" s="436" t="s">
        <v>12</v>
      </c>
      <c r="K162" s="187"/>
      <c r="L162" s="303"/>
      <c r="M162" s="304"/>
      <c r="N162" s="242"/>
      <c r="O162" s="242"/>
      <c r="P162" s="242"/>
      <c r="Q162" s="242"/>
      <c r="R162" s="242"/>
      <c r="S162" s="188"/>
      <c r="T162" s="217"/>
      <c r="U162" s="242"/>
      <c r="V162" s="242"/>
      <c r="W162" s="242"/>
      <c r="X162" s="242"/>
      <c r="Y162" s="242"/>
      <c r="Z162" s="242"/>
      <c r="AA162" s="242"/>
      <c r="AB162" s="242"/>
      <c r="AC162" s="242"/>
      <c r="AD162" s="242"/>
      <c r="AE162" s="242"/>
      <c r="AF162" s="242"/>
      <c r="AG162" s="242"/>
    </row>
    <row r="163" spans="1:35" outlineLevel="1">
      <c r="A163" s="50"/>
      <c r="B163" s="162" t="s">
        <v>47</v>
      </c>
      <c r="H163" s="5" t="s">
        <v>83</v>
      </c>
      <c r="J163" s="436" t="s">
        <v>12</v>
      </c>
      <c r="K163" s="187"/>
      <c r="L163" s="303"/>
      <c r="M163" s="304"/>
      <c r="N163" s="242"/>
      <c r="O163" s="242"/>
      <c r="P163" s="242"/>
      <c r="Q163" s="242"/>
      <c r="R163" s="242"/>
      <c r="S163" s="188"/>
      <c r="T163" s="217"/>
      <c r="U163" s="242"/>
      <c r="V163" s="242"/>
      <c r="W163" s="242"/>
      <c r="X163" s="242"/>
      <c r="Y163" s="242"/>
      <c r="Z163" s="242"/>
      <c r="AA163" s="242"/>
      <c r="AB163" s="242"/>
      <c r="AC163" s="242"/>
      <c r="AD163" s="242"/>
      <c r="AE163" s="242"/>
      <c r="AF163" s="242"/>
      <c r="AG163" s="242"/>
    </row>
    <row r="164" spans="1:35">
      <c r="A164" s="50"/>
      <c r="B164" s="173"/>
      <c r="C164" s="173"/>
      <c r="D164" s="173"/>
      <c r="E164" s="173"/>
      <c r="F164" s="174" t="s">
        <v>168</v>
      </c>
      <c r="G164" s="236"/>
      <c r="H164" s="605"/>
      <c r="I164" s="236"/>
      <c r="J164" s="625"/>
      <c r="K164" s="313"/>
      <c r="L164" s="314"/>
      <c r="M164" s="304"/>
      <c r="N164" s="176">
        <f>SUM(N158:N163)</f>
        <v>0</v>
      </c>
      <c r="O164" s="176">
        <f>SUM(O158:O163)</f>
        <v>0</v>
      </c>
      <c r="P164" s="176">
        <f>SUM(P158:P163)</f>
        <v>0</v>
      </c>
      <c r="Q164" s="176">
        <f>SUM(Q158:Q163)</f>
        <v>0</v>
      </c>
      <c r="R164" s="176">
        <f>SUM(R158:R163)</f>
        <v>0</v>
      </c>
      <c r="S164" s="177"/>
      <c r="T164" s="176">
        <f>SUM(T158:T163)</f>
        <v>0</v>
      </c>
      <c r="U164" s="176">
        <f t="shared" ref="U164:AE164" si="50">SUM(U158:U163)</f>
        <v>0</v>
      </c>
      <c r="V164" s="176">
        <f t="shared" si="50"/>
        <v>0</v>
      </c>
      <c r="W164" s="176">
        <f t="shared" si="50"/>
        <v>0</v>
      </c>
      <c r="X164" s="176">
        <f t="shared" si="50"/>
        <v>0</v>
      </c>
      <c r="Y164" s="176">
        <f t="shared" si="50"/>
        <v>0</v>
      </c>
      <c r="Z164" s="176">
        <f t="shared" si="50"/>
        <v>0</v>
      </c>
      <c r="AA164" s="176">
        <f t="shared" si="50"/>
        <v>0</v>
      </c>
      <c r="AB164" s="176">
        <f t="shared" si="50"/>
        <v>0</v>
      </c>
      <c r="AC164" s="176">
        <f t="shared" si="50"/>
        <v>0</v>
      </c>
      <c r="AD164" s="176">
        <f t="shared" si="50"/>
        <v>0</v>
      </c>
      <c r="AE164" s="176">
        <f t="shared" si="50"/>
        <v>0</v>
      </c>
      <c r="AF164" s="176">
        <f t="shared" ref="AF164:AG164" si="51">SUM(AF158:AF163)</f>
        <v>0</v>
      </c>
      <c r="AG164" s="176">
        <f t="shared" si="51"/>
        <v>0</v>
      </c>
    </row>
    <row r="165" spans="1:35">
      <c r="J165" s="622"/>
      <c r="K165" s="311"/>
      <c r="L165" s="304"/>
      <c r="M165" s="304"/>
      <c r="N165" s="59"/>
      <c r="O165" s="59"/>
      <c r="P165" s="59"/>
      <c r="Q165" s="59"/>
      <c r="R165" s="59"/>
      <c r="S165" s="188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</row>
    <row r="166" spans="1:35" s="57" customFormat="1">
      <c r="B166" s="78"/>
      <c r="C166" s="78"/>
      <c r="D166" s="78"/>
      <c r="E166" s="78"/>
      <c r="F166" s="305" t="s">
        <v>169</v>
      </c>
      <c r="G166" s="306"/>
      <c r="H166" s="601"/>
      <c r="I166" s="306"/>
      <c r="J166" s="618"/>
      <c r="K166" s="78"/>
      <c r="L166" s="315"/>
      <c r="M166" s="231"/>
      <c r="N166" s="316">
        <f>+N155+N164</f>
        <v>36391460</v>
      </c>
      <c r="O166" s="316">
        <f>+O155+O164</f>
        <v>36177458</v>
      </c>
      <c r="P166" s="316">
        <f>+P155+P164</f>
        <v>35938165</v>
      </c>
      <c r="Q166" s="316">
        <f>+Q155+Q164</f>
        <v>36197749</v>
      </c>
      <c r="R166" s="316">
        <f>+R155+R164</f>
        <v>34952502</v>
      </c>
      <c r="S166" s="147"/>
      <c r="T166" s="316">
        <f>+T155+T164</f>
        <v>36140210</v>
      </c>
      <c r="U166" s="316">
        <f t="shared" ref="U166:AE166" si="52">+U155+U164</f>
        <v>36587523</v>
      </c>
      <c r="V166" s="316">
        <f t="shared" si="52"/>
        <v>35693705</v>
      </c>
      <c r="W166" s="316">
        <f t="shared" si="52"/>
        <v>35567019</v>
      </c>
      <c r="X166" s="316">
        <f t="shared" si="52"/>
        <v>35914282.09008</v>
      </c>
      <c r="Y166" s="316">
        <f t="shared" si="52"/>
        <v>36670341.036019087</v>
      </c>
      <c r="Z166" s="316">
        <f t="shared" si="52"/>
        <v>37234516.626772717</v>
      </c>
      <c r="AA166" s="316">
        <f t="shared" si="52"/>
        <v>38102064.55745624</v>
      </c>
      <c r="AB166" s="316">
        <f t="shared" si="52"/>
        <v>38997851.316989228</v>
      </c>
      <c r="AC166" s="316">
        <f t="shared" si="52"/>
        <v>39920148.678609848</v>
      </c>
      <c r="AD166" s="316">
        <f t="shared" si="52"/>
        <v>40349674.101957023</v>
      </c>
      <c r="AE166" s="316">
        <f t="shared" si="52"/>
        <v>40751477.282281153</v>
      </c>
      <c r="AF166" s="316">
        <f t="shared" ref="AF166:AG166" si="53">+AF155+AF164</f>
        <v>41142891.325263157</v>
      </c>
      <c r="AG166" s="316">
        <f t="shared" si="53"/>
        <v>41534656.194990247</v>
      </c>
      <c r="AH166" s="77"/>
      <c r="AI166" s="77"/>
    </row>
    <row r="167" spans="1:35" s="57" customFormat="1">
      <c r="B167" s="95"/>
      <c r="C167" s="95"/>
      <c r="D167" s="95"/>
      <c r="E167" s="95"/>
      <c r="F167" s="77" t="s">
        <v>170</v>
      </c>
      <c r="G167" s="56"/>
      <c r="H167" s="51"/>
      <c r="I167" s="56"/>
      <c r="J167" s="451"/>
      <c r="K167" s="95"/>
      <c r="L167" s="231"/>
      <c r="M167" s="231"/>
      <c r="N167" s="74">
        <f>+N166-SUMIF($L$142:$L$163,"NC",N$142:N$163)</f>
        <v>36391460</v>
      </c>
      <c r="O167" s="74">
        <f>+O166-SUMIF($L$142:$L$163,"NC",O$142:O$163)</f>
        <v>36177458</v>
      </c>
      <c r="P167" s="74">
        <f>+P166-SUMIF($L$142:$L$163,"NC",P$142:P$163)</f>
        <v>35938165</v>
      </c>
      <c r="Q167" s="74">
        <f>+Q166-SUMIF($L$142:$L$163,"NC",Q$142:Q$163)</f>
        <v>36197749</v>
      </c>
      <c r="R167" s="74">
        <f>+R166-SUMIF($L$142:$L$163,"NC",R$142:R$163)</f>
        <v>34952502</v>
      </c>
      <c r="S167" s="147"/>
      <c r="T167" s="74">
        <f>+T166-SUMIF($L$142:$L$163,"NC",T$142:T$163)</f>
        <v>36140210</v>
      </c>
      <c r="U167" s="74">
        <f t="shared" ref="U167:AE167" si="54">+U166-SUMIF($L$142:$L$163,"NC",U$142:U$163)</f>
        <v>36587523</v>
      </c>
      <c r="V167" s="74">
        <f t="shared" si="54"/>
        <v>35693705</v>
      </c>
      <c r="W167" s="74">
        <f t="shared" si="54"/>
        <v>35567019</v>
      </c>
      <c r="X167" s="74">
        <f t="shared" si="54"/>
        <v>35914282.09008</v>
      </c>
      <c r="Y167" s="74">
        <f t="shared" si="54"/>
        <v>36670341.036019087</v>
      </c>
      <c r="Z167" s="74">
        <f t="shared" si="54"/>
        <v>37234516.626772717</v>
      </c>
      <c r="AA167" s="74">
        <f t="shared" si="54"/>
        <v>38102064.55745624</v>
      </c>
      <c r="AB167" s="74">
        <f t="shared" si="54"/>
        <v>38997851.316989228</v>
      </c>
      <c r="AC167" s="74">
        <f t="shared" si="54"/>
        <v>39920148.678609848</v>
      </c>
      <c r="AD167" s="74">
        <f t="shared" si="54"/>
        <v>40349674.101957023</v>
      </c>
      <c r="AE167" s="74">
        <f t="shared" si="54"/>
        <v>40751477.282281153</v>
      </c>
      <c r="AF167" s="74">
        <f t="shared" ref="AF167:AG167" si="55">+AF166-SUMIF($L$142:$L$163,"NC",AF$142:AF$163)</f>
        <v>41142891.325263157</v>
      </c>
      <c r="AG167" s="74">
        <f t="shared" si="55"/>
        <v>41534656.194990247</v>
      </c>
      <c r="AH167" s="77"/>
      <c r="AI167" s="77"/>
    </row>
    <row r="168" spans="1:35">
      <c r="B168" s="214"/>
      <c r="C168" s="214"/>
      <c r="D168" s="214"/>
      <c r="E168" s="214"/>
      <c r="F168" s="214"/>
      <c r="L168" s="229"/>
      <c r="M168" s="229"/>
      <c r="N168" s="67"/>
      <c r="O168" s="67"/>
      <c r="P168" s="67"/>
      <c r="Q168" s="67"/>
      <c r="R168" s="67"/>
      <c r="T168" s="67"/>
    </row>
    <row r="169" spans="1:35">
      <c r="A169" s="77" t="s">
        <v>171</v>
      </c>
      <c r="B169" s="57"/>
      <c r="C169" s="57"/>
      <c r="D169" s="57"/>
      <c r="E169" s="57"/>
      <c r="F169" s="57"/>
      <c r="L169" s="229"/>
      <c r="M169" s="229"/>
      <c r="N169" s="317"/>
      <c r="O169" s="317"/>
      <c r="P169" s="317"/>
      <c r="Q169" s="317"/>
      <c r="R169" s="317"/>
      <c r="S169" s="536"/>
      <c r="T169" s="106"/>
      <c r="U169" s="106"/>
      <c r="V169" s="106"/>
      <c r="W169" s="106"/>
      <c r="X169" s="106"/>
      <c r="Y169" s="106"/>
      <c r="Z169" s="106"/>
      <c r="AA169" s="106"/>
      <c r="AB169" s="106"/>
      <c r="AC169" s="106"/>
      <c r="AD169" s="106"/>
      <c r="AE169" s="106"/>
      <c r="AF169" s="106"/>
      <c r="AG169" s="106"/>
      <c r="AH169" s="317">
        <v>36290210</v>
      </c>
    </row>
    <row r="170" spans="1:35">
      <c r="A170" s="77"/>
      <c r="B170" s="57"/>
      <c r="C170" s="57"/>
      <c r="D170" s="57"/>
      <c r="E170" s="57"/>
      <c r="F170" s="57"/>
      <c r="L170" s="229"/>
      <c r="M170" s="229"/>
      <c r="N170" s="317"/>
      <c r="O170" s="317"/>
      <c r="P170" s="317"/>
      <c r="Q170" s="317"/>
      <c r="R170" s="317"/>
      <c r="S170" s="536"/>
      <c r="T170" s="106"/>
      <c r="U170" s="106"/>
      <c r="V170" s="106"/>
      <c r="W170" s="106"/>
      <c r="X170" s="106"/>
      <c r="Y170" s="106"/>
      <c r="Z170" s="106"/>
      <c r="AA170" s="106"/>
      <c r="AB170" s="106"/>
      <c r="AC170" s="106"/>
      <c r="AD170" s="106"/>
      <c r="AE170" s="106"/>
      <c r="AF170" s="106"/>
      <c r="AG170" s="106"/>
      <c r="AH170" s="317">
        <v>36290210</v>
      </c>
    </row>
    <row r="171" spans="1:35">
      <c r="A171" s="77" t="s">
        <v>172</v>
      </c>
      <c r="B171" s="57"/>
      <c r="C171" s="57"/>
      <c r="D171" s="57"/>
      <c r="E171" s="57"/>
      <c r="F171" s="57"/>
      <c r="L171" s="229"/>
      <c r="M171" s="229"/>
      <c r="N171" s="317"/>
      <c r="O171" s="317"/>
      <c r="P171" s="317"/>
      <c r="Q171" s="317"/>
      <c r="R171" s="317"/>
      <c r="S171" s="257"/>
      <c r="T171" s="317"/>
      <c r="U171" s="317"/>
      <c r="V171" s="317"/>
      <c r="W171" s="317"/>
      <c r="X171" s="317"/>
      <c r="Y171" s="317"/>
      <c r="Z171" s="317"/>
      <c r="AA171" s="317"/>
      <c r="AB171" s="317"/>
      <c r="AC171" s="317"/>
      <c r="AD171" s="317"/>
      <c r="AE171" s="317"/>
      <c r="AF171" s="317"/>
      <c r="AG171" s="317"/>
      <c r="AH171" s="317">
        <f t="shared" ref="AH171" si="56">AH167-AH170</f>
        <v>-36290210</v>
      </c>
    </row>
    <row r="172" spans="1:35">
      <c r="A172" s="77" t="s">
        <v>173</v>
      </c>
      <c r="B172" s="57"/>
      <c r="C172" s="57"/>
      <c r="D172" s="57"/>
      <c r="E172" s="57"/>
      <c r="F172" s="57"/>
      <c r="L172" s="229"/>
      <c r="M172" s="229"/>
      <c r="N172" s="317"/>
      <c r="O172" s="317"/>
      <c r="P172" s="317"/>
      <c r="Q172" s="317"/>
      <c r="R172" s="317"/>
      <c r="S172" s="257"/>
      <c r="T172" s="317"/>
      <c r="U172" s="317"/>
      <c r="V172" s="317"/>
      <c r="W172" s="317"/>
      <c r="X172" s="317"/>
      <c r="Y172" s="317"/>
      <c r="Z172" s="317"/>
      <c r="AA172" s="317"/>
      <c r="AB172" s="317"/>
      <c r="AC172" s="317"/>
      <c r="AD172" s="317"/>
      <c r="AE172" s="317"/>
      <c r="AF172" s="317"/>
      <c r="AG172" s="317"/>
    </row>
    <row r="173" spans="1:35">
      <c r="A173" s="77"/>
      <c r="B173" s="57" t="s">
        <v>174</v>
      </c>
      <c r="C173" s="57"/>
      <c r="D173" s="57"/>
      <c r="E173" s="57"/>
      <c r="F173" s="57"/>
      <c r="L173" s="229"/>
      <c r="M173" s="229"/>
      <c r="N173" s="317"/>
      <c r="O173" s="317"/>
      <c r="P173" s="317"/>
      <c r="Q173" s="317"/>
      <c r="R173" s="317"/>
      <c r="S173" s="257"/>
      <c r="T173" s="317"/>
      <c r="U173" s="317"/>
      <c r="V173" s="317"/>
      <c r="W173" s="317"/>
      <c r="X173" s="317"/>
      <c r="Y173" s="317"/>
      <c r="Z173" s="317"/>
      <c r="AA173" s="317"/>
      <c r="AB173" s="317"/>
      <c r="AC173" s="317"/>
      <c r="AD173" s="317"/>
      <c r="AE173" s="317"/>
      <c r="AF173" s="317"/>
      <c r="AG173" s="317"/>
    </row>
    <row r="174" spans="1:35" outlineLevel="1">
      <c r="A174" s="50"/>
      <c r="C174" s="162" t="s">
        <v>175</v>
      </c>
      <c r="J174" s="436" t="s">
        <v>176</v>
      </c>
      <c r="K174" s="187"/>
      <c r="L174" s="303"/>
      <c r="M174" s="304"/>
      <c r="N174" s="216">
        <f>'Budget P&amp;L Input'!G20</f>
        <v>-7152683.1711505437</v>
      </c>
      <c r="O174" s="216">
        <f>'Budget P&amp;L Input'!H20</f>
        <v>-7578698.4831139101</v>
      </c>
      <c r="P174" s="216">
        <f>'Budget P&amp;L Input'!I20</f>
        <v>-7363505.0162498234</v>
      </c>
      <c r="Q174" s="216">
        <f>'Budget P&amp;L Input'!J20</f>
        <v>-7780091.5557433628</v>
      </c>
      <c r="R174" s="216">
        <f>'Budget P&amp;L Input'!K20</f>
        <v>-7998039.8624464869</v>
      </c>
      <c r="T174" s="216">
        <f>IF(T$139="Actual", 'Budget P&amp;L Input'!L20, T187/(1+'2503'!F$27))</f>
        <v>-8049691.0525611872</v>
      </c>
      <c r="U174" s="216">
        <f>IF(U$139="Actual", 'Budget P&amp;L Input'!M20, U187/(1+'2503'!G$27))</f>
        <v>-7415403.5065152226</v>
      </c>
      <c r="V174" s="216">
        <f>IF(V$139="Actual", 'Budget P&amp;L Input'!N20, V187/(1+'2503'!H$27))</f>
        <v>-7449810.7870253967</v>
      </c>
      <c r="W174" s="216">
        <f>IF(W$139="Actual", 'Budget P&amp;L Input'!O20, W187/(1+'2503'!I$27))</f>
        <v>-7846105.4382183915</v>
      </c>
      <c r="X174" s="216">
        <f>IF(X$139="Actual", 'Budget P&amp;L Input'!P20, X187/(1+'2503'!J$27))</f>
        <v>-7907434.2751996256</v>
      </c>
      <c r="Y174" s="216">
        <f>IF(Y$139="Actual", 'Budget P&amp;L Input'!Q20, Y187/(1+'2503'!K$27))</f>
        <v>-8030393.6387251364</v>
      </c>
      <c r="Z174" s="216">
        <f>IF(Z$139="Actual", 'Budget P&amp;L Input'!R20, Z187/(1+'2503'!L$27))</f>
        <v>-8143020.1969158258</v>
      </c>
      <c r="AA174" s="216">
        <f>IF(AA$139="Actual", 'Budget P&amp;L Input'!S20, AA187/(1+'2503'!M$27))</f>
        <v>-8205449.7117414856</v>
      </c>
      <c r="AB174" s="216">
        <f>IF(AB$139="Actual", 'Budget P&amp;L Input'!T20, AB187/(1+'2503'!N$27))</f>
        <v>-8374047.7537557557</v>
      </c>
      <c r="AC174" s="216">
        <f>IF(AC$139="Actual", 'Budget P&amp;L Input'!U20, AC187/(1+'2503'!O$27))</f>
        <v>-8528047.4384158254</v>
      </c>
      <c r="AD174" s="216">
        <f>IF(AD$139="Actual", 'Budget P&amp;L Input'!V20, AD187/(1+'2503'!P$27))</f>
        <v>-8635433.4005839229</v>
      </c>
      <c r="AE174" s="216">
        <f>IF(AE$139="Actual", 'Budget P&amp;L Input'!W20, AE187/(1+'2503'!Q$27))</f>
        <v>-8747573.7044587582</v>
      </c>
      <c r="AF174" s="216">
        <f>IF(AF$139="Actual", 'Budget P&amp;L Input'!X20, AF187/(1+'2503'!R$27))</f>
        <v>-8855310.4740864616</v>
      </c>
      <c r="AG174" s="216">
        <f>IF(AG$139="Actual", 'Budget P&amp;L Input'!Y20, AG187/(1+'2503'!S$27))</f>
        <v>-8961693.7662611771</v>
      </c>
      <c r="AI174" s="77">
        <v>2503</v>
      </c>
    </row>
    <row r="175" spans="1:35">
      <c r="A175" s="50"/>
      <c r="C175" s="77" t="s">
        <v>177</v>
      </c>
      <c r="J175" s="622"/>
      <c r="K175" s="311"/>
      <c r="L175" s="304"/>
      <c r="M175" s="304"/>
      <c r="N175" s="179"/>
      <c r="O175" s="179"/>
      <c r="P175" s="179"/>
      <c r="Q175" s="179"/>
      <c r="R175" s="179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  <c r="AD175" s="179"/>
      <c r="AE175" s="179"/>
      <c r="AF175" s="179"/>
      <c r="AG175" s="179"/>
    </row>
    <row r="176" spans="1:35" outlineLevel="1">
      <c r="A176" s="50"/>
      <c r="D176" s="162" t="s">
        <v>178</v>
      </c>
      <c r="G176" s="318" t="s">
        <v>179</v>
      </c>
      <c r="J176" s="436" t="s">
        <v>176</v>
      </c>
      <c r="K176" s="187"/>
      <c r="L176" s="303"/>
      <c r="M176" s="304"/>
      <c r="N176" s="216">
        <f>'Budget P&amp;L Input'!G22</f>
        <v>-1072902.4756725815</v>
      </c>
      <c r="O176" s="216">
        <f>'Budget P&amp;L Input'!H22</f>
        <v>-1136804.7724670863</v>
      </c>
      <c r="P176" s="216">
        <f>'Budget P&amp;L Input'!I22</f>
        <v>-1141343.2775187227</v>
      </c>
      <c r="Q176" s="216">
        <f>'Budget P&amp;L Input'!J22</f>
        <v>-1244814.6489189379</v>
      </c>
      <c r="R176" s="216">
        <f>'Budget P&amp;L Input'!K22</f>
        <v>-1319676.5773036706</v>
      </c>
      <c r="T176" s="216">
        <f>IF(T$139="Actual", 'Budget P&amp;L Input'!L22, ((T$187/((1/'2503'!F$27)+1))*('2503'!F18/'2503'!F$27)))</f>
        <v>-1368447.4789354019</v>
      </c>
      <c r="U176" s="216">
        <f>IF(U$139="Actual", 'Budget P&amp;L Input'!M22, ((U$187/((1/'2503'!G$27)+1))*('2503'!G18/'2503'!G$27)))</f>
        <v>-1260618.5961075879</v>
      </c>
      <c r="V176" s="216">
        <f>IF(V$139="Actual", 'Budget P&amp;L Input'!N22, ((V$187/((1/'2503'!H$27)+1))*('2503'!H18/'2503'!H$27)))</f>
        <v>-1340965.9416645714</v>
      </c>
      <c r="W176" s="216">
        <f>IF(W$139="Actual", 'Budget P&amp;L Input'!O22, ((W$187/((1/'2503'!I$27)+1))*('2503'!I18/'2503'!I$27)))</f>
        <v>-1490760.0332614942</v>
      </c>
      <c r="X176" s="216">
        <f>IF(X$139="Actual", 'Budget P&amp;L Input'!P22, ((X$187/((1/'2503'!J$27)+1))*('2503'!J18/'2503'!J$27)))</f>
        <v>-1739635.5405439178</v>
      </c>
      <c r="Y176" s="216">
        <f>IF(Y$139="Actual", 'Budget P&amp;L Input'!Q22, ((Y$187/((1/'2503'!K$27)+1))*('2503'!K18/'2503'!K$27)))</f>
        <v>-1834043.9327833464</v>
      </c>
      <c r="Z176" s="216">
        <f>IF(Z$139="Actual", 'Budget P&amp;L Input'!R22, ((Z$187/((1/'2503'!L$27)+1))*('2503'!L18/'2503'!L$27)))</f>
        <v>-1930672.5934049105</v>
      </c>
      <c r="AA176" s="216">
        <f>IF(AA$139="Actual", 'Budget P&amp;L Input'!S22, ((AA$187/((1/'2503'!M$27)+1))*('2503'!M18/'2503'!M$27)))</f>
        <v>-2019648.2023354953</v>
      </c>
      <c r="AB176" s="216">
        <f>IF(AB$139="Actual", 'Budget P&amp;L Input'!T22, ((AB$187/((1/'2503'!N$27)+1))*('2503'!N18/'2503'!N$27)))</f>
        <v>-2139730.078866336</v>
      </c>
      <c r="AC176" s="216">
        <f>IF(AC$139="Actual", 'Budget P&amp;L Input'!U22, ((AC$187/((1/'2503'!O$27)+1))*('2503'!O18/'2503'!O$27)))</f>
        <v>-2262160.3473695721</v>
      </c>
      <c r="AD176" s="216">
        <f>IF(AD$139="Actual", 'Budget P&amp;L Input'!V22, ((AD$187/((1/'2503'!P$27)+1))*('2503'!P18/'2503'!P$27)))</f>
        <v>-2377979.6653177394</v>
      </c>
      <c r="AE176" s="216">
        <f>IF(AE$139="Actual", 'Budget P&amp;L Input'!W22, ((AE$187/((1/'2503'!Q$27)+1))*('2503'!Q18/'2503'!Q$27)))</f>
        <v>-2500701.3426837665</v>
      </c>
      <c r="AF176" s="216">
        <f>IF(AF$139="Actual", 'Budget P&amp;L Input'!X22, ((AF$187/((1/'2503'!R$27)+1))*('2503'!R18/'2503'!R$27)))</f>
        <v>-2628017.35443985</v>
      </c>
      <c r="AG176" s="216">
        <f>IF(AG$139="Actual", 'Budget P&amp;L Input'!Y22, ((AG$187/((1/'2503'!S$27)+1))*('2503'!S18/'2503'!S$27)))</f>
        <v>-2760989.5006559216</v>
      </c>
      <c r="AI176" s="77">
        <v>2503</v>
      </c>
    </row>
    <row r="177" spans="1:35" outlineLevel="1">
      <c r="A177" s="50"/>
      <c r="D177" s="162" t="s">
        <v>180</v>
      </c>
      <c r="G177" s="318" t="s">
        <v>179</v>
      </c>
      <c r="I177" s="319"/>
      <c r="J177" s="436" t="s">
        <v>176</v>
      </c>
      <c r="K177" s="187"/>
      <c r="L177" s="303"/>
      <c r="M177" s="304"/>
      <c r="N177" s="216">
        <f>'Budget P&amp;L Input'!G23</f>
        <v>-569353.58042358328</v>
      </c>
      <c r="O177" s="216">
        <f>'Budget P&amp;L Input'!H23</f>
        <v>-603264.39925586723</v>
      </c>
      <c r="P177" s="216">
        <f>'Budget P&amp;L Input'!I23</f>
        <v>-762122.76918185665</v>
      </c>
      <c r="Q177" s="216">
        <f>'Budget P&amp;L Input'!J23</f>
        <v>-787345.26544122829</v>
      </c>
      <c r="R177" s="216">
        <f>'Budget P&amp;L Input'!K23</f>
        <v>-809401.6340795845</v>
      </c>
      <c r="T177" s="216">
        <f>IF(T$139="Actual", 'Budget P&amp;L Input'!L23, ((T$187/((1/'2503'!F$27)+1))*('2503'!F19/'2503'!F$27)))</f>
        <v>-649610.06794168777</v>
      </c>
      <c r="U177" s="216">
        <f>IF(U$139="Actual", 'Budget P&amp;L Input'!M23, ((U$187/((1/'2503'!G$27)+1))*('2503'!G19/'2503'!G$27)))</f>
        <v>-696306.38926177949</v>
      </c>
      <c r="V177" s="216">
        <f>IF(V$139="Actual", 'Budget P&amp;L Input'!N23, ((V$187/((1/'2503'!H$27)+1))*('2503'!H19/'2503'!H$27)))</f>
        <v>-755410.81380437524</v>
      </c>
      <c r="W177" s="216">
        <f>IF(W$139="Actual", 'Budget P&amp;L Input'!O23, ((W$187/((1/'2503'!I$27)+1))*('2503'!I19/'2503'!I$27)))</f>
        <v>-795595.09143534489</v>
      </c>
      <c r="X177" s="216">
        <f>IF(X$139="Actual", 'Budget P&amp;L Input'!P23, ((X$187/((1/'2503'!J$27)+1))*('2503'!J19/'2503'!J$27)))</f>
        <v>-801813.83550524199</v>
      </c>
      <c r="Y177" s="216">
        <f>IF(Y$139="Actual", 'Budget P&amp;L Input'!Q23, ((Y$187/((1/'2503'!K$27)+1))*('2503'!K19/'2503'!K$27)))</f>
        <v>-880358.44346961693</v>
      </c>
      <c r="Z177" s="216">
        <f>IF(Z$139="Actual", 'Budget P&amp;L Input'!R23, ((Z$187/((1/'2503'!L$27)+1))*('2503'!L19/'2503'!L$27)))</f>
        <v>-965145.86889634735</v>
      </c>
      <c r="AA177" s="216">
        <f>IF(AA$139="Actual", 'Budget P&amp;L Input'!S23, ((AA$187/((1/'2503'!M$27)+1))*('2503'!M19/'2503'!M$27)))</f>
        <v>-1051464.4091590594</v>
      </c>
      <c r="AB177" s="216">
        <f>IF(AB$139="Actual", 'Budget P&amp;L Input'!T23, ((AB$187/((1/'2503'!N$27)+1))*('2503'!N19/'2503'!N$27)))</f>
        <v>-1160145.2506161602</v>
      </c>
      <c r="AC177" s="216">
        <f>IF(AC$139="Actual", 'Budget P&amp;L Input'!U23, ((AC$187/((1/'2503'!O$27)+1))*('2503'!O19/'2503'!O$27)))</f>
        <v>-1277354.0384311187</v>
      </c>
      <c r="AD177" s="216">
        <f>IF(AD$139="Actual", 'Budget P&amp;L Input'!V23, ((AD$187/((1/'2503'!P$27)+1))*('2503'!P19/'2503'!P$27)))</f>
        <v>-1398397.2509870988</v>
      </c>
      <c r="AE177" s="216">
        <f>IF(AE$139="Actual", 'Budget P&amp;L Input'!W23, ((AE$187/((1/'2503'!Q$27)+1))*('2503'!Q19/'2503'!Q$27)))</f>
        <v>-1531506.263917539</v>
      </c>
      <c r="AF177" s="216">
        <f>IF(AF$139="Actual", 'Budget P&amp;L Input'!X23, ((AF$187/((1/'2503'!R$27)+1))*('2503'!R19/'2503'!R$27)))</f>
        <v>-1676176.3322593153</v>
      </c>
      <c r="AG177" s="216">
        <f>IF(AG$139="Actual", 'Budget P&amp;L Input'!Y23, ((AG$187/((1/'2503'!S$27)+1))*('2503'!S19/'2503'!S$27)))</f>
        <v>-1833963.7853014751</v>
      </c>
      <c r="AI177" s="77">
        <v>2503</v>
      </c>
    </row>
    <row r="178" spans="1:35" outlineLevel="1">
      <c r="A178" s="50"/>
      <c r="D178" s="162" t="s">
        <v>181</v>
      </c>
      <c r="G178" s="318" t="s">
        <v>179</v>
      </c>
      <c r="I178" s="319"/>
      <c r="J178" s="436" t="s">
        <v>176</v>
      </c>
      <c r="K178" s="187"/>
      <c r="L178" s="303"/>
      <c r="M178" s="304"/>
      <c r="N178" s="216">
        <f>'Budget P&amp;L Input'!G24</f>
        <v>0</v>
      </c>
      <c r="O178" s="216">
        <f>'Budget P&amp;L Input'!H24</f>
        <v>0</v>
      </c>
      <c r="P178" s="216">
        <f>'Budget P&amp;L Input'!I24</f>
        <v>0</v>
      </c>
      <c r="Q178" s="216">
        <f>'Budget P&amp;L Input'!J24</f>
        <v>0</v>
      </c>
      <c r="R178" s="216">
        <f>'Budget P&amp;L Input'!K24</f>
        <v>0</v>
      </c>
      <c r="T178" s="216">
        <f>IF(T$139="Actual", 'Budget P&amp;L Input'!L24, ((T$187/((1/'2503'!F$27)+1))*('2503'!F20/'2503'!F$27)))</f>
        <v>-626265.96388926019</v>
      </c>
      <c r="U178" s="216">
        <f>IF(U$139="Actual", 'Budget P&amp;L Input'!M24, ((U$187/((1/'2503'!G$27)+1))*('2503'!G20/'2503'!G$27)))</f>
        <v>-941014.70497678197</v>
      </c>
      <c r="V178" s="216">
        <f>IF(V$139="Actual", 'Budget P&amp;L Input'!N24, ((V$187/((1/'2503'!H$27)+1))*('2503'!H20/'2503'!H$27)))</f>
        <v>-1067557.8857807394</v>
      </c>
      <c r="W178" s="216">
        <f>IF(W$139="Actual", 'Budget P&amp;L Input'!O24, ((W$187/((1/'2503'!I$27)+1))*('2503'!I20/'2503'!I$27)))</f>
        <v>-1124346.9092966954</v>
      </c>
      <c r="X178" s="216">
        <f>IF(X$139="Actual", 'Budget P&amp;L Input'!P24, ((X$187/((1/'2503'!J$27)+1))*('2503'!J20/'2503'!J$27)))</f>
        <v>-1133135.3316361064</v>
      </c>
      <c r="Y178" s="216">
        <f>IF(Y$139="Actual", 'Budget P&amp;L Input'!Q24, ((Y$187/((1/'2503'!K$27)+1))*('2503'!K20/'2503'!K$27)))</f>
        <v>-1160077.6480012233</v>
      </c>
      <c r="Z178" s="216">
        <f>IF(Z$139="Actual", 'Budget P&amp;L Input'!R24, ((Z$187/((1/'2503'!L$27)+1))*('2503'!L20/'2503'!L$27)))</f>
        <v>-1185800.7628491381</v>
      </c>
      <c r="AA178" s="216">
        <f>IF(AA$139="Actual", 'Budget P&amp;L Input'!S24, ((AA$187/((1/'2503'!M$27)+1))*('2503'!M20/'2503'!M$27)))</f>
        <v>-1204417.3142104023</v>
      </c>
      <c r="AB178" s="216">
        <f>IF(AB$139="Actual", 'Budget P&amp;L Input'!T24, ((AB$187/((1/'2503'!N$27)+1))*('2503'!N20/'2503'!N$27)))</f>
        <v>-1238885.751813248</v>
      </c>
      <c r="AC178" s="216">
        <f>IF(AC$139="Actual", 'Budget P&amp;L Input'!U24, ((AC$187/((1/'2503'!O$27)+1))*('2503'!O20/'2503'!O$27)))</f>
        <v>-1271568.9515349225</v>
      </c>
      <c r="AD178" s="216">
        <f>IF(AD$139="Actual", 'Budget P&amp;L Input'!V24, ((AD$187/((1/'2503'!P$27)+1))*('2503'!P20/'2503'!P$27)))</f>
        <v>-1297605.2772068735</v>
      </c>
      <c r="AE178" s="216">
        <f>IF(AE$139="Actual", 'Budget P&amp;L Input'!W24, ((AE$187/((1/'2503'!Q$27)+1))*('2503'!Q20/'2503'!Q$27)))</f>
        <v>-1324610.8564299543</v>
      </c>
      <c r="AF178" s="216">
        <f>IF(AF$139="Actual", 'Budget P&amp;L Input'!X24, ((AF$187/((1/'2503'!R$27)+1))*('2503'!R20/'2503'!R$27)))</f>
        <v>-1351204.8742959313</v>
      </c>
      <c r="AG178" s="216">
        <f>IF(AG$139="Actual", 'Budget P&amp;L Input'!Y24, ((AG$187/((1/'2503'!S$27)+1))*('2503'!S20/'2503'!S$27)))</f>
        <v>-1377840.9346196852</v>
      </c>
      <c r="AI178" s="77">
        <v>2503</v>
      </c>
    </row>
    <row r="179" spans="1:35" outlineLevel="1">
      <c r="A179" s="50"/>
      <c r="D179" s="162" t="s">
        <v>182</v>
      </c>
      <c r="G179" s="318" t="s">
        <v>179</v>
      </c>
      <c r="I179" s="319"/>
      <c r="J179" s="436" t="s">
        <v>176</v>
      </c>
      <c r="K179" s="187"/>
      <c r="L179" s="303"/>
      <c r="M179" s="304"/>
      <c r="N179" s="216">
        <f>'Budget P&amp;L Input'!G25</f>
        <v>-502118.35861476813</v>
      </c>
      <c r="O179" s="216">
        <f>'Budget P&amp;L Input'!H25</f>
        <v>-532024.63351459638</v>
      </c>
      <c r="P179" s="216">
        <f>'Budget P&amp;L Input'!I25</f>
        <v>-503663.74311148794</v>
      </c>
      <c r="Q179" s="216">
        <f>'Budget P&amp;L Input'!J25</f>
        <v>-529824.23494612286</v>
      </c>
      <c r="R179" s="216">
        <f>'Budget P&amp;L Input'!K25</f>
        <v>-544666.51463260571</v>
      </c>
      <c r="T179" s="216">
        <f>IF(T$139="Actual", 'Budget P&amp;L Input'!L25, ((T$187/((1/'2503'!F$27)+1))*('2503'!F21/'2503'!F$27)))</f>
        <v>-613386.45820516243</v>
      </c>
      <c r="U179" s="216">
        <f>IF(U$139="Actual", 'Budget P&amp;L Input'!M25, ((U$187/((1/'2503'!G$27)+1))*('2503'!G21/'2503'!G$27)))</f>
        <v>-563570.66649515694</v>
      </c>
      <c r="V179" s="216">
        <f>IF(V$139="Actual", 'Budget P&amp;L Input'!N25, ((V$187/((1/'2503'!H$27)+1))*('2503'!H21/'2503'!H$27)))</f>
        <v>-572890.44952225289</v>
      </c>
      <c r="W179" s="216">
        <f>IF(W$139="Actual", 'Budget P&amp;L Input'!O25, ((W$187/((1/'2503'!I$27)+1))*('2503'!I21/'2503'!I$27)))</f>
        <v>-603365.50819899421</v>
      </c>
      <c r="X179" s="216">
        <f>IF(X$139="Actual", 'Budget P&amp;L Input'!P25, ((X$187/((1/'2503'!J$27)+1))*('2503'!J21/'2503'!J$27)))</f>
        <v>-608081.69576285116</v>
      </c>
      <c r="Y179" s="216">
        <f>IF(Y$139="Actual", 'Budget P&amp;L Input'!Q25, ((Y$187/((1/'2503'!K$27)+1))*('2503'!K21/'2503'!K$27)))</f>
        <v>-619434.64036234422</v>
      </c>
      <c r="Z179" s="216">
        <f>IF(Z$139="Actual", 'Budget P&amp;L Input'!R25, ((Z$187/((1/'2503'!L$27)+1))*('2503'!L21/'2503'!L$27)))</f>
        <v>-630052.12496960326</v>
      </c>
      <c r="AA179" s="216">
        <f>IF(AA$139="Actual", 'Budget P&amp;L Input'!S25, ((AA$187/((1/'2503'!M$27)+1))*('2503'!M21/'2503'!M$27)))</f>
        <v>-636833.163243555</v>
      </c>
      <c r="AB179" s="216">
        <f>IF(AB$139="Actual", 'Budget P&amp;L Input'!T25, ((AB$187/((1/'2503'!N$27)+1))*('2503'!N21/'2503'!N$27)))</f>
        <v>-651915.08530848229</v>
      </c>
      <c r="AC179" s="216">
        <f>IF(AC$139="Actual", 'Budget P&amp;L Input'!U25, ((AC$187/((1/'2503'!O$27)+1))*('2503'!O21/'2503'!O$27)))</f>
        <v>-665943.70732234372</v>
      </c>
      <c r="AD179" s="216">
        <f>IF(AD$139="Actual", 'Budget P&amp;L Input'!V25, ((AD$187/((1/'2503'!P$27)+1))*('2503'!P21/'2503'!P$27)))</f>
        <v>-676401.19397394813</v>
      </c>
      <c r="AE179" s="216">
        <f>IF(AE$139="Actual", 'Budget P&amp;L Input'!W25, ((AE$187/((1/'2503'!Q$27)+1))*('2503'!Q21/'2503'!Q$27)))</f>
        <v>-687290.19983285083</v>
      </c>
      <c r="AF179" s="216">
        <f>IF(AF$139="Actual", 'Budget P&amp;L Input'!X25, ((AF$187/((1/'2503'!R$27)+1))*('2503'!R21/'2503'!R$27)))</f>
        <v>-697892.68748756195</v>
      </c>
      <c r="AG179" s="216">
        <f>IF(AG$139="Actual", 'Budget P&amp;L Input'!Y25, ((AG$187/((1/'2503'!S$27)+1))*('2503'!S21/'2503'!S$27)))</f>
        <v>-708446.84269510792</v>
      </c>
      <c r="AI179" s="77">
        <v>2503</v>
      </c>
    </row>
    <row r="180" spans="1:35" outlineLevel="1">
      <c r="A180" s="50"/>
      <c r="D180" s="162" t="s">
        <v>183</v>
      </c>
      <c r="G180" s="318" t="s">
        <v>179</v>
      </c>
      <c r="J180" s="436" t="s">
        <v>176</v>
      </c>
      <c r="K180" s="187"/>
      <c r="L180" s="303"/>
      <c r="M180" s="304"/>
      <c r="N180" s="216">
        <f>'Budget P&amp;L Input'!G26</f>
        <v>-443466.35661133373</v>
      </c>
      <c r="O180" s="216">
        <f>'Budget P&amp;L Input'!H26</f>
        <v>-469879.30595306237</v>
      </c>
      <c r="P180" s="216">
        <f>'Budget P&amp;L Input'!I26</f>
        <v>-456537.3110074891</v>
      </c>
      <c r="Q180" s="216">
        <f>'Budget P&amp;L Input'!J26</f>
        <v>-482365.67645608843</v>
      </c>
      <c r="R180" s="216">
        <f>'Budget P&amp;L Input'!K26</f>
        <v>-495878.47147168219</v>
      </c>
      <c r="T180" s="216">
        <f>IF(T$139="Actual", 'Budget P&amp;L Input'!L26, ((T$187/((1/'2503'!F$27)+1))*('2503'!F22/'2503'!F$27)))</f>
        <v>-499080.84525879356</v>
      </c>
      <c r="U180" s="216">
        <f>IF(U$139="Actual", 'Budget P&amp;L Input'!M26, ((U$187/((1/'2503'!G$27)+1))*('2503'!G22/'2503'!G$27)))</f>
        <v>-459755.01740394381</v>
      </c>
      <c r="V180" s="216">
        <f>IF(V$139="Actual", 'Budget P&amp;L Input'!N26, ((V$187/((1/'2503'!H$27)+1))*('2503'!H22/'2503'!H$27)))</f>
        <v>-461888.26879557461</v>
      </c>
      <c r="W180" s="216">
        <f>IF(W$139="Actual", 'Budget P&amp;L Input'!O26, ((W$187/((1/'2503'!I$27)+1))*('2503'!I22/'2503'!I$27)))</f>
        <v>-486458.5371695403</v>
      </c>
      <c r="X180" s="216">
        <f>IF(X$139="Actual", 'Budget P&amp;L Input'!P26, ((X$187/((1/'2503'!J$27)+1))*('2503'!J22/'2503'!J$27)))</f>
        <v>-490260.92506237677</v>
      </c>
      <c r="Y180" s="216">
        <f>IF(Y$139="Actual", 'Budget P&amp;L Input'!Q26, ((Y$187/((1/'2503'!K$27)+1))*('2503'!K22/'2503'!K$27)))</f>
        <v>-497884.40560095845</v>
      </c>
      <c r="Z180" s="216">
        <f>IF(Z$139="Actual", 'Budget P&amp;L Input'!R26, ((Z$187/((1/'2503'!L$27)+1))*('2503'!L22/'2503'!L$27)))</f>
        <v>-504867.25220878125</v>
      </c>
      <c r="AA180" s="216">
        <f>IF(AA$139="Actual", 'Budget P&amp;L Input'!S26, ((AA$187/((1/'2503'!M$27)+1))*('2503'!M22/'2503'!M$27)))</f>
        <v>-508737.88212797215</v>
      </c>
      <c r="AB180" s="216">
        <f>IF(AB$139="Actual", 'Budget P&amp;L Input'!T26, ((AB$187/((1/'2503'!N$27)+1))*('2503'!N22/'2503'!N$27)))</f>
        <v>-519190.96073285682</v>
      </c>
      <c r="AC180" s="216">
        <f>IF(AC$139="Actual", 'Budget P&amp;L Input'!U26, ((AC$187/((1/'2503'!O$27)+1))*('2503'!O22/'2503'!O$27)))</f>
        <v>-528738.94118178112</v>
      </c>
      <c r="AD180" s="216">
        <f>IF(AD$139="Actual", 'Budget P&amp;L Input'!V26, ((AD$187/((1/'2503'!P$27)+1))*('2503'!P22/'2503'!P$27)))</f>
        <v>-535396.87083620334</v>
      </c>
      <c r="AE180" s="216">
        <f>IF(AE$139="Actual", 'Budget P&amp;L Input'!W26, ((AE$187/((1/'2503'!Q$27)+1))*('2503'!Q22/'2503'!Q$27)))</f>
        <v>-542349.569676443</v>
      </c>
      <c r="AF180" s="216">
        <f>IF(AF$139="Actual", 'Budget P&amp;L Input'!X26, ((AF$187/((1/'2503'!R$27)+1))*('2503'!R22/'2503'!R$27)))</f>
        <v>-549029.24939336057</v>
      </c>
      <c r="AG180" s="216">
        <f>IF(AG$139="Actual", 'Budget P&amp;L Input'!Y26, ((AG$187/((1/'2503'!S$27)+1))*('2503'!S22/'2503'!S$27)))</f>
        <v>-555625.01350819296</v>
      </c>
      <c r="AI180" s="77">
        <v>2503</v>
      </c>
    </row>
    <row r="181" spans="1:35" outlineLevel="1">
      <c r="A181" s="50"/>
      <c r="D181" s="162" t="s">
        <v>184</v>
      </c>
      <c r="G181" s="318" t="s">
        <v>179</v>
      </c>
      <c r="J181" s="436" t="s">
        <v>176</v>
      </c>
      <c r="K181" s="187"/>
      <c r="L181" s="303"/>
      <c r="M181" s="304"/>
      <c r="N181" s="216">
        <f>'Budget P&amp;L Input'!G27</f>
        <v>-103713.9059816829</v>
      </c>
      <c r="O181" s="216">
        <f>'Budget P&amp;L Input'!H27</f>
        <v>-109891.1280051517</v>
      </c>
      <c r="P181" s="216">
        <f>'Budget P&amp;L Input'!I27</f>
        <v>-106770.82273562244</v>
      </c>
      <c r="Q181" s="216">
        <f>'Budget P&amp;L Input'!J27</f>
        <v>-112811.32755827875</v>
      </c>
      <c r="R181" s="216">
        <f>'Budget P&amp;L Input'!K27</f>
        <v>-115971.57800547406</v>
      </c>
      <c r="T181" s="216">
        <f>IF(T$139="Actual", 'Budget P&amp;L Input'!L27, ((T$187/((1/'2503'!F$27)+1))*('2503'!F23/'2503'!F$27)))</f>
        <v>-116720.52026213722</v>
      </c>
      <c r="U181" s="216">
        <f>IF(U$139="Actual", 'Budget P&amp;L Input'!M27, ((U$187/((1/'2503'!G$27)+1))*('2503'!G23/'2503'!G$27)))</f>
        <v>-107523.35084447074</v>
      </c>
      <c r="V181" s="216">
        <f>IF(V$139="Actual", 'Budget P&amp;L Input'!N27, ((V$187/((1/'2503'!H$27)+1))*('2503'!H23/'2503'!H$27)))</f>
        <v>-108022.25641186825</v>
      </c>
      <c r="W181" s="216">
        <f>IF(W$139="Actual", 'Budget P&amp;L Input'!O27, ((W$187/((1/'2503'!I$27)+1))*('2503'!I23/'2503'!I$27)))</f>
        <v>-113768.5288541667</v>
      </c>
      <c r="X181" s="216">
        <f>IF(X$139="Actual", 'Budget P&amp;L Input'!P27, ((X$187/((1/'2503'!J$27)+1))*('2503'!J23/'2503'!J$27)))</f>
        <v>-114657.79699039458</v>
      </c>
      <c r="Y181" s="216">
        <f>IF(Y$139="Actual", 'Budget P&amp;L Input'!Q27, ((Y$187/((1/'2503'!K$27)+1))*('2503'!K23/'2503'!K$27)))</f>
        <v>-116440.70776151448</v>
      </c>
      <c r="Z181" s="216">
        <f>IF(Z$139="Actual", 'Budget P&amp;L Input'!R27, ((Z$187/((1/'2503'!L$27)+1))*('2503'!L23/'2503'!L$27)))</f>
        <v>-118073.79285527951</v>
      </c>
      <c r="AA181" s="216">
        <f>IF(AA$139="Actual", 'Budget P&amp;L Input'!S27, ((AA$187/((1/'2503'!M$27)+1))*('2503'!M23/'2503'!M$27)))</f>
        <v>-118979.02082025158</v>
      </c>
      <c r="AB181" s="216">
        <f>IF(AB$139="Actual", 'Budget P&amp;L Input'!T27, ((AB$187/((1/'2503'!N$27)+1))*('2503'!N23/'2503'!N$27)))</f>
        <v>-121423.69242945846</v>
      </c>
      <c r="AC181" s="216">
        <f>IF(AC$139="Actual", 'Budget P&amp;L Input'!U27, ((AC$187/((1/'2503'!O$27)+1))*('2503'!O23/'2503'!O$27)))</f>
        <v>-123656.68785702946</v>
      </c>
      <c r="AD181" s="216">
        <f>IF(AD$139="Actual", 'Budget P&amp;L Input'!V27, ((AD$187/((1/'2503'!P$27)+1))*('2503'!P23/'2503'!P$27)))</f>
        <v>-125213.78430846693</v>
      </c>
      <c r="AE181" s="216">
        <f>IF(AE$139="Actual", 'Budget P&amp;L Input'!W27, ((AE$187/((1/'2503'!Q$27)+1))*('2503'!Q23/'2503'!Q$27)))</f>
        <v>-126839.81871465201</v>
      </c>
      <c r="AF181" s="216">
        <f>IF(AF$139="Actual", 'Budget P&amp;L Input'!X27, ((AF$187/((1/'2503'!R$27)+1))*('2503'!R23/'2503'!R$27)))</f>
        <v>-128402.00187425369</v>
      </c>
      <c r="AG181" s="216">
        <f>IF(AG$139="Actual", 'Budget P&amp;L Input'!Y27, ((AG$187/((1/'2503'!S$27)+1))*('2503'!S23/'2503'!S$27)))</f>
        <v>-129944.55961078711</v>
      </c>
      <c r="AI181" s="77">
        <v>2503</v>
      </c>
    </row>
    <row r="182" spans="1:35" outlineLevel="1">
      <c r="A182" s="50"/>
      <c r="D182" s="162" t="s">
        <v>185</v>
      </c>
      <c r="G182" s="318" t="s">
        <v>179</v>
      </c>
      <c r="J182" s="436" t="s">
        <v>176</v>
      </c>
      <c r="K182" s="187"/>
      <c r="L182" s="303"/>
      <c r="M182" s="304"/>
      <c r="N182" s="216">
        <f>'Budget P&amp;L Input'!G28</f>
        <v>-87262.734688036639</v>
      </c>
      <c r="O182" s="216">
        <f>'Budget P&amp;L Input'!H28</f>
        <v>-92460.121493989689</v>
      </c>
      <c r="P182" s="216">
        <f>'Budget P&amp;L Input'!I28</f>
        <v>-64798.844142998445</v>
      </c>
      <c r="Q182" s="216">
        <f>'Budget P&amp;L Input'!J28</f>
        <v>-90249.062046622988</v>
      </c>
      <c r="R182" s="216">
        <f>'Budget P&amp;L Input'!K28</f>
        <v>-92777.262404379246</v>
      </c>
      <c r="T182" s="216">
        <f>IF(T$139="Actual", 'Budget P&amp;L Input'!L28, ((T$187/((1/'2503'!F$27)+1))*('2503'!F24/'2503'!F$27)))</f>
        <v>-102231.07636752707</v>
      </c>
      <c r="U182" s="216">
        <f>IF(U$139="Actual", 'Budget P&amp;L Input'!M28, ((U$187/((1/'2503'!G$27)+1))*('2503'!G24/'2503'!G$27)))</f>
        <v>-78603.277169061374</v>
      </c>
      <c r="V182" s="216">
        <f>IF(V$139="Actual", 'Budget P&amp;L Input'!N28, ((V$187/((1/'2503'!H$27)+1))*('2503'!H24/'2503'!H$27)))</f>
        <v>-92377.65375911491</v>
      </c>
      <c r="W182" s="216">
        <f>IF(W$139="Actual", 'Budget P&amp;L Input'!O28, ((W$187/((1/'2503'!I$27)+1))*('2503'!I24/'2503'!I$27)))</f>
        <v>-97291.707433908043</v>
      </c>
      <c r="X182" s="216">
        <f>IF(X$139="Actual", 'Budget P&amp;L Input'!P28, ((X$187/((1/'2503'!J$27)+1))*('2503'!J24/'2503'!J$27)))</f>
        <v>-98052.185012475355</v>
      </c>
      <c r="Y182" s="216">
        <f>IF(Y$139="Actual", 'Budget P&amp;L Input'!Q28, ((Y$187/((1/'2503'!K$27)+1))*('2503'!K24/'2503'!K$27)))</f>
        <v>-99724.818842848341</v>
      </c>
      <c r="Z182" s="216">
        <f>IF(Z$139="Actual", 'Budget P&amp;L Input'!R28, ((Z$187/((1/'2503'!L$27)+1))*('2503'!L24/'2503'!L$27)))</f>
        <v>-101273.69841893352</v>
      </c>
      <c r="AA182" s="216">
        <f>IF(AA$139="Actual", 'Budget P&amp;L Input'!S28, ((AA$187/((1/'2503'!M$27)+1))*('2503'!M24/'2503'!M$27)))</f>
        <v>-102201.73842498373</v>
      </c>
      <c r="AB182" s="216">
        <f>IF(AB$139="Actual", 'Budget P&amp;L Input'!T28, ((AB$187/((1/'2503'!N$27)+1))*('2503'!N24/'2503'!N$27)))</f>
        <v>-104456.64304134063</v>
      </c>
      <c r="AC182" s="216">
        <f>IF(AC$139="Actual", 'Budget P&amp;L Input'!U28, ((AC$187/((1/'2503'!O$27)+1))*('2503'!O24/'2503'!O$27)))</f>
        <v>-106535.65383301128</v>
      </c>
      <c r="AD182" s="216">
        <f>IF(AD$139="Actual", 'Budget P&amp;L Input'!V28, ((AD$187/((1/'2503'!P$27)+1))*('2503'!P24/'2503'!P$27)))</f>
        <v>-108037.42978408808</v>
      </c>
      <c r="AE182" s="216">
        <f>IF(AE$139="Actual", 'Budget P&amp;L Input'!W28, ((AE$187/((1/'2503'!Q$27)+1))*('2503'!Q24/'2503'!Q$27)))</f>
        <v>-109603.00253251821</v>
      </c>
      <c r="AF182" s="216">
        <f>IF(AF$139="Actual", 'Budget P&amp;L Input'!X28, ((AF$187/((1/'2503'!R$27)+1))*('2503'!R24/'2503'!R$27)))</f>
        <v>-111117.73245679923</v>
      </c>
      <c r="AG182" s="216">
        <f>IF(AG$139="Actual", 'Budget P&amp;L Input'!Y28, ((AG$187/((1/'2503'!S$27)+1))*('2503'!S24/'2503'!S$27)))</f>
        <v>-112619.71235805743</v>
      </c>
      <c r="AI182" s="77">
        <v>2503</v>
      </c>
    </row>
    <row r="183" spans="1:35" outlineLevel="1">
      <c r="A183" s="50"/>
      <c r="D183" s="162" t="s">
        <v>186</v>
      </c>
      <c r="G183" s="318" t="s">
        <v>179</v>
      </c>
      <c r="I183" s="320"/>
      <c r="J183" s="436" t="s">
        <v>176</v>
      </c>
      <c r="K183" s="187"/>
      <c r="L183" s="303"/>
      <c r="M183" s="304"/>
      <c r="N183" s="216">
        <f>'Budget P&amp;L Input'!G29</f>
        <v>-65089.416857469951</v>
      </c>
      <c r="O183" s="216">
        <f>'Budget P&amp;L Input'!H29</f>
        <v>-68966.156196336582</v>
      </c>
      <c r="P183" s="216">
        <f>'Budget P&amp;L Input'!I29</f>
        <v>-22826.865550374452</v>
      </c>
      <c r="Q183" s="216">
        <f>'Budget P&amp;L Input'!J29</f>
        <v>-19450.228889358405</v>
      </c>
      <c r="R183" s="216">
        <f>'Budget P&amp;L Input'!K29</f>
        <v>-19995.099656116221</v>
      </c>
      <c r="T183" s="216">
        <f>IF(T$139="Actual", 'Budget P&amp;L Input'!L29, ((T$187/((1/'2503'!F$27)+1))*('2503'!F25/'2503'!F$27)))</f>
        <v>-12074.53657884178</v>
      </c>
      <c r="U183" s="216">
        <f>IF(U$139="Actual", 'Budget P&amp;L Input'!M29, ((U$187/((1/'2503'!G$27)+1))*('2503'!G25/'2503'!G$27)))</f>
        <v>-6673.8631558637007</v>
      </c>
      <c r="V183" s="216">
        <f>IF(V$139="Actual", 'Budget P&amp;L Input'!N29, ((V$187/((1/'2503'!H$27)+1))*('2503'!H25/'2503'!H$27)))</f>
        <v>-1489.9621574050793</v>
      </c>
      <c r="W183" s="216">
        <f>IF(W$139="Actual", 'Budget P&amp;L Input'!O29, ((W$187/((1/'2503'!I$27)+1))*('2503'!I25/'2503'!I$27)))</f>
        <v>-1569.2210876436782</v>
      </c>
      <c r="X183" s="216">
        <f>IF(X$139="Actual", 'Budget P&amp;L Input'!P29, ((X$187/((1/'2503'!J$27)+1))*('2503'!J25/'2503'!J$27)))</f>
        <v>-1581.4868550399251</v>
      </c>
      <c r="Y183" s="216">
        <f>IF(Y$139="Actual", 'Budget P&amp;L Input'!Q29, ((Y$187/((1/'2503'!K$27)+1))*('2503'!K25/'2503'!K$27)))</f>
        <v>-975.54411611179432</v>
      </c>
      <c r="Z183" s="216">
        <f>IF(Z$139="Actual", 'Budget P&amp;L Input'!R29, ((Z$187/((1/'2503'!L$27)+1))*('2503'!L25/'2503'!L$27)))</f>
        <v>-600.8632955178274</v>
      </c>
      <c r="AA183" s="216">
        <f>IF(AA$139="Actual", 'Budget P&amp;L Input'!S29, ((AA$187/((1/'2503'!M$27)+1))*('2503'!M25/'2503'!M$27)))</f>
        <v>-367.76689705134214</v>
      </c>
      <c r="AB183" s="216">
        <f>IF(AB$139="Actual", 'Budget P&amp;L Input'!T29, ((AB$187/((1/'2503'!N$27)+1))*('2503'!N25/'2503'!N$27)))</f>
        <v>-227.97423360272759</v>
      </c>
      <c r="AC183" s="216">
        <f>IF(AC$139="Actual", 'Budget P&amp;L Input'!U29, ((AC$187/((1/'2503'!O$27)+1))*('2503'!O25/'2503'!O$27)))</f>
        <v>-141.01977668940808</v>
      </c>
      <c r="AD183" s="216">
        <f>IF(AD$139="Actual", 'Budget P&amp;L Input'!V29, ((AD$187/((1/'2503'!P$27)+1))*('2503'!P25/'2503'!P$27)))</f>
        <v>-86.735050981038725</v>
      </c>
      <c r="AE183" s="216">
        <f>IF(AE$139="Actual", 'Budget P&amp;L Input'!W29, ((AE$187/((1/'2503'!Q$27)+1))*('2503'!Q25/'2503'!Q$27)))</f>
        <v>-53.367663991853753</v>
      </c>
      <c r="AF183" s="216">
        <f>IF(AF$139="Actual", 'Budget P&amp;L Input'!X29, ((AF$187/((1/'2503'!R$27)+1))*('2503'!R25/'2503'!R$27)))</f>
        <v>-32.815154948126697</v>
      </c>
      <c r="AG183" s="216">
        <f>IF(AG$139="Actual", 'Budget P&amp;L Input'!Y29, ((AG$187/((1/'2503'!S$27)+1))*('2503'!S25/'2503'!S$27)))</f>
        <v>-20.171623337827523</v>
      </c>
      <c r="AI183" s="77">
        <v>2503</v>
      </c>
    </row>
    <row r="184" spans="1:35" outlineLevel="1">
      <c r="A184" s="50"/>
      <c r="D184" s="162" t="s">
        <v>187</v>
      </c>
      <c r="G184" s="318" t="s">
        <v>179</v>
      </c>
      <c r="I184" s="320"/>
      <c r="J184" s="436" t="s">
        <v>176</v>
      </c>
      <c r="K184" s="187"/>
      <c r="L184" s="303"/>
      <c r="M184" s="304"/>
      <c r="N184" s="216">
        <f>'Budget P&amp;L Input'!G30</f>
        <v>0</v>
      </c>
      <c r="O184" s="216">
        <f>'Budget P&amp;L Input'!H30</f>
        <v>0</v>
      </c>
      <c r="P184" s="216">
        <f>'Budget P&amp;L Input'!I30</f>
        <v>-736.35050162498237</v>
      </c>
      <c r="Q184" s="216">
        <f>'Budget P&amp;L Input'!J30</f>
        <v>0</v>
      </c>
      <c r="R184" s="216">
        <f>'Budget P&amp;L Input'!K30</f>
        <v>0</v>
      </c>
      <c r="T184" s="216">
        <f>IF(T$139="Actual", 'Budget P&amp;L Input'!L30, ((T$187/((1/'2503'!F$27)+1))*('2503'!F26/'2503'!F$27)))</f>
        <v>0</v>
      </c>
      <c r="U184" s="216">
        <f>IF(U$139="Actual", 'Budget P&amp;L Input'!M30, ((U$187/((1/'2503'!G$27)+1))*('2503'!G26/'2503'!G$27)))</f>
        <v>-148.30807013030449</v>
      </c>
      <c r="V184" s="216">
        <f>IF(V$139="Actual", 'Budget P&amp;L Input'!N30, ((V$187/((1/'2503'!H$27)+1))*('2503'!H26/'2503'!H$27)))</f>
        <v>-744.98107870253966</v>
      </c>
      <c r="W184" s="216">
        <f>IF(W$139="Actual", 'Budget P&amp;L Input'!O30, ((W$187/((1/'2503'!I$27)+1))*('2503'!I26/'2503'!I$27)))</f>
        <v>-784.61054382183909</v>
      </c>
      <c r="X184" s="216">
        <f>IF(X$139="Actual", 'Budget P&amp;L Input'!P30, ((X$187/((1/'2503'!J$27)+1))*('2503'!J26/'2503'!J$27)))</f>
        <v>-790.74342751996255</v>
      </c>
      <c r="Y184" s="216">
        <f>IF(Y$139="Actual", 'Budget P&amp;L Input'!Q30, ((Y$187/((1/'2503'!K$27)+1))*('2503'!K26/'2503'!K$27)))</f>
        <v>-160.60787277450274</v>
      </c>
      <c r="Z184" s="216">
        <f>IF(Z$139="Actual", 'Budget P&amp;L Input'!R30, ((Z$187/((1/'2503'!L$27)+1))*('2503'!L26/'2503'!L$27)))</f>
        <v>-162.86040393831655</v>
      </c>
      <c r="AA184" s="216">
        <f>IF(AA$139="Actual", 'Budget P&amp;L Input'!S30, ((AA$187/((1/'2503'!M$27)+1))*('2503'!M26/'2503'!M$27)))</f>
        <v>-164.10899423482974</v>
      </c>
      <c r="AB184" s="216">
        <f>IF(AB$139="Actual", 'Budget P&amp;L Input'!T30, ((AB$187/((1/'2503'!N$27)+1))*('2503'!N26/'2503'!N$27)))</f>
        <v>-167.48095507511511</v>
      </c>
      <c r="AC184" s="216">
        <f>IF(AC$139="Actual", 'Budget P&amp;L Input'!U30, ((AC$187/((1/'2503'!O$27)+1))*('2503'!O26/'2503'!O$27)))</f>
        <v>-170.56094876831648</v>
      </c>
      <c r="AD184" s="216">
        <f>IF(AD$139="Actual", 'Budget P&amp;L Input'!V30, ((AD$187/((1/'2503'!P$27)+1))*('2503'!P26/'2503'!P$27)))</f>
        <v>-172.70866801167853</v>
      </c>
      <c r="AE184" s="216">
        <f>IF(AE$139="Actual", 'Budget P&amp;L Input'!W30, ((AE$187/((1/'2503'!Q$27)+1))*('2503'!Q26/'2503'!Q$27)))</f>
        <v>-174.95147408917518</v>
      </c>
      <c r="AF184" s="216">
        <f>IF(AF$139="Actual", 'Budget P&amp;L Input'!X30, ((AF$187/((1/'2503'!R$27)+1))*('2503'!R26/'2503'!R$27)))</f>
        <v>-177.10620948172922</v>
      </c>
      <c r="AG184" s="216">
        <f>IF(AG$139="Actual", 'Budget P&amp;L Input'!Y30, ((AG$187/((1/'2503'!S$27)+1))*('2503'!S26/'2503'!S$27)))</f>
        <v>-179.23387532522358</v>
      </c>
      <c r="AI184" s="77">
        <v>2503</v>
      </c>
    </row>
    <row r="185" spans="1:35" s="57" customFormat="1">
      <c r="C185" s="77" t="s">
        <v>188</v>
      </c>
      <c r="G185" s="318" t="s">
        <v>179</v>
      </c>
      <c r="H185" s="51"/>
      <c r="I185" s="56"/>
      <c r="J185" s="626"/>
      <c r="K185" s="310"/>
      <c r="L185" s="309"/>
      <c r="M185" s="309"/>
      <c r="N185" s="333">
        <f>SUM(N176:N184)</f>
        <v>-2843906.8288494558</v>
      </c>
      <c r="O185" s="333">
        <f>SUM(O176:O184)</f>
        <v>-3013290.5168860904</v>
      </c>
      <c r="P185" s="333">
        <f>SUM(P176:P184)</f>
        <v>-3058799.9837501771</v>
      </c>
      <c r="Q185" s="333">
        <f>SUM(Q176:Q184)</f>
        <v>-3266860.4442566368</v>
      </c>
      <c r="R185" s="333">
        <f>SUM(R176:R184)</f>
        <v>-3398367.1375535131</v>
      </c>
      <c r="S185" s="147"/>
      <c r="T185" s="333">
        <f>SUM(T176:T184)</f>
        <v>-3987816.9474388123</v>
      </c>
      <c r="U185" s="333">
        <f>SUM(U176:U184)</f>
        <v>-4114214.1734847766</v>
      </c>
      <c r="V185" s="333">
        <f>SUM(V176:V184)</f>
        <v>-4401348.2129746052</v>
      </c>
      <c r="W185" s="333">
        <f>SUM(W176:W184)</f>
        <v>-4713940.1472816104</v>
      </c>
      <c r="X185" s="333">
        <f t="shared" ref="X185:Z185" si="57">SUM(X176:X184)</f>
        <v>-4988009.5407959251</v>
      </c>
      <c r="Y185" s="333">
        <f t="shared" si="57"/>
        <v>-5209100.7488107393</v>
      </c>
      <c r="Z185" s="333">
        <f t="shared" si="57"/>
        <v>-5436649.8173024505</v>
      </c>
      <c r="AA185" s="333">
        <f t="shared" ref="AA185:AE185" si="58">SUM(AA176:AA184)</f>
        <v>-5642813.6062130071</v>
      </c>
      <c r="AB185" s="333">
        <f t="shared" si="58"/>
        <v>-5936142.9179965612</v>
      </c>
      <c r="AC185" s="333">
        <f t="shared" si="58"/>
        <v>-6236269.9082552362</v>
      </c>
      <c r="AD185" s="333">
        <f t="shared" si="58"/>
        <v>-6519290.9161334103</v>
      </c>
      <c r="AE185" s="333">
        <f t="shared" si="58"/>
        <v>-6823129.3729258049</v>
      </c>
      <c r="AF185" s="333">
        <f t="shared" ref="AF185:AG185" si="59">SUM(AF176:AF184)</f>
        <v>-7142050.1535715032</v>
      </c>
      <c r="AG185" s="333">
        <f t="shared" si="59"/>
        <v>-7479629.7542478899</v>
      </c>
      <c r="AH185" s="77"/>
      <c r="AI185" s="77"/>
    </row>
    <row r="186" spans="1:35" s="52" customFormat="1">
      <c r="C186" s="321"/>
      <c r="F186" s="76" t="s">
        <v>118</v>
      </c>
      <c r="G186" s="322"/>
      <c r="J186" s="622"/>
      <c r="K186" s="286"/>
      <c r="L186" s="323"/>
      <c r="M186" s="323"/>
      <c r="N186" s="324">
        <f>N174+N185-N187</f>
        <v>0</v>
      </c>
      <c r="O186" s="324">
        <f>O174+O185-O187</f>
        <v>0</v>
      </c>
      <c r="P186" s="324">
        <f>P174+P185-P187</f>
        <v>0</v>
      </c>
      <c r="Q186" s="324">
        <f>Q174+Q185-Q187</f>
        <v>0</v>
      </c>
      <c r="R186" s="324">
        <f>R174+R185-R187</f>
        <v>0</v>
      </c>
      <c r="S186" s="292"/>
      <c r="T186" s="324">
        <f>T174+T185-T187</f>
        <v>0</v>
      </c>
      <c r="U186" s="324">
        <f t="shared" ref="U186:Y186" si="60">U174+U185-U187</f>
        <v>0</v>
      </c>
      <c r="V186" s="324">
        <f t="shared" si="60"/>
        <v>0</v>
      </c>
      <c r="W186" s="324">
        <f t="shared" si="60"/>
        <v>0</v>
      </c>
      <c r="X186" s="324">
        <f t="shared" si="60"/>
        <v>0</v>
      </c>
      <c r="Y186" s="324">
        <f t="shared" si="60"/>
        <v>0</v>
      </c>
      <c r="Z186" s="324">
        <f t="shared" ref="Z186:AE186" si="61">Z174+Z185-Z187</f>
        <v>0</v>
      </c>
      <c r="AA186" s="324">
        <f t="shared" si="61"/>
        <v>0</v>
      </c>
      <c r="AB186" s="324">
        <f t="shared" si="61"/>
        <v>0</v>
      </c>
      <c r="AC186" s="324">
        <f t="shared" si="61"/>
        <v>0</v>
      </c>
      <c r="AD186" s="324">
        <f t="shared" si="61"/>
        <v>0</v>
      </c>
      <c r="AE186" s="324">
        <f t="shared" si="61"/>
        <v>0</v>
      </c>
      <c r="AF186" s="324">
        <f t="shared" ref="AF186:AG186" si="62">AF174+AF185-AF187</f>
        <v>0</v>
      </c>
      <c r="AG186" s="324">
        <f t="shared" si="62"/>
        <v>0</v>
      </c>
      <c r="AH186" s="77"/>
      <c r="AI186" s="77"/>
    </row>
    <row r="187" spans="1:35" outlineLevel="1">
      <c r="A187" s="50"/>
      <c r="B187" s="77" t="s">
        <v>189</v>
      </c>
      <c r="J187" s="436" t="s">
        <v>153</v>
      </c>
      <c r="K187" s="187"/>
      <c r="L187" s="303"/>
      <c r="M187" s="304"/>
      <c r="N187" s="216">
        <f>'Budget P&amp;L Input'!G33</f>
        <v>-9996590</v>
      </c>
      <c r="O187" s="216">
        <f>'Budget P&amp;L Input'!H33</f>
        <v>-10591989</v>
      </c>
      <c r="P187" s="216">
        <f>'Budget P&amp;L Input'!I33</f>
        <v>-10422305</v>
      </c>
      <c r="Q187" s="216">
        <f>'Budget P&amp;L Input'!J33</f>
        <v>-11046952</v>
      </c>
      <c r="R187" s="216">
        <f>'Budget P&amp;L Input'!K33</f>
        <v>-11396407</v>
      </c>
      <c r="T187" s="242">
        <f>IF(T$139="Actual", 'Budget P&amp;L Input'!L33, (((((($O$187-$N$187)/$N$187)+(($P$187-$O$187)/$O$187)+(($Q$187-$P$187)/$P$187)+(($T$187-$Q$187)/$Q$187)+(($U$187-$T$187)/$T$187)))/5)+1)*R187)</f>
        <v>-12037508</v>
      </c>
      <c r="U187" s="242">
        <f>IF(U$139="Actual", 'Budget P&amp;L Input'!M33, (((((($P$187-$O$187)/$O$187)+(($Q$187-$P$187)/$P$187)+(($R$187-$Q$187)/$Q$187)+(($T$187-$R$187)/$R$187)+(($U$187-$T$187)/$T$187)))/5)+1)*T187)</f>
        <v>-11529617.68</v>
      </c>
      <c r="V187" s="242">
        <f>IF(V$139="Actual", 'Budget P&amp;L Input'!N33, (((((($P$187-$O$187)/$O$187)+(($Q$187-$P$187)/$P$187)+(($R$187-$Q$187)/$Q$187)+(($T$187-$R$187)/$R$187)+(($U$187-$T$187)/$T$187)))/5)+1)*U187)</f>
        <v>-11851159</v>
      </c>
      <c r="W187" s="242">
        <f>IF(W$139="Actual", 'Budget P&amp;L Input'!O33, ((((((P$187-O$187)/O$187)+((Q$187-P$187)/P$187)+((R$187-Q$187)/Q$187)+((T$187-R$187)/R$187)+((U$187-T$187)/T$187)))/5)+1)*V187)</f>
        <v>-12560045.5855</v>
      </c>
      <c r="X187" s="242">
        <f>IF(X$139="Actual", 'Budget P&amp;L Input'!P33, ((((((Q$187-P$187)/P$187)+((R$187-Q$187)/Q$187)+((T$187-R$187)/R$187)+((U$187-T$187)/T$187)+((V$187-U$187)/U$187)))/5)+1)*W187)</f>
        <v>-12895443.815995548</v>
      </c>
      <c r="Y187" s="242">
        <f>IF(Y$139="Actual", 'Budget P&amp;L Input'!Q33, ((((((R$187-Q$187)/Q$187)+((T$187-R$187)/R$187)+((U$187-T$187)/T$187)+((V$187-U$187)/U$187)+((W$187-V$187)/V$187)))/5)+1)*X187)</f>
        <v>-13239494.387535876</v>
      </c>
      <c r="Z187" s="242">
        <f>IF(Z$139="Actual", 'Budget P&amp;L Input'!R33, ((((((T$187-R$187)/R$187)+((U$187-T$187)/T$187)+((V$187-U$187)/U$187)+((W$187-V$187)/V$187)+((X$187-W$187)/W$187)))/5)+1)*Y187)</f>
        <v>-13579670.014218276</v>
      </c>
      <c r="AA187" s="242">
        <f>IF(AA$139="Actual", 'Budget P&amp;L Input'!S33, ((((((U$187-T$187)/T$187)+((V$187-U$187)/U$187)+((W$187-V$187)/V$187)+((X$187-W$187)/W$187)+((Y$187-X$187)/X$187)))/5)+1)*Z187)</f>
        <v>-13848263.317954492</v>
      </c>
      <c r="AB187" s="242">
        <f>IF(AB$139="Actual", 'Budget P&amp;L Input'!T33, ((((((V$187-U$187)/U$187)+((W$187-V$187)/V$187)+((X$187-W$187)/W$187)+((Y$187-X$187)/X$187)+((Z$187-Y$187)/Y$187)))/5)+1)*AA187)</f>
        <v>-14310190.671752317</v>
      </c>
      <c r="AC187" s="242">
        <f>IF(AC$139="Actual", 'Budget P&amp;L Input'!U33, ((((((W$187-V$187)/V$187)+((X$187-W$187)/W$187)+((Y$187-X$187)/X$187)+((Z$187-Y$187)/Y$187)+((AA$187-Z$187)/Z$187)))/5)+1)*AB187)</f>
        <v>-14764317.346671062</v>
      </c>
      <c r="AD187" s="242">
        <f>IF(AD$139="Actual", 'Budget P&amp;L Input'!V33, ((((((X$187-W$187)/W$187)+((Y$187-X$187)/X$187)+((Z$187-Y$187)/Y$187)+((AA$187-Z$187)/Z$187)+((AB$187-AA$187)/AA$187)))/5)+1)*AC187)</f>
        <v>-15154724.316717334</v>
      </c>
      <c r="AE187" s="242">
        <f>IF(AE$139="Actual", 'Budget P&amp;L Input'!W33, ((((((Y$187-X$187)/X$187)+((Z$187-Y$187)/Y$187)+((AA$187-Z$187)/Z$187)+((AB$187-AA$187)/AA$187)+((AC$187-AB$187)/AB$187)))/5)+1)*AD187)</f>
        <v>-15570703.077384565</v>
      </c>
      <c r="AF187" s="242">
        <f>IF(AF$139="Actual", 'Budget P&amp;L Input'!X33, ((((((Z$187-Y$187)/Y$187)+((AA$187-Z$187)/Z$187)+((AB$187-AA$187)/AA$187)+((AC$187-AB$187)/AB$187)+((AD$187-AC$187)/AC$187)))/5)+1)*AE187)</f>
        <v>-15997360.627657965</v>
      </c>
      <c r="AG187" s="242">
        <f>IF(AG$139="Actual", 'Budget P&amp;L Input'!Y33, ((((((AA$187-Z$187)/Z$187)+((AB$187-AA$187)/AA$187)+((AC$187-AB$187)/AB$187)+((AD$187-AC$187)/AC$187)+((AE$187-AD$187)/AD$187)))/5)+1)*AF187)</f>
        <v>-16441323.520509068</v>
      </c>
      <c r="AI187" s="77" t="s">
        <v>190</v>
      </c>
    </row>
    <row r="188" spans="1:35">
      <c r="A188" s="77"/>
      <c r="B188" s="57" t="s">
        <v>526</v>
      </c>
      <c r="C188" s="57"/>
      <c r="D188" s="57"/>
      <c r="E188" s="57"/>
      <c r="F188" s="57"/>
      <c r="J188" s="627"/>
      <c r="L188" s="229"/>
      <c r="M188" s="229"/>
      <c r="N188" s="317"/>
      <c r="O188" s="317"/>
      <c r="P188" s="317"/>
      <c r="Q188" s="317"/>
      <c r="R188" s="317"/>
      <c r="S188" s="257"/>
      <c r="T188" s="317"/>
      <c r="U188" s="317"/>
      <c r="V188" s="317"/>
      <c r="W188" s="317"/>
      <c r="X188" s="317"/>
      <c r="Y188" s="317"/>
      <c r="Z188" s="317"/>
      <c r="AA188" s="317"/>
      <c r="AB188" s="317"/>
      <c r="AC188" s="317"/>
      <c r="AD188" s="317"/>
      <c r="AE188" s="317"/>
      <c r="AF188" s="317"/>
      <c r="AG188" s="317"/>
    </row>
    <row r="189" spans="1:35" outlineLevel="1">
      <c r="A189" s="50"/>
      <c r="C189" s="162" t="s">
        <v>175</v>
      </c>
      <c r="I189" s="320"/>
      <c r="J189" s="436" t="s">
        <v>176</v>
      </c>
      <c r="K189" s="187"/>
      <c r="L189" s="303"/>
      <c r="M189" s="304"/>
      <c r="N189" s="216">
        <f>'Budget P&amp;L Input'!G35</f>
        <v>-762578.16546792432</v>
      </c>
      <c r="O189" s="216">
        <f>'Budget P&amp;L Input'!H35</f>
        <v>-894579.66342301085</v>
      </c>
      <c r="P189" s="216">
        <f>'Budget P&amp;L Input'!I35</f>
        <v>-966929.38420234551</v>
      </c>
      <c r="Q189" s="216">
        <f>'Budget P&amp;L Input'!J35</f>
        <v>-1086954.4280583139</v>
      </c>
      <c r="R189" s="216">
        <f>'Budget P&amp;L Input'!K35</f>
        <v>-1234284.4918239876</v>
      </c>
      <c r="T189" s="216">
        <f>IF(T$139="Actual", 'Budget P&amp;L Input'!L35, (T202/(1+'2503'!F$27)))</f>
        <v>-1305436.8452587936</v>
      </c>
      <c r="U189" s="216">
        <f>IF(U$139="Actual", 'Budget P&amp;L Input'!M35, (U202/(1+'2503'!G$27)))</f>
        <v>-1264744.0685867174</v>
      </c>
      <c r="V189" s="216">
        <f>IF(V$139="Actual", 'Budget P&amp;L Input'!N35, (V202/(1+'2503'!H$27)))</f>
        <v>-1291643.29458084</v>
      </c>
      <c r="W189" s="216">
        <f>IF(W$139="Actual", 'Budget P&amp;L Input'!O35, (W202/(1+'2503'!I$27)))</f>
        <v>-1230767.1993873985</v>
      </c>
      <c r="X189" s="216">
        <f>IF(X$139="Actual", 'Budget P&amp;L Input'!P35, (X202/(1+'2503'!J$27)))</f>
        <v>-1454513.7165808191</v>
      </c>
      <c r="Y189" s="216">
        <f>IF(Y$139="Actual", 'Budget P&amp;L Input'!Q35, (Y202/(1+'2503'!K$27)))</f>
        <v>-1508476.1835371067</v>
      </c>
      <c r="Z189" s="216">
        <f>IF(Z$139="Actual", 'Budget P&amp;L Input'!R35, (Z202/(1+'2503'!L$27)))</f>
        <v>-1560623.868283903</v>
      </c>
      <c r="AA189" s="216">
        <f>IF(AA$139="Actual", 'Budget P&amp;L Input'!S35, (AA202/(1+'2503'!M$27)))</f>
        <v>-1611979.9336856469</v>
      </c>
      <c r="AB189" s="216">
        <f>IF(AB$139="Actual", 'Budget P&amp;L Input'!T35, (AB202/(1+'2503'!N$27)))</f>
        <v>-1663457.8195507633</v>
      </c>
      <c r="AC189" s="216">
        <f>IF(AC$139="Actual", 'Budget P&amp;L Input'!U35, (AC202/(1+'2503'!O$27)))</f>
        <v>-1714960.1621110369</v>
      </c>
      <c r="AD189" s="216">
        <f>IF(AD$139="Actual", 'Budget P&amp;L Input'!V35, (AD202/(1+'2503'!P$27)))</f>
        <v>-1766379.9619623364</v>
      </c>
      <c r="AE189" s="216">
        <f>IF(AE$139="Actual", 'Budget P&amp;L Input'!W35, (AE202/(1+'2503'!Q$27)))</f>
        <v>-1817601.3548462451</v>
      </c>
      <c r="AF189" s="216">
        <f>IF(AF$139="Actual", 'Budget P&amp;L Input'!X35, (AF202/(1+'2503'!R$27)))</f>
        <v>-1868500.1707768319</v>
      </c>
      <c r="AG189" s="216">
        <f>IF(AG$139="Actual", 'Budget P&amp;L Input'!Y35, (AG202/(1+'2503'!S$27)))</f>
        <v>-1918944.4002792838</v>
      </c>
      <c r="AH189" s="216">
        <f>IF(AH$139="Actual", 'Budget P&amp;L Input'!X35, (AH202/(1+'2503'!R$27)))</f>
        <v>0</v>
      </c>
      <c r="AI189" s="77">
        <v>2503</v>
      </c>
    </row>
    <row r="190" spans="1:35">
      <c r="A190" s="50"/>
      <c r="C190" s="77" t="s">
        <v>177</v>
      </c>
      <c r="J190" s="622"/>
      <c r="K190" s="311"/>
      <c r="L190" s="304"/>
      <c r="M190" s="304"/>
      <c r="N190" s="179"/>
      <c r="O190" s="179"/>
      <c r="P190" s="179"/>
      <c r="Q190" s="179"/>
      <c r="R190" s="179"/>
      <c r="T190" s="179"/>
      <c r="U190" s="179"/>
      <c r="V190" s="179"/>
      <c r="W190" s="179"/>
      <c r="X190" s="179"/>
      <c r="Y190" s="179"/>
      <c r="Z190" s="179"/>
      <c r="AA190" s="179"/>
      <c r="AB190" s="179"/>
      <c r="AC190" s="179"/>
      <c r="AD190" s="179"/>
      <c r="AE190" s="179"/>
      <c r="AF190" s="179"/>
      <c r="AG190" s="179"/>
    </row>
    <row r="191" spans="1:35" outlineLevel="1">
      <c r="A191" s="50"/>
      <c r="D191" s="162" t="s">
        <v>178</v>
      </c>
      <c r="G191" s="318" t="s">
        <v>179</v>
      </c>
      <c r="J191" s="436" t="s">
        <v>176</v>
      </c>
      <c r="K191" s="187"/>
      <c r="L191" s="303"/>
      <c r="M191" s="304"/>
      <c r="N191" s="216">
        <f>'Budget P&amp;L Input'!G37</f>
        <v>-114386.72482018865</v>
      </c>
      <c r="O191" s="216">
        <f>'Budget P&amp;L Input'!H37</f>
        <v>-134186.94951345163</v>
      </c>
      <c r="P191" s="216">
        <f>'Budget P&amp;L Input'!I37</f>
        <v>-149874.05455136357</v>
      </c>
      <c r="Q191" s="216">
        <f>'Budget P&amp;L Input'!J37</f>
        <v>-173912.70848933022</v>
      </c>
      <c r="R191" s="216">
        <f>'Budget P&amp;L Input'!K37</f>
        <v>-203656.94115095795</v>
      </c>
      <c r="T191" s="216">
        <f>IF(T$139="Actual", 'Budget P&amp;L Input'!L37, ((T$202/((1/'2503'!F$27)+1))*('2503'!F18/'2503'!F$27)))</f>
        <v>-221924.2636939949</v>
      </c>
      <c r="U191" s="216">
        <f>IF(U$139="Actual", 'Budget P&amp;L Input'!M37, ((U$202/((1/'2503'!G$27)+1))*('2503'!G18/'2503'!G$27)))</f>
        <v>-215006.49165974191</v>
      </c>
      <c r="V191" s="216">
        <f>IF(V$139="Actual", 'Budget P&amp;L Input'!N37, ((V$202/((1/'2503'!H$27)+1))*('2503'!H18/'2503'!H$27)))</f>
        <v>-232495.79302455121</v>
      </c>
      <c r="W191" s="216">
        <f>IF(W$139="Actual", 'Budget P&amp;L Input'!O37, ((W$202/((1/'2503'!I$27)+1))*('2503'!I18/'2503'!I$27)))</f>
        <v>-233845.76788360567</v>
      </c>
      <c r="X191" s="216">
        <f>IF(X$139="Actual", 'Budget P&amp;L Input'!P37, ((X$202/((1/'2503'!J$27)+1))*('2503'!J18/'2503'!J$27)))</f>
        <v>-319993.01764778019</v>
      </c>
      <c r="Y191" s="216">
        <f>IF(Y$139="Actual", 'Budget P&amp;L Input'!Q37, ((Y$202/((1/'2503'!K$27)+1))*('2503'!K18/'2503'!K$27)))</f>
        <v>-344517.55625314789</v>
      </c>
      <c r="Z191" s="216">
        <f>IF(Z$139="Actual", 'Budget P&amp;L Input'!R37, ((Z$202/((1/'2503'!L$27)+1))*('2503'!L18/'2503'!L$27)))</f>
        <v>-370016.7331342838</v>
      </c>
      <c r="AA191" s="216">
        <f>IF(AA$139="Actual", 'Budget P&amp;L Input'!S37, ((AA$202/((1/'2503'!M$27)+1))*('2503'!M18/'2503'!M$27)))</f>
        <v>-396764.64906128193</v>
      </c>
      <c r="AB191" s="216">
        <f>IF(AB$139="Actual", 'Budget P&amp;L Input'!T37, ((AB$202/((1/'2503'!N$27)+1))*('2503'!N18/'2503'!N$27)))</f>
        <v>-425045.43036810501</v>
      </c>
      <c r="AC191" s="216">
        <f>IF(AC$139="Actual", 'Budget P&amp;L Input'!U37, ((AC$202/((1/'2503'!O$27)+1))*('2503'!O18/'2503'!O$27)))</f>
        <v>-454912.44086779398</v>
      </c>
      <c r="AD191" s="216">
        <f>IF(AD$139="Actual", 'Budget P&amp;L Input'!V37, ((AD$202/((1/'2503'!P$27)+1))*('2503'!P18/'2503'!P$27)))</f>
        <v>-486416.30777757237</v>
      </c>
      <c r="AE191" s="216">
        <f>IF(AE$139="Actual", 'Budget P&amp;L Input'!W37, ((AE$202/((1/'2503'!Q$27)+1))*('2503'!Q18/'2503'!Q$27)))</f>
        <v>-519604.44142483163</v>
      </c>
      <c r="AF191" s="216">
        <f>IF(AF$139="Actual", 'Budget P&amp;L Input'!X37, ((AF$202/((1/'2503'!R$27)+1))*('2503'!R18/'2503'!R$27)))</f>
        <v>-554520.46429596411</v>
      </c>
      <c r="AG191" s="216">
        <f>IF(AG$139="Actual", 'Budget P&amp;L Input'!Y37, ((AG$202/((1/'2503'!S$27)+1))*('2503'!S18/'2503'!S$27)))</f>
        <v>-591203.56929178827</v>
      </c>
      <c r="AH191" s="216">
        <f>IF(AH$139="Actual", 'Budget P&amp;L Input'!X37, ((AH$202/((1/'2503'!R$27)+1))*('2503'!R18/'2503'!R$27)))</f>
        <v>0</v>
      </c>
      <c r="AI191" s="77">
        <v>2503</v>
      </c>
    </row>
    <row r="192" spans="1:35" outlineLevel="1">
      <c r="A192" s="50"/>
      <c r="D192" s="162" t="s">
        <v>180</v>
      </c>
      <c r="G192" s="318" t="s">
        <v>179</v>
      </c>
      <c r="I192" s="319"/>
      <c r="J192" s="436" t="s">
        <v>176</v>
      </c>
      <c r="K192" s="187"/>
      <c r="L192" s="303"/>
      <c r="M192" s="304"/>
      <c r="N192" s="216">
        <f>'Budget P&amp;L Input'!G38</f>
        <v>-60701.221971246785</v>
      </c>
      <c r="O192" s="216">
        <f>'Budget P&amp;L Input'!H38</f>
        <v>-71208.541208471666</v>
      </c>
      <c r="P192" s="216">
        <f>'Budget P&amp;L Input'!I38</f>
        <v>-100077.19126494275</v>
      </c>
      <c r="Q192" s="216">
        <f>'Budget P&amp;L Input'!J38</f>
        <v>-109999.78811950139</v>
      </c>
      <c r="R192" s="216">
        <f>'Budget P&amp;L Input'!K38</f>
        <v>-124909.59057258753</v>
      </c>
      <c r="T192" s="216">
        <f>IF(T$139="Actual", 'Budget P&amp;L Input'!L38, ((T$202/((1/'2503'!F$27)+1))*('2503'!F19/'2503'!F$27)))</f>
        <v>-105348.75341238461</v>
      </c>
      <c r="U192" s="216">
        <f>IF(U$139="Actual", 'Budget P&amp;L Input'!M38, ((U$202/((1/'2503'!G$27)+1))*('2503'!G19/'2503'!G$27)))</f>
        <v>-118759.46804029273</v>
      </c>
      <c r="V192" s="216">
        <f>IF(V$139="Actual", 'Budget P&amp;L Input'!N38, ((V$202/((1/'2503'!H$27)+1))*('2503'!H19/'2503'!H$27)))</f>
        <v>-130972.63007049719</v>
      </c>
      <c r="W192" s="216">
        <f>IF(W$139="Actual", 'Budget P&amp;L Input'!O38, ((W$202/((1/'2503'!I$27)+1))*('2503'!I19/'2503'!I$27)))</f>
        <v>-124799.7940178822</v>
      </c>
      <c r="X192" s="216">
        <f>IF(X$139="Actual", 'Budget P&amp;L Input'!P38, ((X$202/((1/'2503'!J$27)+1))*('2503'!J19/'2503'!J$27)))</f>
        <v>-147487.69086129504</v>
      </c>
      <c r="Y192" s="216">
        <f>IF(Y$139="Actual", 'Budget P&amp;L Input'!Q38, ((Y$202/((1/'2503'!K$27)+1))*('2503'!K19/'2503'!K$27)))</f>
        <v>-165371.68720418314</v>
      </c>
      <c r="Z192" s="216">
        <f>IF(Z$139="Actual", 'Budget P&amp;L Input'!R38, ((Z$202/((1/'2503'!L$27)+1))*('2503'!L19/'2503'!L$27)))</f>
        <v>-184971.87074959383</v>
      </c>
      <c r="AA192" s="216">
        <f>IF(AA$139="Actual", 'Budget P&amp;L Input'!S38, ((AA$202/((1/'2503'!M$27)+1))*('2503'!M19/'2503'!M$27)))</f>
        <v>-206562.66116940379</v>
      </c>
      <c r="AB192" s="216">
        <f>IF(AB$139="Actual", 'Budget P&amp;L Input'!T38, ((AB$202/((1/'2503'!N$27)+1))*('2503'!N19/'2503'!N$27)))</f>
        <v>-230456.37494562819</v>
      </c>
      <c r="AC192" s="216">
        <f>IF(AC$139="Actual", 'Budget P&amp;L Input'!U38, ((AC$202/((1/'2503'!O$27)+1))*('2503'!O19/'2503'!O$27)))</f>
        <v>-256871.3770227278</v>
      </c>
      <c r="AD192" s="216">
        <f>IF(AD$139="Actual", 'Budget P&amp;L Input'!V38, ((AD$202/((1/'2503'!P$27)+1))*('2503'!P19/'2503'!P$27)))</f>
        <v>-286042.49125930382</v>
      </c>
      <c r="AE192" s="216">
        <f>IF(AE$139="Actual", 'Budget P&amp;L Input'!W38, ((AE$202/((1/'2503'!Q$27)+1))*('2503'!Q19/'2503'!Q$27)))</f>
        <v>-318221.70973342657</v>
      </c>
      <c r="AF192" s="216">
        <f>IF(AF$139="Actual", 'Budget P&amp;L Input'!X38, ((AF$202/((1/'2503'!R$27)+1))*('2503'!R19/'2503'!R$27)))</f>
        <v>-353678.8204370343</v>
      </c>
      <c r="AG192" s="216">
        <f>IF(AG$139="Actual", 'Budget P&amp;L Input'!Y38, ((AG$202/((1/'2503'!S$27)+1))*('2503'!S19/'2503'!S$27)))</f>
        <v>-392701.94093984389</v>
      </c>
      <c r="AH192" s="216">
        <f>IF(AH$139="Actual", 'Budget P&amp;L Input'!X38, ((AH$202/((1/'2503'!R$27)+1))*('2503'!R19/'2503'!R$27)))</f>
        <v>0</v>
      </c>
      <c r="AI192" s="77">
        <v>2503</v>
      </c>
    </row>
    <row r="193" spans="1:35" outlineLevel="1">
      <c r="A193" s="50"/>
      <c r="D193" s="162" t="s">
        <v>181</v>
      </c>
      <c r="G193" s="318" t="s">
        <v>179</v>
      </c>
      <c r="I193" s="319"/>
      <c r="J193" s="436" t="s">
        <v>176</v>
      </c>
      <c r="K193" s="187"/>
      <c r="L193" s="303"/>
      <c r="M193" s="304"/>
      <c r="N193" s="216">
        <f>'Budget P&amp;L Input'!G39</f>
        <v>0</v>
      </c>
      <c r="O193" s="216">
        <f>'Budget P&amp;L Input'!H39</f>
        <v>0</v>
      </c>
      <c r="P193" s="216">
        <f>'Budget P&amp;L Input'!I39</f>
        <v>0</v>
      </c>
      <c r="Q193" s="216">
        <f>'Budget P&amp;L Input'!J39</f>
        <v>0</v>
      </c>
      <c r="R193" s="216">
        <f>'Budget P&amp;L Input'!K39</f>
        <v>0</v>
      </c>
      <c r="T193" s="216">
        <f>IF(T$139="Actual", 'Budget P&amp;L Input'!L39, ((T$202/((1/'2503'!F$27)+1))*('2503'!F20/'2503'!F$27)))</f>
        <v>-101562.98656113411</v>
      </c>
      <c r="U193" s="216">
        <f>IF(U$139="Actual", 'Budget P&amp;L Input'!M39, ((U$202/((1/'2503'!G$27)+1))*('2503'!G20/'2503'!G$27)))</f>
        <v>-160496.02230365443</v>
      </c>
      <c r="V193" s="216">
        <f>IF(V$139="Actual", 'Budget P&amp;L Input'!N39, ((V$202/((1/'2503'!H$27)+1))*('2503'!H20/'2503'!H$27)))</f>
        <v>-185092.48411343439</v>
      </c>
      <c r="W193" s="216">
        <f>IF(W$139="Actual", 'Budget P&amp;L Input'!O39, ((W$202/((1/'2503'!I$27)+1))*('2503'!I20/'2503'!I$27)))</f>
        <v>-176368.93967221418</v>
      </c>
      <c r="X193" s="216">
        <f>IF(X$139="Actual", 'Budget P&amp;L Input'!P39, ((X$202/((1/'2503'!J$27)+1))*('2503'!J20/'2503'!J$27)))</f>
        <v>-208431.81558603136</v>
      </c>
      <c r="Y193" s="216">
        <f>IF(Y$139="Actual", 'Budget P&amp;L Input'!Q39, ((Y$202/((1/'2503'!K$27)+1))*('2503'!K20/'2503'!K$27)))</f>
        <v>-217915.78119219086</v>
      </c>
      <c r="Z193" s="216">
        <f>IF(Z$139="Actual", 'Budget P&amp;L Input'!R39, ((Z$202/((1/'2503'!L$27)+1))*('2503'!L20/'2503'!L$27)))</f>
        <v>-227260.76182796853</v>
      </c>
      <c r="AA193" s="216">
        <f>IF(AA$139="Actual", 'Budget P&amp;L Input'!S39, ((AA$202/((1/'2503'!M$27)+1))*('2503'!M20/'2503'!M$27)))</f>
        <v>-236610.61983142362</v>
      </c>
      <c r="AB193" s="216">
        <f>IF(AB$139="Actual", 'Budget P&amp;L Input'!T39, ((AB$202/((1/'2503'!N$27)+1))*('2503'!N20/'2503'!N$27)))</f>
        <v>-246097.73576458183</v>
      </c>
      <c r="AC193" s="216">
        <f>IF(AC$139="Actual", 'Budget P&amp;L Input'!U39, ((AC$202/((1/'2503'!O$27)+1))*('2503'!O20/'2503'!O$27)))</f>
        <v>-255708.01651928644</v>
      </c>
      <c r="AD193" s="216">
        <f>IF(AD$139="Actual", 'Budget P&amp;L Input'!V39, ((AD$202/((1/'2503'!P$27)+1))*('2503'!P20/'2503'!P$27)))</f>
        <v>-265425.46897991432</v>
      </c>
      <c r="AE193" s="216">
        <f>IF(AE$139="Actual", 'Budget P&amp;L Input'!W39, ((AE$202/((1/'2503'!Q$27)+1))*('2503'!Q20/'2503'!Q$27)))</f>
        <v>-275232.26081123913</v>
      </c>
      <c r="AF193" s="216">
        <f>IF(AF$139="Actual", 'Budget P&amp;L Input'!X39, ((AF$202/((1/'2503'!R$27)+1))*('2503'!R20/'2503'!R$27)))</f>
        <v>-285108.75431918644</v>
      </c>
      <c r="AG193" s="216">
        <f>IF(AG$139="Actual", 'Budget P&amp;L Input'!Y39, ((AG$202/((1/'2503'!S$27)+1))*('2503'!S20/'2503'!S$27)))</f>
        <v>-295033.52992467827</v>
      </c>
      <c r="AH193" s="216">
        <f>IF(AH$139="Actual", 'Budget P&amp;L Input'!X39, ((AH$202/((1/'2503'!R$27)+1))*('2503'!R20/'2503'!R$27)))</f>
        <v>0</v>
      </c>
      <c r="AI193" s="77">
        <v>2503</v>
      </c>
    </row>
    <row r="194" spans="1:35" outlineLevel="1">
      <c r="A194" s="50"/>
      <c r="D194" s="162" t="s">
        <v>182</v>
      </c>
      <c r="G194" s="318" t="s">
        <v>179</v>
      </c>
      <c r="I194" s="319"/>
      <c r="J194" s="436" t="s">
        <v>176</v>
      </c>
      <c r="K194" s="187"/>
      <c r="L194" s="303"/>
      <c r="M194" s="304"/>
      <c r="N194" s="216">
        <f>'Budget P&amp;L Input'!G40</f>
        <v>-53532.98721584829</v>
      </c>
      <c r="O194" s="216">
        <f>'Budget P&amp;L Input'!H40</f>
        <v>-62799.492372295361</v>
      </c>
      <c r="P194" s="216">
        <f>'Budget P&amp;L Input'!I40</f>
        <v>-66137.969879440439</v>
      </c>
      <c r="Q194" s="216">
        <f>'Budget P&amp;L Input'!J40</f>
        <v>-74021.596550771181</v>
      </c>
      <c r="R194" s="216">
        <f>'Budget P&amp;L Input'!K40</f>
        <v>-84054.77389321354</v>
      </c>
      <c r="T194" s="216">
        <f>IF(T$139="Actual", 'Budget P&amp;L Input'!L40, ((T$202/((1/'2503'!F$27)+1))*('2503'!F21/'2503'!F$27)))</f>
        <v>-99474.287608720057</v>
      </c>
      <c r="U194" s="216">
        <f>IF(U$139="Actual", 'Budget P&amp;L Input'!M40, ((U$202/((1/'2503'!G$27)+1))*('2503'!G21/'2503'!G$27)))</f>
        <v>-96120.549212590486</v>
      </c>
      <c r="V194" s="216">
        <f>IF(V$139="Actual", 'Budget P&amp;L Input'!N40, ((V$202/((1/'2503'!H$27)+1))*('2503'!H21/'2503'!H$27)))</f>
        <v>-99327.369353266593</v>
      </c>
      <c r="W194" s="216">
        <f>IF(W$139="Actual", 'Budget P&amp;L Input'!O40, ((W$202/((1/'2503'!I$27)+1))*('2503'!I21/'2503'!I$27)))</f>
        <v>-94645.99763289094</v>
      </c>
      <c r="X194" s="216">
        <f>IF(X$139="Actual", 'Budget P&amp;L Input'!P40, ((X$202/((1/'2503'!J$27)+1))*('2503'!J21/'2503'!J$27)))</f>
        <v>-111852.10480506497</v>
      </c>
      <c r="Y194" s="216">
        <f>IF(Y$139="Actual", 'Budget P&amp;L Input'!Q40, ((Y$202/((1/'2503'!K$27)+1))*('2503'!K21/'2503'!K$27)))</f>
        <v>-116358.23152410373</v>
      </c>
      <c r="Z194" s="216">
        <f>IF(Z$139="Actual", 'Budget P&amp;L Input'!R40, ((Z$202/((1/'2503'!L$27)+1))*('2503'!L21/'2503'!L$27)))</f>
        <v>-120750.57665495797</v>
      </c>
      <c r="AA194" s="216">
        <f>IF(AA$139="Actual", 'Budget P&amp;L Input'!S40, ((AA$202/((1/'2503'!M$27)+1))*('2503'!M21/'2503'!M$27)))</f>
        <v>-125107.37574629458</v>
      </c>
      <c r="AB194" s="216">
        <f>IF(AB$139="Actual", 'Budget P&amp;L Input'!T40, ((AB$202/((1/'2503'!N$27)+1))*('2503'!N21/'2503'!N$27)))</f>
        <v>-129499.29093169195</v>
      </c>
      <c r="AC194" s="216">
        <f>IF(AC$139="Actual", 'Budget P&amp;L Input'!U40, ((AC$202/((1/'2503'!O$27)+1))*('2503'!O21/'2503'!O$27)))</f>
        <v>-133918.92300243847</v>
      </c>
      <c r="AD194" s="216">
        <f>IF(AD$139="Actual", 'Budget P&amp;L Input'!V40, ((AD$202/((1/'2503'!P$27)+1))*('2503'!P21/'2503'!P$27)))</f>
        <v>-138358.02557427992</v>
      </c>
      <c r="AE194" s="216">
        <f>IF(AE$139="Actual", 'Budget P&amp;L Input'!W40, ((AE$202/((1/'2503'!Q$27)+1))*('2503'!Q21/'2503'!Q$27)))</f>
        <v>-142807.5533392753</v>
      </c>
      <c r="AF194" s="216">
        <f>IF(AF$139="Actual", 'Budget P&amp;L Input'!X40, ((AF$202/((1/'2503'!R$27)+1))*('2503'!R21/'2503'!R$27)))</f>
        <v>-147257.69464214492</v>
      </c>
      <c r="AG194" s="216">
        <f>IF(AG$139="Actual", 'Budget P&amp;L Input'!Y40, ((AG$202/((1/'2503'!S$27)+1))*('2503'!S21/'2503'!S$27)))</f>
        <v>-151697.8974224074</v>
      </c>
      <c r="AH194" s="216">
        <f>IF(AH$139="Actual", 'Budget P&amp;L Input'!X40, ((AH$202/((1/'2503'!R$27)+1))*('2503'!R21/'2503'!R$27)))</f>
        <v>0</v>
      </c>
      <c r="AI194" s="77">
        <v>2503</v>
      </c>
    </row>
    <row r="195" spans="1:35" outlineLevel="1">
      <c r="A195" s="50"/>
      <c r="D195" s="162" t="s">
        <v>183</v>
      </c>
      <c r="G195" s="318" t="s">
        <v>179</v>
      </c>
      <c r="J195" s="436" t="s">
        <v>176</v>
      </c>
      <c r="K195" s="187"/>
      <c r="L195" s="303"/>
      <c r="M195" s="304"/>
      <c r="N195" s="216">
        <f>'Budget P&amp;L Input'!G41</f>
        <v>-47279.846259011312</v>
      </c>
      <c r="O195" s="216">
        <f>'Budget P&amp;L Input'!H41</f>
        <v>-55463.939132226675</v>
      </c>
      <c r="P195" s="216">
        <f>'Budget P&amp;L Input'!I41</f>
        <v>-59949.621820545428</v>
      </c>
      <c r="Q195" s="216">
        <f>'Budget P&amp;L Input'!J41</f>
        <v>-67391.174539615473</v>
      </c>
      <c r="R195" s="216">
        <f>'Budget P&amp;L Input'!K41</f>
        <v>-76525.638493087215</v>
      </c>
      <c r="T195" s="216">
        <f>IF(T$139="Actual", 'Budget P&amp;L Input'!L41, ((T$202/((1/'2503'!F$27)+1))*('2503'!F22/'2503'!F$27)))</f>
        <v>-80937.084406045193</v>
      </c>
      <c r="U195" s="216">
        <f>IF(U$139="Actual", 'Budget P&amp;L Input'!M41, ((U$202/((1/'2503'!G$27)+1))*('2503'!G22/'2503'!G$27)))</f>
        <v>-78414.132252376468</v>
      </c>
      <c r="V195" s="216">
        <f>IF(V$139="Actual", 'Budget P&amp;L Input'!N41, ((V$202/((1/'2503'!H$27)+1))*('2503'!H22/'2503'!H$27)))</f>
        <v>-80081.884264012086</v>
      </c>
      <c r="W195" s="216">
        <f>IF(W$139="Actual", 'Budget P&amp;L Input'!O41, ((W$202/((1/'2503'!I$27)+1))*('2503'!I22/'2503'!I$27)))</f>
        <v>-76307.566362018712</v>
      </c>
      <c r="X195" s="216">
        <f>IF(X$139="Actual", 'Budget P&amp;L Input'!P41, ((X$202/((1/'2503'!J$27)+1))*('2503'!J22/'2503'!J$27)))</f>
        <v>-90179.850428010774</v>
      </c>
      <c r="Y195" s="216">
        <f>IF(Y$139="Actual", 'Budget P&amp;L Input'!Q41, ((Y$202/((1/'2503'!K$27)+1))*('2503'!K22/'2503'!K$27)))</f>
        <v>-93525.523379300605</v>
      </c>
      <c r="Z195" s="216">
        <f>IF(Z$139="Actual", 'Budget P&amp;L Input'!R41, ((Z$202/((1/'2503'!L$27)+1))*('2503'!L22/'2503'!L$27)))</f>
        <v>-96758.679833602</v>
      </c>
      <c r="AA195" s="216">
        <f>IF(AA$139="Actual", 'Budget P&amp;L Input'!S41, ((AA$202/((1/'2503'!M$27)+1))*('2503'!M22/'2503'!M$27)))</f>
        <v>-99942.755888510103</v>
      </c>
      <c r="AB195" s="216">
        <f>IF(AB$139="Actual", 'Budget P&amp;L Input'!T41, ((AB$202/((1/'2503'!N$27)+1))*('2503'!N22/'2503'!N$27)))</f>
        <v>-103134.38481214734</v>
      </c>
      <c r="AC195" s="216">
        <f>IF(AC$139="Actual", 'Budget P&amp;L Input'!U41, ((AC$202/((1/'2503'!O$27)+1))*('2503'!O22/'2503'!O$27)))</f>
        <v>-106327.53005088428</v>
      </c>
      <c r="AD195" s="216">
        <f>IF(AD$139="Actual", 'Budget P&amp;L Input'!V41, ((AD$202/((1/'2503'!P$27)+1))*('2503'!P22/'2503'!P$27)))</f>
        <v>-109515.55764166488</v>
      </c>
      <c r="AE195" s="216">
        <f>IF(AE$139="Actual", 'Budget P&amp;L Input'!W41, ((AE$202/((1/'2503'!Q$27)+1))*('2503'!Q22/'2503'!Q$27)))</f>
        <v>-112691.28400046719</v>
      </c>
      <c r="AF195" s="216">
        <f>IF(AF$139="Actual", 'Budget P&amp;L Input'!X41, ((AF$202/((1/'2503'!R$27)+1))*('2503'!R22/'2503'!R$27)))</f>
        <v>-115847.01058816357</v>
      </c>
      <c r="AG195" s="216">
        <f>IF(AG$139="Actual", 'Budget P&amp;L Input'!Y41, ((AG$202/((1/'2503'!S$27)+1))*('2503'!S22/'2503'!S$27)))</f>
        <v>-118974.55281731559</v>
      </c>
      <c r="AH195" s="216">
        <f>IF(AH$139="Actual", 'Budget P&amp;L Input'!X41, ((AH$202/((1/'2503'!R$27)+1))*('2503'!R22/'2503'!R$27)))</f>
        <v>0</v>
      </c>
      <c r="AI195" s="77">
        <v>2503</v>
      </c>
    </row>
    <row r="196" spans="1:35" outlineLevel="1">
      <c r="A196" s="50"/>
      <c r="D196" s="162" t="s">
        <v>184</v>
      </c>
      <c r="G196" s="318" t="s">
        <v>179</v>
      </c>
      <c r="J196" s="436" t="s">
        <v>176</v>
      </c>
      <c r="K196" s="187"/>
      <c r="L196" s="303"/>
      <c r="M196" s="304"/>
      <c r="N196" s="216">
        <f>'Budget P&amp;L Input'!G42</f>
        <v>-11057.383399284905</v>
      </c>
      <c r="O196" s="216">
        <f>'Budget P&amp;L Input'!H42</f>
        <v>-12971.405119633659</v>
      </c>
      <c r="P196" s="216">
        <f>'Budget P&amp;L Input'!I42</f>
        <v>-14020.47607093401</v>
      </c>
      <c r="Q196" s="216">
        <f>'Budget P&amp;L Input'!J42</f>
        <v>-15760.839206845552</v>
      </c>
      <c r="R196" s="216">
        <f>'Budget P&amp;L Input'!K42</f>
        <v>-17897.125131447818</v>
      </c>
      <c r="T196" s="216">
        <f>IF(T$139="Actual", 'Budget P&amp;L Input'!L42, ((T$202/((1/'2503'!F$27)+1))*('2503'!F23/'2503'!F$27)))</f>
        <v>-18928.834256252507</v>
      </c>
      <c r="U196" s="216">
        <f>IF(U$139="Actual", 'Budget P&amp;L Input'!M42, ((U$202/((1/'2503'!G$27)+1))*('2503'!G23/'2503'!G$27)))</f>
        <v>-18338.788994507398</v>
      </c>
      <c r="V196" s="216">
        <f>IF(V$139="Actual", 'Budget P&amp;L Input'!N42, ((V$202/((1/'2503'!H$27)+1))*('2503'!H23/'2503'!H$27)))</f>
        <v>-18728.82777142218</v>
      </c>
      <c r="W196" s="216">
        <f>IF(W$139="Actual", 'Budget P&amp;L Input'!O42, ((W$202/((1/'2503'!I$27)+1))*('2503'!I23/'2503'!I$27)))</f>
        <v>-17846.124391117279</v>
      </c>
      <c r="X196" s="216">
        <f>IF(X$139="Actual", 'Budget P&amp;L Input'!P42, ((X$202/((1/'2503'!J$27)+1))*('2503'!J23/'2503'!J$27)))</f>
        <v>-21090.448890421878</v>
      </c>
      <c r="Y196" s="216">
        <f>IF(Y$139="Actual", 'Budget P&amp;L Input'!Q42, ((Y$202/((1/'2503'!K$27)+1))*('2503'!K23/'2503'!K$27)))</f>
        <v>-21872.904661288045</v>
      </c>
      <c r="Z196" s="216">
        <f>IF(Z$139="Actual", 'Budget P&amp;L Input'!R42, ((Z$202/((1/'2503'!L$27)+1))*('2503'!L23/'2503'!L$27)))</f>
        <v>-22629.046090116597</v>
      </c>
      <c r="AA196" s="216">
        <f>IF(AA$139="Actual", 'Budget P&amp;L Input'!S42, ((AA$202/((1/'2503'!M$27)+1))*('2503'!M23/'2503'!M$27)))</f>
        <v>-23373.709038441884</v>
      </c>
      <c r="AB196" s="216">
        <f>IF(AB$139="Actual", 'Budget P&amp;L Input'!T42, ((AB$202/((1/'2503'!N$27)+1))*('2503'!N23/'2503'!N$27)))</f>
        <v>-24120.138383486072</v>
      </c>
      <c r="AC196" s="216">
        <f>IF(AC$139="Actual", 'Budget P&amp;L Input'!U42, ((AC$202/((1/'2503'!O$27)+1))*('2503'!O23/'2503'!O$27)))</f>
        <v>-24866.922350610039</v>
      </c>
      <c r="AD196" s="216">
        <f>IF(AD$139="Actual", 'Budget P&amp;L Input'!V42, ((AD$202/((1/'2503'!P$27)+1))*('2503'!P23/'2503'!P$27)))</f>
        <v>-25612.509448453886</v>
      </c>
      <c r="AE196" s="216">
        <f>IF(AE$139="Actual", 'Budget P&amp;L Input'!W42, ((AE$202/((1/'2503'!Q$27)+1))*('2503'!Q23/'2503'!Q$27)))</f>
        <v>-26355.219645270558</v>
      </c>
      <c r="AF196" s="216">
        <f>IF(AF$139="Actual", 'Budget P&amp;L Input'!X42, ((AF$202/((1/'2503'!R$27)+1))*('2503'!R23/'2503'!R$27)))</f>
        <v>-27093.252476264064</v>
      </c>
      <c r="AG196" s="216">
        <f>IF(AG$139="Actual", 'Budget P&amp;L Input'!Y42, ((AG$202/((1/'2503'!S$27)+1))*('2503'!S23/'2503'!S$27)))</f>
        <v>-27824.693804049621</v>
      </c>
      <c r="AH196" s="216">
        <f>IF(AH$139="Actual", 'Budget P&amp;L Input'!X42, ((AH$202/((1/'2503'!R$27)+1))*('2503'!R23/'2503'!R$27)))</f>
        <v>0</v>
      </c>
      <c r="AI196" s="77">
        <v>2503</v>
      </c>
    </row>
    <row r="197" spans="1:35" outlineLevel="1">
      <c r="A197" s="50"/>
      <c r="D197" s="162" t="s">
        <v>185</v>
      </c>
      <c r="G197" s="318" t="s">
        <v>179</v>
      </c>
      <c r="J197" s="436" t="s">
        <v>176</v>
      </c>
      <c r="K197" s="187"/>
      <c r="L197" s="303"/>
      <c r="M197" s="304"/>
      <c r="N197" s="216">
        <f>'Budget P&amp;L Input'!G43</f>
        <v>-9303.4536187086778</v>
      </c>
      <c r="O197" s="216">
        <f>'Budget P&amp;L Input'!H43</f>
        <v>-10913.871893760734</v>
      </c>
      <c r="P197" s="216">
        <f>'Budget P&amp;L Input'!I43</f>
        <v>-8508.9785809806399</v>
      </c>
      <c r="Q197" s="216">
        <f>'Budget P&amp;L Input'!J43</f>
        <v>-12608.671365476443</v>
      </c>
      <c r="R197" s="216">
        <f>'Budget P&amp;L Input'!K43</f>
        <v>-14317.700105158254</v>
      </c>
      <c r="T197" s="216">
        <f>IF(T$139="Actual", 'Budget P&amp;L Input'!L43, ((T$202/((1/'2503'!F$27)+1))*('2503'!F24/'2503'!F$27)))</f>
        <v>-16579.047934786675</v>
      </c>
      <c r="U197" s="216">
        <f>IF(U$139="Actual", 'Budget P&amp;L Input'!M43, ((U$202/((1/'2503'!G$27)+1))*('2503'!G24/'2503'!G$27)))</f>
        <v>-13406.287127019203</v>
      </c>
      <c r="V197" s="216">
        <f>IF(V$139="Actual", 'Budget P&amp;L Input'!N43, ((V$202/((1/'2503'!H$27)+1))*('2503'!H24/'2503'!H$27)))</f>
        <v>-16016.376852802417</v>
      </c>
      <c r="W197" s="216">
        <f>IF(W$139="Actual", 'Budget P&amp;L Input'!O43, ((W$202/((1/'2503'!I$27)+1))*('2503'!I24/'2503'!I$27)))</f>
        <v>-15261.513272403739</v>
      </c>
      <c r="X197" s="216">
        <f>IF(X$139="Actual", 'Budget P&amp;L Input'!P43, ((X$202/((1/'2503'!J$27)+1))*('2503'!J24/'2503'!J$27)))</f>
        <v>-18035.970085602155</v>
      </c>
      <c r="Y197" s="216">
        <f>IF(Y$139="Actual", 'Budget P&amp;L Input'!Q43, ((Y$202/((1/'2503'!K$27)+1))*('2503'!K24/'2503'!K$27)))</f>
        <v>-18732.894164310364</v>
      </c>
      <c r="Z197" s="216">
        <f>IF(Z$139="Actual", 'Budget P&amp;L Input'!R43, ((Z$202/((1/'2503'!L$27)+1))*('2503'!L24/'2503'!L$27)))</f>
        <v>-19409.279009504979</v>
      </c>
      <c r="AA197" s="216">
        <f>IF(AA$139="Actual", 'Budget P&amp;L Input'!S43, ((AA$202/((1/'2503'!M$27)+1))*('2503'!M24/'2503'!M$27)))</f>
        <v>-20077.772372807332</v>
      </c>
      <c r="AB197" s="216">
        <f>IF(AB$139="Actual", 'Budget P&amp;L Input'!T43, ((AB$202/((1/'2503'!N$27)+1))*('2503'!N24/'2503'!N$27)))</f>
        <v>-20749.728778798763</v>
      </c>
      <c r="AC197" s="216">
        <f>IF(AC$139="Actual", 'Budget P&amp;L Input'!U43, ((AC$202/((1/'2503'!O$27)+1))*('2503'!O24/'2503'!O$27)))</f>
        <v>-21423.942993685509</v>
      </c>
      <c r="AD197" s="216">
        <f>IF(AD$139="Actual", 'Budget P&amp;L Input'!V43, ((AD$202/((1/'2503'!P$27)+1))*('2503'!P24/'2503'!P$27)))</f>
        <v>-22099.082033291106</v>
      </c>
      <c r="AE197" s="216">
        <f>IF(AE$139="Actual", 'Budget P&amp;L Input'!W43, ((AE$202/((1/'2503'!Q$27)+1))*('2503'!Q24/'2503'!Q$27)))</f>
        <v>-22773.693898318241</v>
      </c>
      <c r="AF197" s="216">
        <f>IF(AF$139="Actual", 'Budget P&amp;L Input'!X43, ((AF$202/((1/'2503'!R$27)+1))*('2503'!R24/'2503'!R$27)))</f>
        <v>-23446.213735750775</v>
      </c>
      <c r="AG197" s="216">
        <f>IF(AG$139="Actual", 'Budget P&amp;L Input'!Y43, ((AG$202/((1/'2503'!S$27)+1))*('2503'!S24/'2503'!S$27)))</f>
        <v>-24114.968891725424</v>
      </c>
      <c r="AH197" s="216">
        <f>IF(AH$139="Actual", 'Budget P&amp;L Input'!X43, ((AH$202/((1/'2503'!R$27)+1))*('2503'!R24/'2503'!R$27)))</f>
        <v>0</v>
      </c>
      <c r="AI197" s="77">
        <v>2503</v>
      </c>
    </row>
    <row r="198" spans="1:35" outlineLevel="1">
      <c r="A198" s="50"/>
      <c r="D198" s="162" t="s">
        <v>186</v>
      </c>
      <c r="G198" s="318" t="s">
        <v>179</v>
      </c>
      <c r="J198" s="436" t="s">
        <v>176</v>
      </c>
      <c r="K198" s="187"/>
      <c r="L198" s="303"/>
      <c r="M198" s="304"/>
      <c r="N198" s="216">
        <f>'Budget P&amp;L Input'!G44</f>
        <v>-6939.4613057581118</v>
      </c>
      <c r="O198" s="216">
        <f>'Budget P&amp;L Input'!H44</f>
        <v>-8140.6749371493997</v>
      </c>
      <c r="P198" s="216">
        <f>'Budget P&amp;L Input'!I44</f>
        <v>-2997.4810910272708</v>
      </c>
      <c r="Q198" s="216">
        <f>'Budget P&amp;L Input'!J44</f>
        <v>-2717.3860701457847</v>
      </c>
      <c r="R198" s="216">
        <f>'Budget P&amp;L Input'!K44</f>
        <v>-3085.7112295599691</v>
      </c>
      <c r="T198" s="216">
        <f>IF(T$139="Actual", 'Budget P&amp;L Input'!L44, ((T$202/((1/'2503'!F$27)+1))*('2503'!F25/'2503'!F$27)))</f>
        <v>-1958.1552678881901</v>
      </c>
      <c r="U198" s="216">
        <f>IF(U$139="Actual", 'Budget P&amp;L Input'!M44, ((U$202/((1/'2503'!G$27)+1))*('2503'!G25/'2503'!G$27)))</f>
        <v>-1138.2696617280455</v>
      </c>
      <c r="V198" s="216">
        <f>IF(V$139="Actual", 'Budget P&amp;L Input'!N44, ((V$202/((1/'2503'!H$27)+1))*('2503'!H25/'2503'!H$27)))</f>
        <v>-258.32865891616802</v>
      </c>
      <c r="W198" s="216">
        <f>IF(W$139="Actual", 'Budget P&amp;L Input'!O44, ((W$202/((1/'2503'!I$27)+1))*('2503'!I25/'2503'!I$27)))</f>
        <v>-246.15343987747968</v>
      </c>
      <c r="X198" s="216">
        <f>IF(X$139="Actual", 'Budget P&amp;L Input'!P44, ((X$202/((1/'2503'!J$27)+1))*('2503'!J25/'2503'!J$27)))</f>
        <v>-290.90274331616382</v>
      </c>
      <c r="Y198" s="216">
        <f>IF(Y$139="Actual", 'Budget P&amp;L Input'!Q44, ((Y$202/((1/'2503'!K$27)+1))*('2503'!K25/'2503'!K$27)))</f>
        <v>-183.25192155561888</v>
      </c>
      <c r="Z198" s="216">
        <f>IF(Z$139="Actual", 'Budget P&amp;L Input'!R44, ((Z$202/((1/'2503'!L$27)+1))*('2503'!L25/'2503'!L$27)))</f>
        <v>-115.15648713680071</v>
      </c>
      <c r="AA198" s="216">
        <f>IF(AA$139="Actual", 'Budget P&amp;L Input'!S44, ((AA$202/((1/'2503'!M$27)+1))*('2503'!M25/'2503'!M$27)))</f>
        <v>-72.248673643358245</v>
      </c>
      <c r="AB198" s="216">
        <f>IF(AB$139="Actual", 'Budget P&amp;L Input'!T44, ((AB$202/((1/'2503'!N$27)+1))*('2503'!N25/'2503'!N$27)))</f>
        <v>-45.285808332352438</v>
      </c>
      <c r="AC198" s="216">
        <f>IF(AC$139="Actual", 'Budget P&amp;L Input'!U44, ((AC$202/((1/'2503'!O$27)+1))*('2503'!O25/'2503'!O$27)))</f>
        <v>-28.358578072949189</v>
      </c>
      <c r="AD198" s="216">
        <f>IF(AD$139="Actual", 'Budget P&amp;L Input'!V44, ((AD$202/((1/'2503'!P$27)+1))*('2503'!P25/'2503'!P$27)))</f>
        <v>-17.741675367715615</v>
      </c>
      <c r="AE198" s="216">
        <f>IF(AE$139="Actual", 'Budget P&amp;L Input'!W44, ((AE$202/((1/'2503'!Q$27)+1))*('2503'!Q25/'2503'!Q$27)))</f>
        <v>-11.088919242501465</v>
      </c>
      <c r="AF198" s="216">
        <f>IF(AF$139="Actual", 'Budget P&amp;L Input'!X44, ((AF$202/((1/'2503'!R$27)+1))*('2503'!R25/'2503'!R$27)))</f>
        <v>-6.9241076079795363</v>
      </c>
      <c r="AG198" s="216">
        <f>IF(AG$139="Actual", 'Budget P&amp;L Input'!Y44, ((AG$202/((1/'2503'!S$27)+1))*('2503'!S25/'2503'!S$27)))</f>
        <v>-4.319297741950864</v>
      </c>
      <c r="AH198" s="216">
        <f>IF(AH$139="Actual", 'Budget P&amp;L Input'!X44, ((AH$202/((1/'2503'!R$27)+1))*('2503'!R25/'2503'!R$27)))</f>
        <v>0</v>
      </c>
      <c r="AI198" s="77">
        <v>2503</v>
      </c>
    </row>
    <row r="199" spans="1:35" outlineLevel="1">
      <c r="A199" s="50"/>
      <c r="D199" s="162" t="s">
        <v>187</v>
      </c>
      <c r="G199" s="318" t="s">
        <v>179</v>
      </c>
      <c r="J199" s="436" t="s">
        <v>176</v>
      </c>
      <c r="K199" s="187"/>
      <c r="L199" s="303"/>
      <c r="M199" s="304"/>
      <c r="N199" s="216">
        <f>'Budget P&amp;L Input'!G45</f>
        <v>0</v>
      </c>
      <c r="O199" s="216">
        <f>'Budget P&amp;L Input'!H45</f>
        <v>0</v>
      </c>
      <c r="P199" s="216">
        <f>'Budget P&amp;L Input'!I45</f>
        <v>-96.692938420234555</v>
      </c>
      <c r="Q199" s="216">
        <f>'Budget P&amp;L Input'!J45</f>
        <v>0</v>
      </c>
      <c r="R199" s="216">
        <f>'Budget P&amp;L Input'!K45</f>
        <v>0</v>
      </c>
      <c r="T199" s="216">
        <f>IF(T$139="Actual", 'Budget P&amp;L Input'!L45, ((T$202/((1/'2503'!F$27)+1))*('2503'!F26/'2503'!F$27)))</f>
        <v>0</v>
      </c>
      <c r="U199" s="216">
        <f>IF(U$139="Actual", 'Budget P&amp;L Input'!M45, ((U$202/((1/'2503'!G$27)+1))*('2503'!G26/'2503'!G$27)))</f>
        <v>-25.294881371734345</v>
      </c>
      <c r="V199" s="216">
        <f>IF(V$139="Actual", 'Budget P&amp;L Input'!N45, ((V$202/((1/'2503'!H$27)+1))*('2503'!H26/'2503'!H$27)))</f>
        <v>-129.16432945808401</v>
      </c>
      <c r="W199" s="216">
        <f>IF(W$139="Actual", 'Budget P&amp;L Input'!O45, ((W$202/((1/'2503'!I$27)+1))*('2503'!I26/'2503'!I$27)))</f>
        <v>-123.07671993873984</v>
      </c>
      <c r="X199" s="216">
        <f>IF(X$139="Actual", 'Budget P&amp;L Input'!P45, ((X$202/((1/'2503'!J$27)+1))*('2503'!J26/'2503'!J$27)))</f>
        <v>-145.45137165808191</v>
      </c>
      <c r="Y199" s="216">
        <f>IF(Y$139="Actual", 'Budget P&amp;L Input'!Q45, ((Y$202/((1/'2503'!K$27)+1))*('2503'!K26/'2503'!K$27)))</f>
        <v>-30.169523670742134</v>
      </c>
      <c r="Z199" s="216">
        <f>IF(Z$139="Actual", 'Budget P&amp;L Input'!R45, ((Z$202/((1/'2503'!L$27)+1))*('2503'!L26/'2503'!L$27)))</f>
        <v>-31.212477365678065</v>
      </c>
      <c r="AA199" s="216">
        <f>IF(AA$139="Actual", 'Budget P&amp;L Input'!S45, ((AA$202/((1/'2503'!M$27)+1))*('2503'!M26/'2503'!M$27)))</f>
        <v>-32.239598673712941</v>
      </c>
      <c r="AB199" s="216">
        <f>IF(AB$139="Actual", 'Budget P&amp;L Input'!T45, ((AB$202/((1/'2503'!N$27)+1))*('2503'!N26/'2503'!N$27)))</f>
        <v>-33.269156391015272</v>
      </c>
      <c r="AC199" s="216">
        <f>IF(AC$139="Actual", 'Budget P&amp;L Input'!U45, ((AC$202/((1/'2503'!O$27)+1))*('2503'!O26/'2503'!O$27)))</f>
        <v>-34.299203242220742</v>
      </c>
      <c r="AD199" s="216">
        <f>IF(AD$139="Actual", 'Budget P&amp;L Input'!V45, ((AD$202/((1/'2503'!P$27)+1))*('2503'!P26/'2503'!P$27)))</f>
        <v>-35.327599239246737</v>
      </c>
      <c r="AE199" s="216">
        <f>IF(AE$139="Actual", 'Budget P&amp;L Input'!W45, ((AE$202/((1/'2503'!Q$27)+1))*('2503'!Q26/'2503'!Q$27)))</f>
        <v>-36.3520270969249</v>
      </c>
      <c r="AF199" s="216">
        <f>IF(AF$139="Actual", 'Budget P&amp;L Input'!X45, ((AF$202/((1/'2503'!R$27)+1))*('2503'!R26/'2503'!R$27)))</f>
        <v>-37.370003415536637</v>
      </c>
      <c r="AG199" s="216">
        <f>IF(AG$139="Actual", 'Budget P&amp;L Input'!Y45, ((AG$202/((1/'2503'!S$27)+1))*('2503'!S26/'2503'!S$27)))</f>
        <v>-38.378888005585679</v>
      </c>
      <c r="AH199" s="216">
        <f>IF(AH$139="Actual", 'Budget P&amp;L Input'!X45, ((AH$202/((1/'2503'!R$27)+1))*('2503'!R26/'2503'!R$27)))</f>
        <v>0</v>
      </c>
      <c r="AI199" s="77">
        <v>2503</v>
      </c>
    </row>
    <row r="200" spans="1:35" s="57" customFormat="1">
      <c r="C200" s="77" t="s">
        <v>188</v>
      </c>
      <c r="G200" s="318" t="s">
        <v>179</v>
      </c>
      <c r="H200" s="51"/>
      <c r="I200" s="56"/>
      <c r="J200" s="613"/>
      <c r="K200" s="310"/>
      <c r="L200" s="309"/>
      <c r="M200" s="309"/>
      <c r="N200" s="333">
        <f>SUM(N191:N199)</f>
        <v>-303201.07859004673</v>
      </c>
      <c r="O200" s="333">
        <f t="shared" ref="O200:R200" si="63">SUM(O191:O199)</f>
        <v>-355684.87417698913</v>
      </c>
      <c r="P200" s="333">
        <f t="shared" si="63"/>
        <v>-401662.46619765431</v>
      </c>
      <c r="Q200" s="333">
        <f t="shared" si="63"/>
        <v>-456412.16434168606</v>
      </c>
      <c r="R200" s="333">
        <f t="shared" si="63"/>
        <v>-524447.48057601228</v>
      </c>
      <c r="S200" s="147"/>
      <c r="T200" s="333">
        <f t="shared" ref="T200" si="64">SUM(T191:T199)</f>
        <v>-646713.41314120614</v>
      </c>
      <c r="U200" s="333">
        <f t="shared" ref="U200" si="65">SUM(U191:U199)</f>
        <v>-701705.30413328239</v>
      </c>
      <c r="V200" s="333">
        <f t="shared" ref="V200" si="66">SUM(V191:V199)</f>
        <v>-763102.85843836027</v>
      </c>
      <c r="W200" s="333">
        <f t="shared" ref="W200" si="67">SUM(W191:W199)</f>
        <v>-739444.93339194893</v>
      </c>
      <c r="X200" s="333">
        <f t="shared" ref="X200" si="68">SUM(X191:X199)</f>
        <v>-917507.2524191807</v>
      </c>
      <c r="Y200" s="333">
        <f t="shared" ref="Y200" si="69">SUM(Y191:Y199)</f>
        <v>-978507.99982375093</v>
      </c>
      <c r="Z200" s="333">
        <f t="shared" ref="Z200" si="70">SUM(Z191:Z199)</f>
        <v>-1041943.3162645302</v>
      </c>
      <c r="AA200" s="333">
        <f t="shared" ref="AA200" si="71">SUM(AA191:AA199)</f>
        <v>-1108544.0313804806</v>
      </c>
      <c r="AB200" s="333">
        <f t="shared" ref="AB200" si="72">SUM(AB191:AB199)</f>
        <v>-1179181.6389491626</v>
      </c>
      <c r="AC200" s="333">
        <f t="shared" ref="AC200" si="73">SUM(AC191:AC199)</f>
        <v>-1254091.8105887417</v>
      </c>
      <c r="AD200" s="333">
        <f t="shared" ref="AD200" si="74">SUM(AD191:AD199)</f>
        <v>-1333522.5119890873</v>
      </c>
      <c r="AE200" s="333">
        <f t="shared" ref="AE200:AG200" si="75">SUM(AE191:AE199)</f>
        <v>-1417733.6037991685</v>
      </c>
      <c r="AF200" s="333">
        <f t="shared" si="75"/>
        <v>-1506996.5046055315</v>
      </c>
      <c r="AG200" s="333">
        <f t="shared" si="75"/>
        <v>-1601593.8512775558</v>
      </c>
      <c r="AH200" s="77"/>
      <c r="AI200" s="77"/>
    </row>
    <row r="201" spans="1:35" s="52" customFormat="1">
      <c r="C201" s="321"/>
      <c r="F201" s="76" t="s">
        <v>118</v>
      </c>
      <c r="G201" s="322"/>
      <c r="J201" s="622"/>
      <c r="K201" s="286"/>
      <c r="L201" s="323"/>
      <c r="M201" s="323"/>
      <c r="N201" s="324">
        <f>N189+N200-N202</f>
        <v>0</v>
      </c>
      <c r="O201" s="324">
        <f>O189+O200-O202</f>
        <v>0</v>
      </c>
      <c r="P201" s="324">
        <f>P189+P200-P202</f>
        <v>0</v>
      </c>
      <c r="Q201" s="324">
        <f t="shared" ref="Q201:AE201" si="76">Q189+Q200-Q202</f>
        <v>0</v>
      </c>
      <c r="R201" s="324">
        <f t="shared" si="76"/>
        <v>0</v>
      </c>
      <c r="S201" s="292"/>
      <c r="T201" s="324">
        <f>T189+T200-T202</f>
        <v>0</v>
      </c>
      <c r="U201" s="324">
        <f t="shared" si="76"/>
        <v>0</v>
      </c>
      <c r="V201" s="324">
        <f t="shared" si="76"/>
        <v>0</v>
      </c>
      <c r="W201" s="324">
        <f t="shared" si="76"/>
        <v>0</v>
      </c>
      <c r="X201" s="324">
        <f t="shared" si="76"/>
        <v>0</v>
      </c>
      <c r="Y201" s="324">
        <f t="shared" si="76"/>
        <v>0</v>
      </c>
      <c r="Z201" s="324">
        <f t="shared" si="76"/>
        <v>0</v>
      </c>
      <c r="AA201" s="324">
        <f t="shared" si="76"/>
        <v>0</v>
      </c>
      <c r="AB201" s="324">
        <f t="shared" si="76"/>
        <v>0</v>
      </c>
      <c r="AC201" s="324">
        <f t="shared" si="76"/>
        <v>0</v>
      </c>
      <c r="AD201" s="324">
        <f t="shared" si="76"/>
        <v>0</v>
      </c>
      <c r="AE201" s="324">
        <f t="shared" si="76"/>
        <v>0</v>
      </c>
      <c r="AF201" s="324">
        <f t="shared" ref="AF201:AG201" si="77">AF189+AF200-AF202</f>
        <v>0</v>
      </c>
      <c r="AG201" s="324">
        <f t="shared" si="77"/>
        <v>0</v>
      </c>
      <c r="AH201" s="77"/>
      <c r="AI201" s="77"/>
    </row>
    <row r="202" spans="1:35" outlineLevel="1">
      <c r="A202" s="50"/>
      <c r="B202" s="57" t="s">
        <v>509</v>
      </c>
      <c r="G202" s="52"/>
      <c r="J202" s="436" t="s">
        <v>153</v>
      </c>
      <c r="K202" s="187"/>
      <c r="L202" s="303"/>
      <c r="M202" s="304"/>
      <c r="N202" s="216">
        <f>'Budget P&amp;L Input'!G48</f>
        <v>-1065779.2440579711</v>
      </c>
      <c r="O202" s="216">
        <f>'Budget P&amp;L Input'!H48</f>
        <v>-1250264.5375999999</v>
      </c>
      <c r="P202" s="216">
        <f>'Budget P&amp;L Input'!I48</f>
        <v>-1368591.8503999999</v>
      </c>
      <c r="Q202" s="216">
        <f>'Budget P&amp;L Input'!J48</f>
        <v>-1543366.5924</v>
      </c>
      <c r="R202" s="216">
        <f>'Budget P&amp;L Input'!K48</f>
        <v>-1758731.9723999999</v>
      </c>
      <c r="T202" s="242">
        <f>IF(T$139="Actual", 'Budget P&amp;L Input'!L48, +T317-T217)</f>
        <v>-1952150.2583999999</v>
      </c>
      <c r="U202" s="242">
        <f>IF(U$139="Actual", 'Budget P&amp;L Input'!M48, +U317-U217)</f>
        <v>-1966449.3727199999</v>
      </c>
      <c r="V202" s="242">
        <f>IF(V$139="Actual", 'Budget P&amp;L Input'!N48, +V317-V217)</f>
        <v>-2054746.1530192001</v>
      </c>
      <c r="W202" s="242">
        <f>IF(W$139="Actual", 'Budget P&amp;L Input'!O48, +W317-W217)</f>
        <v>-1970212.1327793472</v>
      </c>
      <c r="X202" s="242">
        <f>IF(X$139="Actual", 'Budget P&amp;L Input'!P48, +X317-X217)</f>
        <v>-2372020.9689999996</v>
      </c>
      <c r="Y202" s="242">
        <f>IF(Y$139="Actual", 'Budget P&amp;L Input'!Q48, +Y317-Y217)</f>
        <v>-2486984.1833608579</v>
      </c>
      <c r="Z202" s="242">
        <f>IF(Z$139="Actual", 'Budget P&amp;L Input'!R48, +Z317-Z217)</f>
        <v>-2602567.1845484334</v>
      </c>
      <c r="AA202" s="242">
        <f>IF(AA$139="Actual", 'Budget P&amp;L Input'!S48, +AA317-AA217)</f>
        <v>-2720523.9650661275</v>
      </c>
      <c r="AB202" s="242">
        <f>IF(AB$139="Actual", 'Budget P&amp;L Input'!T48, +AB317-AB217)</f>
        <v>-2842639.4584999261</v>
      </c>
      <c r="AC202" s="242">
        <f>IF(AC$139="Actual", 'Budget P&amp;L Input'!U48, +AC317-AC217)</f>
        <v>-2969051.9726997786</v>
      </c>
      <c r="AD202" s="242">
        <f>IF(AD$139="Actual", 'Budget P&amp;L Input'!V48, +AD317-AD217)</f>
        <v>-3099902.4739514235</v>
      </c>
      <c r="AE202" s="242">
        <f>IF(AE$139="Actual", 'Budget P&amp;L Input'!W48, +AE317-AE217)</f>
        <v>-3235334.9586454136</v>
      </c>
      <c r="AF202" s="242">
        <f>IF(AF$139="Actual", 'Budget P&amp;L Input'!X48, +AF317-AF217)</f>
        <v>-3375496.6753823636</v>
      </c>
      <c r="AG202" s="242">
        <f>IF(AG$139="Actual", 'Budget P&amp;L Input'!Y48, +AG317-AG217)</f>
        <v>-3520538.2515568398</v>
      </c>
    </row>
    <row r="203" spans="1:35">
      <c r="A203" s="77"/>
      <c r="B203" s="57" t="s">
        <v>510</v>
      </c>
      <c r="C203" s="57"/>
      <c r="D203" s="57"/>
      <c r="E203" s="57"/>
      <c r="F203" s="57"/>
      <c r="L203" s="229"/>
      <c r="M203" s="229"/>
      <c r="N203" s="317"/>
      <c r="O203" s="317"/>
      <c r="P203" s="317"/>
      <c r="Q203" s="317"/>
      <c r="R203" s="317"/>
      <c r="S203" s="257"/>
      <c r="T203" s="317"/>
      <c r="U203" s="317"/>
      <c r="V203" s="317"/>
      <c r="W203" s="317"/>
      <c r="X203" s="317"/>
      <c r="Y203" s="317"/>
      <c r="Z203" s="317"/>
      <c r="AA203" s="317"/>
      <c r="AB203" s="317"/>
      <c r="AC203" s="317"/>
      <c r="AD203" s="317"/>
      <c r="AE203" s="317"/>
      <c r="AF203" s="317"/>
      <c r="AG203" s="317"/>
    </row>
    <row r="204" spans="1:35" s="52" customFormat="1" outlineLevel="1">
      <c r="C204" s="162" t="s">
        <v>175</v>
      </c>
      <c r="J204" s="436" t="s">
        <v>153</v>
      </c>
      <c r="K204" s="642"/>
      <c r="L204" s="643"/>
      <c r="M204" s="323"/>
      <c r="N204" s="216">
        <f>'Budget P&amp;L Input'!G50</f>
        <v>-489588.4057971015</v>
      </c>
      <c r="O204" s="216">
        <f>'Budget P&amp;L Input'!H50</f>
        <v>-506724</v>
      </c>
      <c r="P204" s="216">
        <f>'Budget P&amp;L Input'!I50</f>
        <v>-506724</v>
      </c>
      <c r="Q204" s="216">
        <f>'Budget P&amp;L Input'!J50</f>
        <v>-506724</v>
      </c>
      <c r="R204" s="216">
        <f>'Budget P&amp;L Input'!K50</f>
        <v>-506724</v>
      </c>
      <c r="S204" s="215"/>
      <c r="T204" s="216">
        <f>'Budget P&amp;L Input'!L50</f>
        <v>-514404</v>
      </c>
      <c r="U204" s="216">
        <f>'Budget P&amp;L Input'!M50</f>
        <v>-514404</v>
      </c>
      <c r="V204" s="216">
        <f>'Budget P&amp;L Input'!N50</f>
        <v>-524177.67599999998</v>
      </c>
      <c r="W204" s="216">
        <f>'Budget P&amp;L Input'!O50</f>
        <v>-532564.51881599997</v>
      </c>
      <c r="X204" s="242">
        <f>IF(X$139="Actual", -'Budget P&amp;L Input'!P47, ROUND(AVERAGE($U204,W204,$V204), -3))</f>
        <v>-524000</v>
      </c>
      <c r="Y204" s="242">
        <f>IF(Y$139="Actual", -'Budget P&amp;L Input'!Q47, ROUND(AVERAGE($U204,X204,$V204), -3))</f>
        <v>-521000</v>
      </c>
      <c r="Z204" s="242">
        <f>IF(Z$139="Actual", -'Budget P&amp;L Input'!R47, ROUND(AVERAGE($U204,Y204,$V204), -3))</f>
        <v>-520000</v>
      </c>
      <c r="AA204" s="242">
        <f>IF(AA$139="Actual", -'Budget P&amp;L Input'!S47, ROUND(AVERAGE($U204,Z204,$V204), -3))</f>
        <v>-520000</v>
      </c>
      <c r="AB204" s="242">
        <f>IF(AB$139="Actual", -'Budget P&amp;L Input'!T47, ROUND(AVERAGE($U204,AA204,$V204), -3))</f>
        <v>-520000</v>
      </c>
      <c r="AC204" s="242">
        <f>IF(AC$139="Actual", -'Budget P&amp;L Input'!U47, ROUND(AVERAGE($U204,AB204,$V204), -3))</f>
        <v>-520000</v>
      </c>
      <c r="AD204" s="242">
        <f>IF(AD$139="Actual", -'Budget P&amp;L Input'!V47, ROUND(AVERAGE($U204,AC204,$V204), -3))</f>
        <v>-520000</v>
      </c>
      <c r="AE204" s="242">
        <f>IF(AE$139="Actual", -'Budget P&amp;L Input'!W47, ROUND(AVERAGE($U204,AD204,$V204), -3))</f>
        <v>-520000</v>
      </c>
      <c r="AF204" s="242">
        <f>IF(AF$139="Actual", -'Budget P&amp;L Input'!X47, ROUND(AVERAGE($U204,AE204,$V204), -3))</f>
        <v>-520000</v>
      </c>
      <c r="AG204" s="242">
        <f>IF(AG$139="Actual", -'Budget P&amp;L Input'!Y47, ROUND(AVERAGE($U204,AF204,$V204), -3))</f>
        <v>-520000</v>
      </c>
      <c r="AH204" s="321"/>
      <c r="AI204" s="77" t="s">
        <v>83</v>
      </c>
    </row>
    <row r="205" spans="1:35">
      <c r="A205" s="50"/>
      <c r="C205" s="77" t="s">
        <v>177</v>
      </c>
      <c r="J205" s="622"/>
      <c r="K205" s="311"/>
      <c r="L205" s="304"/>
      <c r="M205" s="304"/>
      <c r="N205" s="179"/>
      <c r="O205" s="179"/>
      <c r="P205" s="179"/>
      <c r="Q205" s="179"/>
      <c r="R205" s="179"/>
      <c r="T205" s="179"/>
      <c r="U205" s="179"/>
      <c r="V205" s="179"/>
      <c r="W205" s="179"/>
      <c r="X205" s="179"/>
      <c r="Y205" s="179"/>
      <c r="Z205" s="179"/>
      <c r="AA205" s="179"/>
      <c r="AB205" s="179"/>
      <c r="AC205" s="179"/>
      <c r="AD205" s="179"/>
      <c r="AE205" s="179"/>
      <c r="AF205" s="179"/>
      <c r="AG205" s="179"/>
    </row>
    <row r="206" spans="1:35" outlineLevel="1">
      <c r="A206" s="50"/>
      <c r="D206" s="162" t="s">
        <v>178</v>
      </c>
      <c r="G206" s="318" t="s">
        <v>179</v>
      </c>
      <c r="J206" s="436" t="s">
        <v>176</v>
      </c>
      <c r="K206" s="187"/>
      <c r="L206" s="303"/>
      <c r="M206" s="304"/>
      <c r="N206" s="216">
        <f>'Budget P&amp;L Input'!G52</f>
        <v>-73438.260869565216</v>
      </c>
      <c r="O206" s="216">
        <f>'Budget P&amp;L Input'!H52</f>
        <v>-76008.599999999991</v>
      </c>
      <c r="P206" s="216">
        <f>'Budget P&amp;L Input'!I52</f>
        <v>-78542.22</v>
      </c>
      <c r="Q206" s="216">
        <f>'Budget P&amp;L Input'!J52</f>
        <v>-81075.839999999997</v>
      </c>
      <c r="R206" s="216">
        <f>'Budget P&amp;L Input'!K52</f>
        <v>-83609.460000000006</v>
      </c>
      <c r="T206" s="216">
        <f>IF(T$139="Actual", 'Budget P&amp;L Input'!L52, T$204*'2503'!F18)</f>
        <v>-87448.680000000008</v>
      </c>
      <c r="U206" s="216">
        <f>IF(U$139="Actual", 'Budget P&amp;L Input'!M52, U$204*'2503'!G18)</f>
        <v>-87448.680000000008</v>
      </c>
      <c r="V206" s="216">
        <f>IF(V$139="Actual", 'Budget P&amp;L Input'!N52, V$204*'2503'!H18)</f>
        <v>-94351.981679999997</v>
      </c>
      <c r="W206" s="216">
        <f>IF(W$139="Actual", 'Budget P&amp;L Input'!O52, W$204*'2503'!I18)</f>
        <v>-101187.25857503999</v>
      </c>
      <c r="X206" s="216">
        <f>IF(X$139="Actual", 'Budget P&amp;L Input'!P52, X$204*'2503'!J18)</f>
        <v>-115280</v>
      </c>
      <c r="Y206" s="216">
        <f>IF(Y$139="Actual", 'Budget P&amp;L Input'!Q52, Y$204*'2503'!K18)</f>
        <v>-118990.04357298475</v>
      </c>
      <c r="Z206" s="216">
        <f>IF(Z$139="Actual", 'Budget P&amp;L Input'!R52, Z$204*'2503'!L18)</f>
        <v>-123289.6056122764</v>
      </c>
      <c r="AA206" s="216">
        <f>IF(AA$139="Actual", 'Budget P&amp;L Input'!S52, AA$204*'2503'!M18)</f>
        <v>-127990.18970424772</v>
      </c>
      <c r="AB206" s="216">
        <f>IF(AB$139="Actual", 'Budget P&amp;L Input'!T52, AB$204*'2503'!N18)</f>
        <v>-132869.98996530293</v>
      </c>
      <c r="AC206" s="216">
        <f>IF(AC$139="Actual", 'Budget P&amp;L Input'!U52, AC$204*'2503'!O18)</f>
        <v>-137935.83925591904</v>
      </c>
      <c r="AD206" s="216">
        <f>IF(AD$139="Actual", 'Budget P&amp;L Input'!V52, AD$204*'2503'!P18)</f>
        <v>-143194.83094868285</v>
      </c>
      <c r="AE206" s="216">
        <f>IF(AE$139="Actual", 'Budget P&amp;L Input'!W52, AE$204*'2503'!Q18)</f>
        <v>-148654.32886066966</v>
      </c>
      <c r="AF206" s="216">
        <f>IF(AF$139="Actual", 'Budget P&amp;L Input'!X52, AF$204*'2503'!R18)</f>
        <v>-154321.97756450786</v>
      </c>
      <c r="AG206" s="216">
        <f>IF(AG$139="Actual", 'Budget P&amp;L Input'!Y52, AG$204*'2503'!S18)</f>
        <v>-160205.71309256641</v>
      </c>
      <c r="AI206" s="77">
        <v>2503</v>
      </c>
    </row>
    <row r="207" spans="1:35" outlineLevel="1">
      <c r="A207" s="50"/>
      <c r="D207" s="162" t="s">
        <v>180</v>
      </c>
      <c r="G207" s="318" t="s">
        <v>179</v>
      </c>
      <c r="I207" s="319"/>
      <c r="J207" s="436" t="s">
        <v>176</v>
      </c>
      <c r="K207" s="187"/>
      <c r="L207" s="303"/>
      <c r="M207" s="304"/>
      <c r="N207" s="216">
        <f>'Budget P&amp;L Input'!G53</f>
        <v>-38971.237101449282</v>
      </c>
      <c r="O207" s="216">
        <f>'Budget P&amp;L Input'!H53</f>
        <v>-40335.2304</v>
      </c>
      <c r="P207" s="216">
        <f>'Budget P&amp;L Input'!I53</f>
        <v>-52445.933999999994</v>
      </c>
      <c r="Q207" s="216">
        <f>'Budget P&amp;L Input'!J53</f>
        <v>-51280.468800000002</v>
      </c>
      <c r="R207" s="216">
        <f>'Budget P&amp;L Input'!K53</f>
        <v>-51280.468800000002</v>
      </c>
      <c r="T207" s="216">
        <f>IF(T$139="Actual", 'Budget P&amp;L Input'!L53, T$204*'2503'!F19)</f>
        <v>-41512.402799999996</v>
      </c>
      <c r="U207" s="216">
        <f>IF(U$139="Actual", 'Budget P&amp;L Input'!M53, U$204*'2503'!G19)</f>
        <v>-48302.535599999996</v>
      </c>
      <c r="V207" s="216">
        <f>IF(V$139="Actual", 'Budget P&amp;L Input'!N53, V$204*'2503'!H19)</f>
        <v>-53151.616346399998</v>
      </c>
      <c r="W207" s="216">
        <f>IF(W$139="Actual", 'Budget P&amp;L Input'!O53, W$204*'2503'!I19)</f>
        <v>-54002.042207942395</v>
      </c>
      <c r="X207" s="216">
        <f>IF(X$139="Actual", 'Budget P&amp;L Input'!P53, X$204*'2503'!J19)</f>
        <v>-53133.599999999999</v>
      </c>
      <c r="Y207" s="216">
        <f>IF(Y$139="Actual", 'Budget P&amp;L Input'!Q53, Y$204*'2503'!K19)</f>
        <v>-57116.346929225503</v>
      </c>
      <c r="Z207" s="216">
        <f>IF(Z$139="Actual", 'Budget P&amp;L Input'!R53, Z$204*'2503'!L19)</f>
        <v>-61632.642396759169</v>
      </c>
      <c r="AA207" s="216">
        <f>IF(AA$139="Actual", 'Budget P&amp;L Input'!S53, AA$204*'2503'!M19)</f>
        <v>-66633.945971337729</v>
      </c>
      <c r="AB207" s="216">
        <f>IF(AB$139="Actual", 'Budget P&amp;L Input'!T53, AB$204*'2503'!N19)</f>
        <v>-72041.090289917993</v>
      </c>
      <c r="AC207" s="216">
        <f>IF(AC$139="Actual", 'Budget P&amp;L Input'!U53, AC$204*'2503'!O19)</f>
        <v>-77887.008108337686</v>
      </c>
      <c r="AD207" s="216">
        <f>IF(AD$139="Actual", 'Budget P&amp;L Input'!V53, AD$204*'2503'!P19)</f>
        <v>-84207.304576527764</v>
      </c>
      <c r="AE207" s="216">
        <f>IF(AE$139="Actual", 'Budget P&amp;L Input'!W53, AE$204*'2503'!Q19)</f>
        <v>-91040.47409525601</v>
      </c>
      <c r="AF207" s="216">
        <f>IF(AF$139="Actual", 'Budget P&amp;L Input'!X53, AF$204*'2503'!R19)</f>
        <v>-98428.134770143326</v>
      </c>
      <c r="AG207" s="216">
        <f>IF(AG$139="Actual", 'Budget P&amp;L Input'!Y53, AG$204*'2503'!S19)</f>
        <v>-106415.28189091812</v>
      </c>
      <c r="AI207" s="77">
        <v>2503</v>
      </c>
    </row>
    <row r="208" spans="1:35" outlineLevel="1">
      <c r="A208" s="50"/>
      <c r="D208" s="162" t="s">
        <v>181</v>
      </c>
      <c r="G208" s="318" t="s">
        <v>179</v>
      </c>
      <c r="I208" s="319"/>
      <c r="J208" s="436" t="s">
        <v>176</v>
      </c>
      <c r="K208" s="187"/>
      <c r="L208" s="303"/>
      <c r="M208" s="304"/>
      <c r="N208" s="216">
        <f>'Budget P&amp;L Input'!G54</f>
        <v>0</v>
      </c>
      <c r="O208" s="216">
        <f>'Budget P&amp;L Input'!H54</f>
        <v>0</v>
      </c>
      <c r="P208" s="216">
        <f>'Budget P&amp;L Input'!I54</f>
        <v>0</v>
      </c>
      <c r="Q208" s="216">
        <f>'Budget P&amp;L Input'!J54</f>
        <v>0</v>
      </c>
      <c r="R208" s="216">
        <f>'Budget P&amp;L Input'!K54</f>
        <v>0</v>
      </c>
      <c r="T208" s="216">
        <f>IF(T$139="Actual", 'Budget P&amp;L Input'!L54, T$204*'2503'!F20)</f>
        <v>-40020.631199999996</v>
      </c>
      <c r="U208" s="216">
        <f>IF(U$139="Actual", 'Budget P&amp;L Input'!M54, U$204*'2503'!G20)</f>
        <v>-65277.867600000005</v>
      </c>
      <c r="V208" s="216">
        <f>IF(V$139="Actual", 'Budget P&amp;L Input'!N54, V$204*'2503'!H20)</f>
        <v>-75114.660970800003</v>
      </c>
      <c r="W208" s="216">
        <f>IF(W$139="Actual", 'Budget P&amp;L Input'!O54, W$204*'2503'!I20)</f>
        <v>-76316.495546332808</v>
      </c>
      <c r="X208" s="216">
        <f>IF(X$139="Actual", 'Budget P&amp;L Input'!P54, X$204*'2503'!J20)</f>
        <v>-75089.200000000012</v>
      </c>
      <c r="Y208" s="216">
        <f>IF(Y$139="Actual", 'Budget P&amp;L Input'!Q54, Y$204*'2503'!K20)</f>
        <v>-75264.113043478268</v>
      </c>
      <c r="Z208" s="216">
        <f>IF(Z$139="Actual", 'Budget P&amp;L Input'!R54, Z$204*'2503'!L20)</f>
        <v>-75723.304347826081</v>
      </c>
      <c r="AA208" s="216">
        <f>IF(AA$139="Actual", 'Budget P&amp;L Input'!S54, AA$204*'2503'!M20)</f>
        <v>-76326.956521739121</v>
      </c>
      <c r="AB208" s="216">
        <f>IF(AB$139="Actual", 'Budget P&amp;L Input'!T54, AB$204*'2503'!N20)</f>
        <v>-76930.608695652161</v>
      </c>
      <c r="AC208" s="216">
        <f>IF(AC$139="Actual", 'Budget P&amp;L Input'!U54, AC$204*'2503'!O20)</f>
        <v>-77534.260869565202</v>
      </c>
      <c r="AD208" s="216">
        <f>IF(AD$139="Actual", 'Budget P&amp;L Input'!V54, AD$204*'2503'!P20)</f>
        <v>-78137.913043478242</v>
      </c>
      <c r="AE208" s="216">
        <f>IF(AE$139="Actual", 'Budget P&amp;L Input'!W54, AE$204*'2503'!Q20)</f>
        <v>-78741.565217391282</v>
      </c>
      <c r="AF208" s="216">
        <f>IF(AF$139="Actual", 'Budget P&amp;L Input'!X54, AF$204*'2503'!R20)</f>
        <v>-79345.217391304308</v>
      </c>
      <c r="AG208" s="216">
        <f>IF(AG$139="Actual", 'Budget P&amp;L Input'!Y54, AG$204*'2503'!S20)</f>
        <v>-79948.869565217348</v>
      </c>
      <c r="AI208" s="77">
        <v>2503</v>
      </c>
    </row>
    <row r="209" spans="1:35" outlineLevel="1">
      <c r="A209" s="50"/>
      <c r="D209" s="162" t="s">
        <v>182</v>
      </c>
      <c r="G209" s="318" t="s">
        <v>179</v>
      </c>
      <c r="I209" s="319"/>
      <c r="J209" s="436" t="s">
        <v>176</v>
      </c>
      <c r="K209" s="187"/>
      <c r="L209" s="303"/>
      <c r="M209" s="304"/>
      <c r="N209" s="216">
        <f>'Budget P&amp;L Input'!G55</f>
        <v>-34369.106086956526</v>
      </c>
      <c r="O209" s="216">
        <f>'Budget P&amp;L Input'!H55</f>
        <v>-35572.024799999999</v>
      </c>
      <c r="P209" s="216">
        <f>'Budget P&amp;L Input'!I55</f>
        <v>-34659.921600000001</v>
      </c>
      <c r="Q209" s="216">
        <f>'Budget P&amp;L Input'!J55</f>
        <v>-34507.904399999999</v>
      </c>
      <c r="R209" s="216">
        <f>'Budget P&amp;L Input'!K55</f>
        <v>-34507.904399999999</v>
      </c>
      <c r="T209" s="216">
        <f>IF(T$139="Actual", 'Budget P&amp;L Input'!L55, T$204*'2503'!F21)</f>
        <v>-39197.584800000004</v>
      </c>
      <c r="U209" s="216">
        <f>IF(U$139="Actual", 'Budget P&amp;L Input'!M55, U$204*'2503'!G21)</f>
        <v>-39094.703999999998</v>
      </c>
      <c r="V209" s="216">
        <f>IF(V$139="Actual", 'Budget P&amp;L Input'!N55, V$204*'2503'!H21)</f>
        <v>-40309.263284399996</v>
      </c>
      <c r="W209" s="216">
        <f>IF(W$139="Actual", 'Budget P&amp;L Input'!O55, W$204*'2503'!I21)</f>
        <v>-40954.211496950396</v>
      </c>
      <c r="X209" s="216">
        <f>IF(X$139="Actual", 'Budget P&amp;L Input'!P55, X$204*'2503'!J21)</f>
        <v>-40295.599999999999</v>
      </c>
      <c r="Y209" s="216">
        <f>IF(Y$139="Actual", 'Budget P&amp;L Input'!Q55, Y$204*'2503'!K21)</f>
        <v>-40187.998515103376</v>
      </c>
      <c r="Z209" s="216">
        <f>IF(Z$139="Actual", 'Budget P&amp;L Input'!R55, Z$204*'2503'!L21)</f>
        <v>-40234.10197463131</v>
      </c>
      <c r="AA209" s="216">
        <f>IF(AA$139="Actual", 'Budget P&amp;L Input'!S55, AA$204*'2503'!M21)</f>
        <v>-40357.720359042483</v>
      </c>
      <c r="AB209" s="216">
        <f>IF(AB$139="Actual", 'Budget P&amp;L Input'!T55, AB$204*'2503'!N21)</f>
        <v>-40481.71855819325</v>
      </c>
      <c r="AC209" s="216">
        <f>IF(AC$139="Actual", 'Budget P&amp;L Input'!U55, AC$204*'2503'!O21)</f>
        <v>-40606.097739055956</v>
      </c>
      <c r="AD209" s="216">
        <f>IF(AD$139="Actual", 'Budget P&amp;L Input'!V55, AD$204*'2503'!P21)</f>
        <v>-40730.859072188461</v>
      </c>
      <c r="AE209" s="216">
        <f>IF(AE$139="Actual", 'Budget P&amp;L Input'!W55, AE$204*'2503'!Q21)</f>
        <v>-40856.003731745106</v>
      </c>
      <c r="AF209" s="216">
        <f>IF(AF$139="Actual", 'Budget P&amp;L Input'!X55, AF$204*'2503'!R21)</f>
        <v>-40981.532895487835</v>
      </c>
      <c r="AG209" s="216">
        <f>IF(AG$139="Actual", 'Budget P&amp;L Input'!Y55, AG$204*'2503'!S21)</f>
        <v>-41107.447744797195</v>
      </c>
      <c r="AI209" s="77">
        <v>2503</v>
      </c>
    </row>
    <row r="210" spans="1:35" outlineLevel="1">
      <c r="A210" s="50"/>
      <c r="D210" s="162" t="s">
        <v>183</v>
      </c>
      <c r="G210" s="318" t="s">
        <v>179</v>
      </c>
      <c r="J210" s="436" t="s">
        <v>176</v>
      </c>
      <c r="K210" s="187"/>
      <c r="L210" s="303"/>
      <c r="M210" s="304"/>
      <c r="N210" s="216">
        <f>'Budget P&amp;L Input'!G56</f>
        <v>-30354.481159420291</v>
      </c>
      <c r="O210" s="216">
        <f>'Budget P&amp;L Input'!H56</f>
        <v>-31416.887999999999</v>
      </c>
      <c r="P210" s="216">
        <f>'Budget P&amp;L Input'!I56</f>
        <v>-31416.887999999999</v>
      </c>
      <c r="Q210" s="216">
        <f>'Budget P&amp;L Input'!J56</f>
        <v>-31416.887999999999</v>
      </c>
      <c r="R210" s="216">
        <f>'Budget P&amp;L Input'!K56</f>
        <v>-31416.887999999999</v>
      </c>
      <c r="T210" s="216">
        <f>IF(T$139="Actual", 'Budget P&amp;L Input'!L56, T$204*'2503'!F22)</f>
        <v>-31893.047999999999</v>
      </c>
      <c r="U210" s="216">
        <f>IF(U$139="Actual", 'Budget P&amp;L Input'!M56, U$204*'2503'!G22)</f>
        <v>-31893.047999999999</v>
      </c>
      <c r="V210" s="216">
        <f>IF(V$139="Actual", 'Budget P&amp;L Input'!N56, V$204*'2503'!H22)</f>
        <v>-32499.015911999999</v>
      </c>
      <c r="W210" s="216">
        <f>IF(W$139="Actual", 'Budget P&amp;L Input'!O56, W$204*'2503'!I22)</f>
        <v>-33019.000166591999</v>
      </c>
      <c r="X210" s="216">
        <f>IF(X$139="Actual", 'Budget P&amp;L Input'!P56, X$204*'2503'!J22)</f>
        <v>-32488</v>
      </c>
      <c r="Y210" s="216">
        <f>IF(Y$139="Actual", 'Budget P&amp;L Input'!Q56, Y$204*'2503'!K22)</f>
        <v>-32302</v>
      </c>
      <c r="Z210" s="216">
        <f>IF(Z$139="Actual", 'Budget P&amp;L Input'!R56, Z$204*'2503'!L22)</f>
        <v>-32240</v>
      </c>
      <c r="AA210" s="216">
        <f>IF(AA$139="Actual", 'Budget P&amp;L Input'!S56, AA$204*'2503'!M22)</f>
        <v>-32240</v>
      </c>
      <c r="AB210" s="216">
        <f>IF(AB$139="Actual", 'Budget P&amp;L Input'!T56, AB$204*'2503'!N22)</f>
        <v>-32240</v>
      </c>
      <c r="AC210" s="216">
        <f>IF(AC$139="Actual", 'Budget P&amp;L Input'!U56, AC$204*'2503'!O22)</f>
        <v>-32240</v>
      </c>
      <c r="AD210" s="216">
        <f>IF(AD$139="Actual", 'Budget P&amp;L Input'!V56, AD$204*'2503'!P22)</f>
        <v>-32240</v>
      </c>
      <c r="AE210" s="216">
        <f>IF(AE$139="Actual", 'Budget P&amp;L Input'!W56, AE$204*'2503'!Q22)</f>
        <v>-32240</v>
      </c>
      <c r="AF210" s="216">
        <f>IF(AF$139="Actual", 'Budget P&amp;L Input'!X56, AF$204*'2503'!R22)</f>
        <v>-32240</v>
      </c>
      <c r="AG210" s="216">
        <f>IF(AG$139="Actual", 'Budget P&amp;L Input'!Y56, AG$204*'2503'!S22)</f>
        <v>-32240</v>
      </c>
      <c r="AI210" s="77">
        <v>2503</v>
      </c>
    </row>
    <row r="211" spans="1:35" outlineLevel="1">
      <c r="A211" s="50"/>
      <c r="D211" s="162" t="s">
        <v>184</v>
      </c>
      <c r="G211" s="318" t="s">
        <v>179</v>
      </c>
      <c r="J211" s="436" t="s">
        <v>176</v>
      </c>
      <c r="K211" s="187"/>
      <c r="L211" s="303"/>
      <c r="M211" s="304"/>
      <c r="N211" s="216">
        <f>'Budget P&amp;L Input'!G57</f>
        <v>-7099.0318840579721</v>
      </c>
      <c r="O211" s="216">
        <f>'Budget P&amp;L Input'!H57</f>
        <v>-7347.4980000000005</v>
      </c>
      <c r="P211" s="216">
        <f>'Budget P&amp;L Input'!I57</f>
        <v>-7347.4980000000005</v>
      </c>
      <c r="Q211" s="216">
        <f>'Budget P&amp;L Input'!J57</f>
        <v>-7347.4980000000005</v>
      </c>
      <c r="R211" s="216">
        <f>'Budget P&amp;L Input'!K57</f>
        <v>-7347.4980000000005</v>
      </c>
      <c r="T211" s="216">
        <f>IF(T$139="Actual", 'Budget P&amp;L Input'!L57, T$204*'2503'!F23)</f>
        <v>-7458.8580000000002</v>
      </c>
      <c r="U211" s="216">
        <f>IF(U$139="Actual", 'Budget P&amp;L Input'!M57, U$204*'2503'!G23)</f>
        <v>-7458.8580000000002</v>
      </c>
      <c r="V211" s="216">
        <f>IF(V$139="Actual", 'Budget P&amp;L Input'!N57, V$204*'2503'!H23)</f>
        <v>-7600.5763020000004</v>
      </c>
      <c r="W211" s="216">
        <f>IF(W$139="Actual", 'Budget P&amp;L Input'!O57, W$204*'2503'!I23)</f>
        <v>-7722.185522832001</v>
      </c>
      <c r="X211" s="216">
        <f>IF(X$139="Actual", 'Budget P&amp;L Input'!P57, X$204*'2503'!J23)</f>
        <v>-7598.0000000000009</v>
      </c>
      <c r="Y211" s="216">
        <f>IF(Y$139="Actual", 'Budget P&amp;L Input'!Q57, Y$204*'2503'!K23)</f>
        <v>-7554.5000000000009</v>
      </c>
      <c r="Z211" s="216">
        <f>IF(Z$139="Actual", 'Budget P&amp;L Input'!R57, Z$204*'2503'!L23)</f>
        <v>-7540.0000000000009</v>
      </c>
      <c r="AA211" s="216">
        <f>IF(AA$139="Actual", 'Budget P&amp;L Input'!S57, AA$204*'2503'!M23)</f>
        <v>-7540.0000000000009</v>
      </c>
      <c r="AB211" s="216">
        <f>IF(AB$139="Actual", 'Budget P&amp;L Input'!T57, AB$204*'2503'!N23)</f>
        <v>-7540.0000000000009</v>
      </c>
      <c r="AC211" s="216">
        <f>IF(AC$139="Actual", 'Budget P&amp;L Input'!U57, AC$204*'2503'!O23)</f>
        <v>-7540.0000000000009</v>
      </c>
      <c r="AD211" s="216">
        <f>IF(AD$139="Actual", 'Budget P&amp;L Input'!V57, AD$204*'2503'!P23)</f>
        <v>-7540.0000000000009</v>
      </c>
      <c r="AE211" s="216">
        <f>IF(AE$139="Actual", 'Budget P&amp;L Input'!W57, AE$204*'2503'!Q23)</f>
        <v>-7540.0000000000009</v>
      </c>
      <c r="AF211" s="216">
        <f>IF(AF$139="Actual", 'Budget P&amp;L Input'!X57, AF$204*'2503'!R23)</f>
        <v>-7540.0000000000009</v>
      </c>
      <c r="AG211" s="216">
        <f>IF(AG$139="Actual", 'Budget P&amp;L Input'!Y57, AG$204*'2503'!S23)</f>
        <v>-7540.0000000000009</v>
      </c>
      <c r="AI211" s="77">
        <v>2503</v>
      </c>
    </row>
    <row r="212" spans="1:35" outlineLevel="1">
      <c r="A212" s="50"/>
      <c r="D212" s="162" t="s">
        <v>185</v>
      </c>
      <c r="G212" s="318" t="s">
        <v>179</v>
      </c>
      <c r="J212" s="436" t="s">
        <v>176</v>
      </c>
      <c r="K212" s="187"/>
      <c r="L212" s="303"/>
      <c r="M212" s="304"/>
      <c r="N212" s="216">
        <f>'Budget P&amp;L Input'!G58</f>
        <v>-5972.9785507246388</v>
      </c>
      <c r="O212" s="216">
        <f>'Budget P&amp;L Input'!H58</f>
        <v>-6182.0328</v>
      </c>
      <c r="P212" s="216">
        <f>'Budget P&amp;L Input'!I58</f>
        <v>-4459.1712000000007</v>
      </c>
      <c r="Q212" s="216">
        <f>'Budget P&amp;L Input'!J58</f>
        <v>-5877.9983999999995</v>
      </c>
      <c r="R212" s="216">
        <f>'Budget P&amp;L Input'!K58</f>
        <v>-5877.9983999999995</v>
      </c>
      <c r="T212" s="216">
        <f>IF(T$139="Actual", 'Budget P&amp;L Input'!L58, T$204*'2503'!F24)</f>
        <v>-6532.9308000000001</v>
      </c>
      <c r="U212" s="216">
        <f>IF(U$139="Actual", 'Budget P&amp;L Input'!M58, U$204*'2503'!G24)</f>
        <v>-5452.6823999999997</v>
      </c>
      <c r="V212" s="216">
        <f>IF(V$139="Actual", 'Budget P&amp;L Input'!N58, V$204*'2503'!H24)</f>
        <v>-6499.8031823999991</v>
      </c>
      <c r="W212" s="216">
        <f>IF(W$139="Actual", 'Budget P&amp;L Input'!O58, W$204*'2503'!I24)</f>
        <v>-6603.8000333183991</v>
      </c>
      <c r="X212" s="216">
        <f>IF(X$139="Actual", 'Budget P&amp;L Input'!P58, X$204*'2503'!J24)</f>
        <v>-6497.5999999999995</v>
      </c>
      <c r="Y212" s="216">
        <f>IF(Y$139="Actual", 'Budget P&amp;L Input'!Q58, Y$204*'2503'!K24)</f>
        <v>-6469.9979794978462</v>
      </c>
      <c r="Z212" s="216">
        <f>IF(Z$139="Actual", 'Budget P&amp;L Input'!R58, Z$204*'2503'!L24)</f>
        <v>-6467.173346541781</v>
      </c>
      <c r="AA212" s="216">
        <f>IF(AA$139="Actual", 'Budget P&amp;L Input'!S58, AA$204*'2503'!M24)</f>
        <v>-6476.7813889523331</v>
      </c>
      <c r="AB212" s="216">
        <f>IF(AB$139="Actual", 'Budget P&amp;L Input'!T58, AB$204*'2503'!N24)</f>
        <v>-6486.4037056793459</v>
      </c>
      <c r="AC212" s="216">
        <f>IF(AC$139="Actual", 'Budget P&amp;L Input'!U58, AC$204*'2503'!O24)</f>
        <v>-6496.04031792965</v>
      </c>
      <c r="AD212" s="216">
        <f>IF(AD$139="Actual", 'Budget P&amp;L Input'!V58, AD$204*'2503'!P24)</f>
        <v>-6505.6912469415802</v>
      </c>
      <c r="AE212" s="216">
        <f>IF(AE$139="Actual", 'Budget P&amp;L Input'!W58, AE$204*'2503'!Q24)</f>
        <v>-6515.3565139850234</v>
      </c>
      <c r="AF212" s="216">
        <f>IF(AF$139="Actual", 'Budget P&amp;L Input'!X58, AF$204*'2503'!R24)</f>
        <v>-6525.0361403614688</v>
      </c>
      <c r="AG212" s="216">
        <f>IF(AG$139="Actual", 'Budget P&amp;L Input'!Y58, AG$204*'2503'!S24)</f>
        <v>-6534.7301474040505</v>
      </c>
      <c r="AI212" s="77">
        <v>2503</v>
      </c>
    </row>
    <row r="213" spans="1:35" outlineLevel="1">
      <c r="A213" s="50"/>
      <c r="D213" s="162" t="s">
        <v>186</v>
      </c>
      <c r="G213" s="318" t="s">
        <v>179</v>
      </c>
      <c r="J213" s="436" t="s">
        <v>176</v>
      </c>
      <c r="K213" s="187"/>
      <c r="L213" s="303"/>
      <c r="M213" s="304"/>
      <c r="N213" s="216">
        <f>'Budget P&amp;L Input'!G59</f>
        <v>-4455.2544927536237</v>
      </c>
      <c r="O213" s="216">
        <f>'Budget P&amp;L Input'!H59</f>
        <v>-4611.1884</v>
      </c>
      <c r="P213" s="216">
        <f>'Budget P&amp;L Input'!I59</f>
        <v>-1570.8444</v>
      </c>
      <c r="Q213" s="216">
        <f>'Budget P&amp;L Input'!J59</f>
        <v>-1266.81</v>
      </c>
      <c r="R213" s="216">
        <f>'Budget P&amp;L Input'!K59</f>
        <v>-1266.81</v>
      </c>
      <c r="T213" s="216">
        <f>IF(T$139="Actual", 'Budget P&amp;L Input'!L59, T$204*'2503'!F25)</f>
        <v>-771.60599999999999</v>
      </c>
      <c r="U213" s="216">
        <f>IF(U$139="Actual", 'Budget P&amp;L Input'!M59, U$204*'2503'!G25)</f>
        <v>-462.96359999999999</v>
      </c>
      <c r="V213" s="216">
        <f>IF(V$139="Actual", 'Budget P&amp;L Input'!N59, V$204*'2503'!H25)</f>
        <v>-104.8355352</v>
      </c>
      <c r="W213" s="216">
        <f>IF(W$139="Actual", 'Budget P&amp;L Input'!O59, W$204*'2503'!I25)</f>
        <v>-106.5129037632</v>
      </c>
      <c r="X213" s="216">
        <f>IF(X$139="Actual", 'Budget P&amp;L Input'!P59, X$204*'2503'!J25)</f>
        <v>-104.80000000000001</v>
      </c>
      <c r="Y213" s="216">
        <f>IF(Y$139="Actual", 'Budget P&amp;L Input'!Q59, Y$204*'2503'!K25)</f>
        <v>-63.291851851851852</v>
      </c>
      <c r="Z213" s="216">
        <f>IF(Z$139="Actual", 'Budget P&amp;L Input'!R59, Z$204*'2503'!L25)</f>
        <v>-38.37015089163237</v>
      </c>
      <c r="AA213" s="216">
        <f>IF(AA$139="Actual", 'Budget P&amp;L Input'!S59, AA$204*'2503'!M25)</f>
        <v>-23.306313874917439</v>
      </c>
      <c r="AB213" s="216">
        <f>IF(AB$139="Actual", 'Budget P&amp;L Input'!T59, AB$204*'2503'!N25)</f>
        <v>-14.156427686986889</v>
      </c>
      <c r="AC213" s="216">
        <f>IF(AC$139="Actual", 'Budget P&amp;L Input'!U59, AC$204*'2503'!O25)</f>
        <v>-8.5987190395031483</v>
      </c>
      <c r="AD213" s="216">
        <f>IF(AD$139="Actual", 'Budget P&amp;L Input'!V59, AD$204*'2503'!P25)</f>
        <v>-5.2229256388093201</v>
      </c>
      <c r="AE213" s="216">
        <f>IF(AE$139="Actual", 'Budget P&amp;L Input'!W59, AE$204*'2503'!Q25)</f>
        <v>-3.1724437213508465</v>
      </c>
      <c r="AF213" s="216">
        <f>IF(AF$139="Actual", 'Budget P&amp;L Input'!X59, AF$204*'2503'!R25)</f>
        <v>-1.9269658159316252</v>
      </c>
      <c r="AG213" s="216">
        <f>IF(AG$139="Actual", 'Budget P&amp;L Input'!Y59, AG$204*'2503'!S25)</f>
        <v>-1.1704533104177279</v>
      </c>
      <c r="AI213" s="77">
        <v>2503</v>
      </c>
    </row>
    <row r="214" spans="1:35" outlineLevel="1">
      <c r="A214" s="50"/>
      <c r="D214" s="162" t="s">
        <v>187</v>
      </c>
      <c r="G214" s="318" t="s">
        <v>179</v>
      </c>
      <c r="J214" s="436" t="s">
        <v>176</v>
      </c>
      <c r="K214" s="187"/>
      <c r="L214" s="303"/>
      <c r="M214" s="304"/>
      <c r="N214" s="216">
        <f>'Budget P&amp;L Input'!G60</f>
        <v>0</v>
      </c>
      <c r="O214" s="216">
        <f>'Budget P&amp;L Input'!H60</f>
        <v>0</v>
      </c>
      <c r="P214" s="216">
        <f>'Budget P&amp;L Input'!I60</f>
        <v>-50.672400000000003</v>
      </c>
      <c r="Q214" s="216">
        <f>'Budget P&amp;L Input'!J60</f>
        <v>0</v>
      </c>
      <c r="R214" s="216">
        <f>'Budget P&amp;L Input'!K60</f>
        <v>0</v>
      </c>
      <c r="T214" s="216">
        <f>IF(T$139="Actual", 'Budget P&amp;L Input'!L60, T$204*'2503'!F26)</f>
        <v>0</v>
      </c>
      <c r="U214" s="216">
        <f>IF(U$139="Actual", 'Budget P&amp;L Input'!M60, U$204*'2503'!G26)</f>
        <v>-10.288080000000001</v>
      </c>
      <c r="V214" s="216">
        <f>IF(V$139="Actual", 'Budget P&amp;L Input'!N60, V$204*'2503'!H26)</f>
        <v>-52.417767599999998</v>
      </c>
      <c r="W214" s="216">
        <f>IF(W$139="Actual", 'Budget P&amp;L Input'!O60, W$204*'2503'!I26)</f>
        <v>-53.2564518816</v>
      </c>
      <c r="X214" s="216">
        <f>IF(X$139="Actual", 'Budget P&amp;L Input'!P60, X$204*'2503'!J26)</f>
        <v>-52.400000000000006</v>
      </c>
      <c r="Y214" s="216">
        <f>IF(Y$139="Actual", 'Budget P&amp;L Input'!Q60, Y$204*'2503'!K26)</f>
        <v>-10.420000000000002</v>
      </c>
      <c r="Z214" s="216">
        <f>IF(Z$139="Actual", 'Budget P&amp;L Input'!R60, Z$204*'2503'!L26)</f>
        <v>-10.4</v>
      </c>
      <c r="AA214" s="216">
        <f>IF(AA$139="Actual", 'Budget P&amp;L Input'!S60, AA$204*'2503'!M26)</f>
        <v>-10.4</v>
      </c>
      <c r="AB214" s="216">
        <f>IF(AB$139="Actual", 'Budget P&amp;L Input'!T60, AB$204*'2503'!N26)</f>
        <v>-10.4</v>
      </c>
      <c r="AC214" s="216">
        <f>IF(AC$139="Actual", 'Budget P&amp;L Input'!U60, AC$204*'2503'!O26)</f>
        <v>-10.4</v>
      </c>
      <c r="AD214" s="216">
        <f>IF(AD$139="Actual", 'Budget P&amp;L Input'!V60, AD$204*'2503'!P26)</f>
        <v>-10.4</v>
      </c>
      <c r="AE214" s="216">
        <f>IF(AE$139="Actual", 'Budget P&amp;L Input'!W60, AE$204*'2503'!Q26)</f>
        <v>-10.4</v>
      </c>
      <c r="AF214" s="216">
        <f>IF(AF$139="Actual", 'Budget P&amp;L Input'!X60, AF$204*'2503'!R26)</f>
        <v>-10.4</v>
      </c>
      <c r="AG214" s="216">
        <f>IF(AG$139="Actual", 'Budget P&amp;L Input'!Y60, AG$204*'2503'!S26)</f>
        <v>-10.4</v>
      </c>
      <c r="AI214" s="77">
        <v>2503</v>
      </c>
    </row>
    <row r="215" spans="1:35" s="57" customFormat="1">
      <c r="C215" s="77" t="s">
        <v>188</v>
      </c>
      <c r="G215" s="318" t="s">
        <v>179</v>
      </c>
      <c r="H215" s="51"/>
      <c r="I215" s="56"/>
      <c r="J215" s="626"/>
      <c r="K215" s="310"/>
      <c r="L215" s="309"/>
      <c r="M215" s="309"/>
      <c r="N215" s="333">
        <f>SUM(N206:N214)</f>
        <v>-194660.35014492754</v>
      </c>
      <c r="O215" s="333">
        <f>SUM(O206:O214)</f>
        <v>-201473.46239999999</v>
      </c>
      <c r="P215" s="333">
        <f>SUM(P206:P214)</f>
        <v>-210493.1496</v>
      </c>
      <c r="Q215" s="333">
        <f t="shared" ref="Q215" si="78">SUM(Q206:Q214)</f>
        <v>-212773.40760000001</v>
      </c>
      <c r="R215" s="333">
        <f>SUM(R206:R214)</f>
        <v>-215307.0276</v>
      </c>
      <c r="S215" s="147"/>
      <c r="T215" s="333">
        <f>SUM(T206:T214)</f>
        <v>-254835.74160000004</v>
      </c>
      <c r="U215" s="333">
        <f>SUM(U206:U214)</f>
        <v>-285401.62728000002</v>
      </c>
      <c r="V215" s="333">
        <f>SUM(V206:V214)</f>
        <v>-309684.17098079994</v>
      </c>
      <c r="W215" s="333">
        <f>SUM(W206:W214)</f>
        <v>-319964.7629046528</v>
      </c>
      <c r="X215" s="333">
        <f t="shared" ref="X215:AE215" si="79">SUM(X206:X214)</f>
        <v>-330539.2</v>
      </c>
      <c r="Y215" s="333">
        <f t="shared" si="79"/>
        <v>-337958.71189214155</v>
      </c>
      <c r="Z215" s="333">
        <f t="shared" si="79"/>
        <v>-347175.5978289264</v>
      </c>
      <c r="AA215" s="333">
        <f t="shared" si="79"/>
        <v>-357599.30025919428</v>
      </c>
      <c r="AB215" s="333">
        <f t="shared" si="79"/>
        <v>-368614.36764243268</v>
      </c>
      <c r="AC215" s="333">
        <f t="shared" si="79"/>
        <v>-380258.2450098471</v>
      </c>
      <c r="AD215" s="333">
        <f t="shared" si="79"/>
        <v>-392572.22181345773</v>
      </c>
      <c r="AE215" s="333">
        <f t="shared" si="79"/>
        <v>-405601.30086276843</v>
      </c>
      <c r="AF215" s="333">
        <f t="shared" ref="AF215:AG215" si="80">SUM(AF206:AF214)</f>
        <v>-419394.22572762077</v>
      </c>
      <c r="AG215" s="333">
        <f t="shared" si="80"/>
        <v>-434003.61289421358</v>
      </c>
      <c r="AH215" s="77"/>
      <c r="AI215" s="77"/>
    </row>
    <row r="216" spans="1:35" s="52" customFormat="1">
      <c r="C216" s="321"/>
      <c r="F216" s="76" t="s">
        <v>118</v>
      </c>
      <c r="G216" s="322"/>
      <c r="J216" s="436"/>
      <c r="K216" s="286"/>
      <c r="L216" s="323"/>
      <c r="M216" s="323"/>
      <c r="N216" s="324">
        <f>N187+N217+N202+'Budget P&amp;L Input'!G18</f>
        <v>0</v>
      </c>
      <c r="O216" s="324">
        <f>O187+O217+O202+'Budget P&amp;L Input'!H18</f>
        <v>0</v>
      </c>
      <c r="P216" s="324">
        <f>P187+P217+P202+'Budget P&amp;L Input'!I18</f>
        <v>0</v>
      </c>
      <c r="Q216" s="324">
        <f>Q187+Q217+Q202+'Budget P&amp;L Input'!J18</f>
        <v>0</v>
      </c>
      <c r="R216" s="324">
        <f>R187+R217+R202+'Budget P&amp;L Input'!K18</f>
        <v>0</v>
      </c>
      <c r="S216" s="292"/>
      <c r="T216" s="106">
        <f>IF(T$139="Actual",T187+T217+T202+'Budget P&amp;L Input'!L18, 0)</f>
        <v>0</v>
      </c>
      <c r="U216" s="106">
        <f>IF(U$139="Actual",U187+U217+U202+'Budget P&amp;L Input'!M18, 0)</f>
        <v>0</v>
      </c>
      <c r="V216" s="106">
        <f>IF(V$139="Actual",V187+V217+V202+'Budget P&amp;L Input'!N18, 0)</f>
        <v>0</v>
      </c>
      <c r="W216" s="106">
        <f>IF(W$139="Actual",W187+W217+W202+'Budget P&amp;L Input'!O18, 0)</f>
        <v>0</v>
      </c>
      <c r="X216" s="106">
        <f>IF(X$139="Actual",X187+X217+X202+'Budget P&amp;L Input'!P18, 0)</f>
        <v>0</v>
      </c>
      <c r="Y216" s="106">
        <f>IF(Y$139="Actual",Y187+Y217+Y202+'Budget P&amp;L Input'!Q18, 0)</f>
        <v>0</v>
      </c>
      <c r="Z216" s="106">
        <f>IF(Z$139="Actual",Z187+Z217+Z202+'Budget P&amp;L Input'!R18, 0)</f>
        <v>0</v>
      </c>
      <c r="AA216" s="106">
        <f>IF(AA$139="Actual",AA187+AA217+AA202+'Budget P&amp;L Input'!S18, 0)</f>
        <v>0</v>
      </c>
      <c r="AB216" s="106">
        <f>IF(AB$139="Actual",AB187+AB217+AB202+'Budget P&amp;L Input'!T18, 0)</f>
        <v>0</v>
      </c>
      <c r="AC216" s="106">
        <f>IF(AC$139="Actual",AC187+AC217+AC202+'Budget P&amp;L Input'!U18, 0)</f>
        <v>0</v>
      </c>
      <c r="AD216" s="106">
        <f>IF(AD$139="Actual",AD187+AD217+AD202+'Budget P&amp;L Input'!V18, 0)</f>
        <v>0</v>
      </c>
      <c r="AE216" s="106">
        <f>IF(AE$139="Actual",AE187+AE217+AE202+'Budget P&amp;L Input'!W18, 0)</f>
        <v>0</v>
      </c>
      <c r="AF216" s="106">
        <f>IF(AF$139="Actual",AF187+AF217+AF202+'Budget P&amp;L Input'!X18, 0)</f>
        <v>0</v>
      </c>
      <c r="AG216" s="106">
        <f>IF(AG$139="Actual",AG187+AG217+AG202+'Budget P&amp;L Input'!Y18, 0)</f>
        <v>0</v>
      </c>
      <c r="AH216" s="77"/>
      <c r="AI216" s="77"/>
    </row>
    <row r="217" spans="1:35" s="57" customFormat="1">
      <c r="B217" s="77" t="s">
        <v>510</v>
      </c>
      <c r="G217" s="56"/>
      <c r="H217" s="51"/>
      <c r="I217" s="56"/>
      <c r="J217" s="626"/>
      <c r="K217" s="431"/>
      <c r="L217" s="432"/>
      <c r="M217" s="309"/>
      <c r="N217" s="433">
        <f>N204+N215</f>
        <v>-684248.75594202906</v>
      </c>
      <c r="O217" s="433">
        <f>O204+O215</f>
        <v>-708197.46239999996</v>
      </c>
      <c r="P217" s="433">
        <f t="shared" ref="P217:AD217" si="81">P204+P215</f>
        <v>-717217.1496</v>
      </c>
      <c r="Q217" s="433">
        <f t="shared" si="81"/>
        <v>-719497.40760000004</v>
      </c>
      <c r="R217" s="433">
        <f t="shared" si="81"/>
        <v>-722031.02760000003</v>
      </c>
      <c r="S217" s="147"/>
      <c r="T217" s="433">
        <f>T204+T215</f>
        <v>-769239.74160000007</v>
      </c>
      <c r="U217" s="433">
        <f>U204+U215</f>
        <v>-799805.62728000002</v>
      </c>
      <c r="V217" s="433">
        <f>V204+V215</f>
        <v>-833861.84698079992</v>
      </c>
      <c r="W217" s="433">
        <f>W204+W215</f>
        <v>-852529.28172065271</v>
      </c>
      <c r="X217" s="433">
        <f>X204+X215</f>
        <v>-854539.2</v>
      </c>
      <c r="Y217" s="433">
        <f t="shared" si="81"/>
        <v>-858958.71189214149</v>
      </c>
      <c r="Z217" s="433">
        <f t="shared" si="81"/>
        <v>-867175.5978289264</v>
      </c>
      <c r="AA217" s="433">
        <f t="shared" si="81"/>
        <v>-877599.30025919434</v>
      </c>
      <c r="AB217" s="433">
        <f t="shared" si="81"/>
        <v>-888614.36764243268</v>
      </c>
      <c r="AC217" s="433">
        <f t="shared" si="81"/>
        <v>-900258.2450098471</v>
      </c>
      <c r="AD217" s="433">
        <f t="shared" si="81"/>
        <v>-912572.22181345779</v>
      </c>
      <c r="AE217" s="433">
        <f>AE204+AE215</f>
        <v>-925601.30086276843</v>
      </c>
      <c r="AF217" s="433">
        <f t="shared" ref="AF217:AG217" si="82">AF204+AF215</f>
        <v>-939394.22572762077</v>
      </c>
      <c r="AG217" s="433">
        <f t="shared" si="82"/>
        <v>-954003.61289421353</v>
      </c>
      <c r="AH217" s="77"/>
      <c r="AI217" s="77"/>
    </row>
    <row r="218" spans="1:35" outlineLevel="1">
      <c r="A218" s="50"/>
      <c r="B218" s="162" t="s">
        <v>191</v>
      </c>
      <c r="J218" s="436" t="s">
        <v>153</v>
      </c>
      <c r="K218" s="187"/>
      <c r="L218" s="497">
        <v>1.02</v>
      </c>
      <c r="M218" s="304"/>
      <c r="N218" s="216">
        <f>-'Budget P&amp;L Input'!G65</f>
        <v>-1497982</v>
      </c>
      <c r="O218" s="216">
        <f>-'Budget P&amp;L Input'!H65</f>
        <v>-950686</v>
      </c>
      <c r="P218" s="216">
        <f>-'Budget P&amp;L Input'!I65</f>
        <v>-2041893</v>
      </c>
      <c r="Q218" s="216">
        <f>-'Budget P&amp;L Input'!J65</f>
        <v>-2141694</v>
      </c>
      <c r="R218" s="216">
        <f>-'Budget P&amp;L Input'!K65</f>
        <v>-2057824</v>
      </c>
      <c r="T218" s="242">
        <f>IF(T$139="Actual",-'Budget P&amp;L Input'!L65,R218*$L$218)</f>
        <v>-1041866.2</v>
      </c>
      <c r="U218" s="242">
        <f>IF(U$139="Actual",-'Budget P&amp;L Input'!M65,T218*$L$218)</f>
        <v>-1074945.08</v>
      </c>
      <c r="V218" s="242">
        <f>IF(V$139="Actual",-'Budget P&amp;L Input'!N65,U218*$L$218)</f>
        <v>-1510657</v>
      </c>
      <c r="W218" s="242">
        <f>IF(W$139="Actual",-'Budget P&amp;L Input'!O65,V218*$L$218)</f>
        <v>-1617949</v>
      </c>
      <c r="X218" s="242">
        <f>IF(X$139="Actual",-'Budget P&amp;L Input'!P65,W218*$L$218)</f>
        <v>-1650307.98</v>
      </c>
      <c r="Y218" s="242">
        <f>IF(Y$139="Actual",-'Budget P&amp;L Input'!Q65,X218*$L$218)</f>
        <v>-1683314.1396000001</v>
      </c>
      <c r="Z218" s="242">
        <f>IF(Z$139="Actual",-'Budget P&amp;L Input'!R65,Y218*$L$218)</f>
        <v>-1716980.4223920002</v>
      </c>
      <c r="AA218" s="242">
        <f>IF(AA$139="Actual",-'Budget P&amp;L Input'!S65,Z218*$L$218)</f>
        <v>-1751320.0308398402</v>
      </c>
      <c r="AB218" s="242">
        <f>IF(AB$139="Actual",-'Budget P&amp;L Input'!T65,AA218*$L$218)</f>
        <v>-1786346.4314566371</v>
      </c>
      <c r="AC218" s="242">
        <f>IF(AC$139="Actual",-'Budget P&amp;L Input'!U65,AB218*$L$218)</f>
        <v>-1822073.3600857698</v>
      </c>
      <c r="AD218" s="242">
        <f>IF(AD$139="Actual",-'Budget P&amp;L Input'!V65,AC218*$L$218)</f>
        <v>-1858514.8272874851</v>
      </c>
      <c r="AE218" s="242">
        <f>IF(AE$139="Actual",-'Budget P&amp;L Input'!W65,AD218*$L$218)</f>
        <v>-1895685.1238332349</v>
      </c>
      <c r="AF218" s="242">
        <f>IF(AF$139="Actual",-'Budget P&amp;L Input'!X65,AE218*$L$218)</f>
        <v>-1933598.8263098996</v>
      </c>
      <c r="AG218" s="242">
        <f>IF(AG$139="Actual",-'Budget P&amp;L Input'!Y65,AF218*$L$218)</f>
        <v>-1972270.8028360975</v>
      </c>
      <c r="AI218" s="77" t="s">
        <v>192</v>
      </c>
    </row>
    <row r="219" spans="1:35" outlineLevel="1">
      <c r="A219" s="50"/>
      <c r="B219" s="162" t="s">
        <v>193</v>
      </c>
      <c r="J219" s="436" t="s">
        <v>153</v>
      </c>
      <c r="K219" s="187"/>
      <c r="L219" s="303"/>
      <c r="M219" s="304"/>
      <c r="N219" s="216">
        <f>-'Budget P&amp;L Input'!G66</f>
        <v>-7069467</v>
      </c>
      <c r="O219" s="216">
        <f>-'Budget P&amp;L Input'!H66</f>
        <v>-7360786</v>
      </c>
      <c r="P219" s="216">
        <f>-'Budget P&amp;L Input'!I66</f>
        <v>-8397438</v>
      </c>
      <c r="Q219" s="216">
        <f>-'Budget P&amp;L Input'!J66</f>
        <v>-8107190</v>
      </c>
      <c r="R219" s="216">
        <f>-'Budget P&amp;L Input'!K66</f>
        <v>-6627309</v>
      </c>
      <c r="T219" s="242">
        <f>IF(T$139="Actual", -'Budget P&amp;L Input'!L66, ROUND(AVERAGE(P219:R219),-3))</f>
        <v>-6378046.6399999997</v>
      </c>
      <c r="U219" s="242">
        <f>IF(U$139="Actual", -'Budget P&amp;L Input'!M66, ROUND(AVERAGE(Q219:R219,T219),-3))</f>
        <v>-4698334.21</v>
      </c>
      <c r="V219" s="242">
        <f>IF(V$139="Actual", -'Budget P&amp;L Input'!N66, ROUND(AVERAGE(R219,T219,U219),-3))</f>
        <v>-6185850</v>
      </c>
      <c r="W219" s="242">
        <f>IF(W$139="Actual", -'Budget P&amp;L Input'!O66, ROUND(AVERAGE(T219,U219,V219),-3))</f>
        <v>-5498625</v>
      </c>
      <c r="X219" s="242">
        <f>IF(X$139="Actual", -'Budget P&amp;L Input'!P66, ROUND(AVERAGE(U219,V219,W219),-3))</f>
        <v>-5461000</v>
      </c>
      <c r="Y219" s="242">
        <f>IF(Y$139="Actual", -'Budget P&amp;L Input'!Q66, ROUND(AVERAGE(V219,W219,X219),-3))</f>
        <v>-5715000</v>
      </c>
      <c r="Z219" s="242">
        <f>IF(Z$139="Actual", -'Budget P&amp;L Input'!R66, ROUND(AVERAGE(W219:Y219),-3))</f>
        <v>-5558000</v>
      </c>
      <c r="AA219" s="242">
        <f>IF(AA$139="Actual", -'Budget P&amp;L Input'!S66, ROUND(AVERAGE(X219:Z219),-3))</f>
        <v>-5578000</v>
      </c>
      <c r="AB219" s="242">
        <f>IF(AB$139="Actual", -'Budget P&amp;L Input'!T66, ROUND(AVERAGE(Y219:AA219),-3))</f>
        <v>-5617000</v>
      </c>
      <c r="AC219" s="242">
        <f>IF(AC$139="Actual", -'Budget P&amp;L Input'!U66, ROUND(AVERAGE(Z219:AB219),-3))</f>
        <v>-5584000</v>
      </c>
      <c r="AD219" s="242">
        <f>IF(AD$139="Actual", -'Budget P&amp;L Input'!V66, ROUND(AVERAGE(AA219:AC219),-3))</f>
        <v>-5593000</v>
      </c>
      <c r="AE219" s="242">
        <f>IF(AE$139="Actual", -'Budget P&amp;L Input'!W66, ROUND(AVERAGE(AB219:AD219),-3))</f>
        <v>-5598000</v>
      </c>
      <c r="AF219" s="242">
        <f>IF(AF$139="Actual", -'Budget P&amp;L Input'!X66, ROUND(AVERAGE(AC219:AE219),-3))</f>
        <v>-5592000</v>
      </c>
      <c r="AG219" s="242">
        <f>IF(AG$139="Actual", -'Budget P&amp;L Input'!Y66, ROUND(AVERAGE(AD219:AF219),-3))</f>
        <v>-5594000</v>
      </c>
      <c r="AI219" s="77" t="s">
        <v>83</v>
      </c>
    </row>
    <row r="220" spans="1:35">
      <c r="A220" s="50"/>
      <c r="B220" s="77" t="s">
        <v>194</v>
      </c>
      <c r="C220" s="57"/>
      <c r="D220" s="57"/>
      <c r="E220" s="57"/>
      <c r="F220" s="57"/>
      <c r="J220" s="622"/>
      <c r="K220" s="311"/>
      <c r="L220" s="304"/>
      <c r="M220" s="304"/>
      <c r="N220" s="179"/>
      <c r="O220" s="179"/>
      <c r="P220" s="179"/>
      <c r="Q220" s="179"/>
      <c r="R220" s="179"/>
      <c r="T220" s="17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</row>
    <row r="221" spans="1:35" outlineLevel="1">
      <c r="A221" s="50"/>
      <c r="C221" s="162" t="s">
        <v>520</v>
      </c>
      <c r="I221" s="5" t="s">
        <v>195</v>
      </c>
      <c r="J221" s="628">
        <v>4002</v>
      </c>
      <c r="K221" s="187"/>
      <c r="L221" s="303"/>
      <c r="M221" s="304"/>
      <c r="N221" s="217"/>
      <c r="O221" s="217"/>
      <c r="P221" s="217"/>
      <c r="Q221" s="217"/>
      <c r="R221" s="217"/>
      <c r="T221" s="217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</row>
    <row r="222" spans="1:35">
      <c r="A222" s="50"/>
      <c r="C222" s="77" t="s">
        <v>196</v>
      </c>
      <c r="I222" s="5" t="s">
        <v>197</v>
      </c>
      <c r="J222" s="622"/>
      <c r="K222" s="311"/>
      <c r="L222" s="304"/>
      <c r="M222" s="304"/>
      <c r="N222" s="102"/>
      <c r="O222" s="102"/>
      <c r="P222" s="102"/>
      <c r="Q222" s="102"/>
      <c r="R222" s="102"/>
      <c r="S222" s="188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  <c r="AD222" s="102"/>
      <c r="AE222" s="102"/>
      <c r="AF222" s="102"/>
      <c r="AG222" s="102"/>
    </row>
    <row r="223" spans="1:35" outlineLevel="1">
      <c r="A223" s="50"/>
      <c r="B223" s="162"/>
      <c r="J223" s="629"/>
      <c r="K223" s="311"/>
      <c r="L223" s="304"/>
      <c r="M223" s="304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</row>
    <row r="224" spans="1:35" outlineLevel="1">
      <c r="A224" s="50"/>
      <c r="B224" s="162" t="s">
        <v>198</v>
      </c>
      <c r="J224" s="436" t="s">
        <v>153</v>
      </c>
      <c r="K224" s="187"/>
      <c r="L224" s="303"/>
      <c r="M224" s="304"/>
      <c r="N224" s="216">
        <f>-'Budget P&amp;L Input'!G67</f>
        <v>-13661085</v>
      </c>
      <c r="O224" s="216">
        <f>-'Budget P&amp;L Input'!H67</f>
        <v>-10204531</v>
      </c>
      <c r="P224" s="216">
        <f>-'Budget P&amp;L Input'!I67</f>
        <v>-9663202</v>
      </c>
      <c r="Q224" s="216">
        <f>-'Budget P&amp;L Input'!J67</f>
        <v>-9406314</v>
      </c>
      <c r="R224" s="216">
        <f>-'Budget P&amp;L Input'!K67</f>
        <v>-8941354</v>
      </c>
      <c r="S224" s="188"/>
      <c r="T224" s="242">
        <f>IF(T$139="Actual", -'Budget P&amp;L Input'!L67, ROUND(AVERAGE($P224:$R224), -3))</f>
        <v>-10112055.99</v>
      </c>
      <c r="U224" s="242">
        <f>IF(U$139="Actual", -'Budget P&amp;L Input'!M67, ROUND(AVERAGE($Q224,R224,$T224), -3))</f>
        <v>-10592037.779999999</v>
      </c>
      <c r="V224" s="242">
        <f>IF(V$139="Actual", -'Budget P&amp;L Input'!N67, ROUND(AVERAGE($R224,T224,$U224), -3))</f>
        <v>-8282375</v>
      </c>
      <c r="W224" s="242">
        <f>IF(W$139="Actual", -'Budget P&amp;L Input'!O67, ROUND(AVERAGE($T224,V224,$U224), -3))</f>
        <v>-8792199</v>
      </c>
      <c r="X224" s="242">
        <f>IF(X$139="Actual", -'Budget P&amp;L Input'!P67, ROUND(AVERAGE($U224,W224,$V224), -3))</f>
        <v>-9222000</v>
      </c>
      <c r="Y224" s="242">
        <f>IF(Y$139="Actual", -'Budget P&amp;L Input'!Q67, ROUND(AVERAGE($V224,X224,$W224), -3))</f>
        <v>-8766000</v>
      </c>
      <c r="Z224" s="242">
        <f>IF(Z$139="Actual", -'Budget P&amp;L Input'!R67, ROUND(AVERAGE(W224:Y224), -3))</f>
        <v>-8927000</v>
      </c>
      <c r="AA224" s="242">
        <f>IF(AA$139="Actual", -'Budget P&amp;L Input'!S67, ROUND(AVERAGE(X224:Z224), -3))</f>
        <v>-8972000</v>
      </c>
      <c r="AB224" s="242">
        <f>IF(AB$139="Actual", -'Budget P&amp;L Input'!T67, ROUND(AVERAGE(Y224:AA224), -3))</f>
        <v>-8888000</v>
      </c>
      <c r="AC224" s="242">
        <f>IF(AC$139="Actual", -'Budget P&amp;L Input'!U67, ROUND(AVERAGE(Z224:AB224), -3))</f>
        <v>-8929000</v>
      </c>
      <c r="AD224" s="242">
        <f>IF(AD$139="Actual", -'Budget P&amp;L Input'!V67, ROUND(AVERAGE(AA224:AC224), -3))</f>
        <v>-8930000</v>
      </c>
      <c r="AE224" s="242">
        <f>IF(AE$139="Actual", -'Budget P&amp;L Input'!W67, ROUND(AVERAGE(AB224:AD224), -3))</f>
        <v>-8916000</v>
      </c>
      <c r="AF224" s="242">
        <f>IF(AF$139="Actual", -'Budget P&amp;L Input'!X67, ROUND(AVERAGE(AC224:AE224), -3))</f>
        <v>-8925000</v>
      </c>
      <c r="AG224" s="242">
        <f>IF(AG$139="Actual", -'Budget P&amp;L Input'!Y67, ROUND(AVERAGE(AD224:AF224), -3))</f>
        <v>-8924000</v>
      </c>
      <c r="AI224" s="77" t="s">
        <v>83</v>
      </c>
    </row>
    <row r="225" spans="1:35" outlineLevel="1">
      <c r="A225" s="50"/>
      <c r="B225" s="162" t="s">
        <v>199</v>
      </c>
      <c r="J225" s="436" t="s">
        <v>153</v>
      </c>
      <c r="K225" s="187"/>
      <c r="L225" s="303"/>
      <c r="M225" s="304"/>
      <c r="N225" s="216">
        <f>-'Budget P&amp;L Input'!G68</f>
        <v>-413963</v>
      </c>
      <c r="O225" s="216">
        <f>-'Budget P&amp;L Input'!H68</f>
        <v>-508197</v>
      </c>
      <c r="P225" s="216">
        <f>-'Budget P&amp;L Input'!I68</f>
        <v>-513119</v>
      </c>
      <c r="Q225" s="216">
        <f>-'Budget P&amp;L Input'!J68</f>
        <v>-605975</v>
      </c>
      <c r="R225" s="216">
        <f>-'Budget P&amp;L Input'!K68</f>
        <v>-590000</v>
      </c>
      <c r="T225" s="242">
        <f>IF(T$139="Actual", -'Budget P&amp;L Input'!L68, ROUND(AVERAGE($P225:$R225), -3))</f>
        <v>-498054.59</v>
      </c>
      <c r="U225" s="242">
        <f>IF(U$139="Actual", -'Budget P&amp;L Input'!M68, ROUND(AVERAGE($Q225,R225,$T225), -3))</f>
        <v>-371617.08</v>
      </c>
      <c r="V225" s="242">
        <f>IF(V$139="Actual", -'Budget P&amp;L Input'!N68, ROUND(AVERAGE($R225,T225,$U225), -3))</f>
        <v>-423186</v>
      </c>
      <c r="W225" s="242">
        <f>IF(W$139="Actual", -'Budget P&amp;L Input'!O68, ROUND(AVERAGE($R225,U225,$U225), -3))</f>
        <v>-410158</v>
      </c>
      <c r="X225" s="242">
        <f>IF(X$139="Actual", -'Budget P&amp;L Input'!P68, ROUND(AVERAGE($R225,V225,$U225), -3))</f>
        <v>-462000</v>
      </c>
      <c r="Y225" s="242">
        <f>IF(Y$139="Actual", -'Budget P&amp;L Input'!Q68, ROUND(AVERAGE($R225,W225,$U225), -3))</f>
        <v>-457000</v>
      </c>
      <c r="Z225" s="242">
        <f>IF(Z$139="Actual", -'Budget P&amp;L Input'!R68, ROUND(AVERAGE(W225:Y225), -3))</f>
        <v>-443000</v>
      </c>
      <c r="AA225" s="242">
        <f>IF(AA$139="Actual", -'Budget P&amp;L Input'!S68, ROUND(AVERAGE(X225:Z225), -3))</f>
        <v>-454000</v>
      </c>
      <c r="AB225" s="242">
        <f>IF(AB$139="Actual", -'Budget P&amp;L Input'!T68, ROUND(AVERAGE(Y225:AA225), -3))</f>
        <v>-451000</v>
      </c>
      <c r="AC225" s="242">
        <f>IF(AC$139="Actual", -'Budget P&amp;L Input'!U68, ROUND(AVERAGE(Z225:AB225), -3))</f>
        <v>-449000</v>
      </c>
      <c r="AD225" s="242">
        <f>IF(AD$139="Actual", -'Budget P&amp;L Input'!V68, ROUND(AVERAGE(AA225:AC225), -3))</f>
        <v>-451000</v>
      </c>
      <c r="AE225" s="242">
        <f>IF(AE$139="Actual", -'Budget P&amp;L Input'!W68, ROUND(AVERAGE(AB225:AD225), -3))</f>
        <v>-450000</v>
      </c>
      <c r="AF225" s="242">
        <f>IF(AF$139="Actual", -'Budget P&amp;L Input'!X68, ROUND(AVERAGE(AC225:AE225), -3))</f>
        <v>-450000</v>
      </c>
      <c r="AG225" s="242">
        <f>IF(AG$139="Actual", -'Budget P&amp;L Input'!Y68, ROUND(AVERAGE(AD225:AF225), -3))</f>
        <v>-450000</v>
      </c>
      <c r="AI225" s="77" t="s">
        <v>83</v>
      </c>
    </row>
    <row r="226" spans="1:35" outlineLevel="1">
      <c r="A226" s="50"/>
      <c r="B226" s="162" t="s">
        <v>200</v>
      </c>
      <c r="J226" s="436" t="s">
        <v>153</v>
      </c>
      <c r="K226" s="187"/>
      <c r="L226" s="303"/>
      <c r="M226" s="304"/>
      <c r="N226" s="216">
        <f>-'Budget P&amp;L Input'!G69</f>
        <v>-659784</v>
      </c>
      <c r="O226" s="216">
        <f>-'Budget P&amp;L Input'!H69</f>
        <v>-877788</v>
      </c>
      <c r="P226" s="216">
        <f>-'Budget P&amp;L Input'!I69</f>
        <v>-454521</v>
      </c>
      <c r="Q226" s="216">
        <f>-'Budget P&amp;L Input'!J69</f>
        <v>-545503</v>
      </c>
      <c r="R226" s="216">
        <f>-'Budget P&amp;L Input'!K69</f>
        <v>-461158</v>
      </c>
      <c r="T226" s="242">
        <f>IF(T$139="Actual", -'Budget P&amp;L Input'!L69, ROUND(AVERAGE($P226:$R226), -3))</f>
        <v>-854446.53</v>
      </c>
      <c r="U226" s="242">
        <f>IF(U$139="Actual", -'Budget P&amp;L Input'!M69, ROUND(AVERAGE($Q226,R226,$T226), -3))</f>
        <v>-855460.82</v>
      </c>
      <c r="V226" s="242">
        <f>IF(V$139="Actual", -'Budget P&amp;L Input'!N69, ROUND(AVERAGE($R226,T226,$U226), -3))</f>
        <v>-890414</v>
      </c>
      <c r="W226" s="242">
        <f>IF(W$139="Actual", -'Budget P&amp;L Input'!O69, ROUND(AVERAGE($R226,U226,$U226), -3))</f>
        <v>-720254</v>
      </c>
      <c r="X226" s="242">
        <f>IF(X$139="Actual", -'Budget P&amp;L Input'!P69, ROUND(AVERAGE($R226,V226,$U226), -3))</f>
        <v>-736000</v>
      </c>
      <c r="Y226" s="242">
        <f>IF(Y$139="Actual", -'Budget P&amp;L Input'!Q69, ROUND(AVERAGE($R226,W226,$U226), -3))</f>
        <v>-679000</v>
      </c>
      <c r="Z226" s="242">
        <f>IF(Z$139="Actual", -'Budget P&amp;L Input'!R69, ROUND(AVERAGE(W226:Y226), -3))</f>
        <v>-712000</v>
      </c>
      <c r="AA226" s="242">
        <f>IF(AA$139="Actual", -'Budget P&amp;L Input'!S69, ROUND(AVERAGE(X226:Z226), -3))</f>
        <v>-709000</v>
      </c>
      <c r="AB226" s="242">
        <f>IF(AB$139="Actual", -'Budget P&amp;L Input'!T69, ROUND(AVERAGE(Y226:AA226), -3))</f>
        <v>-700000</v>
      </c>
      <c r="AC226" s="242">
        <f>IF(AC$139="Actual", -'Budget P&amp;L Input'!U69, ROUND(AVERAGE(Z226:AB226), -3))</f>
        <v>-707000</v>
      </c>
      <c r="AD226" s="242">
        <f>IF(AD$139="Actual", -'Budget P&amp;L Input'!V69, ROUND(AVERAGE(AA226:AC226), -3))</f>
        <v>-705000</v>
      </c>
      <c r="AE226" s="242">
        <f>IF(AE$139="Actual", -'Budget P&amp;L Input'!W69, ROUND(AVERAGE(AB226:AD226), -3))</f>
        <v>-704000</v>
      </c>
      <c r="AF226" s="242">
        <f>IF(AF$139="Actual", -'Budget P&amp;L Input'!X69, ROUND(AVERAGE(AC226:AE226), -3))</f>
        <v>-705000</v>
      </c>
      <c r="AG226" s="242">
        <f>IF(AG$139="Actual", -'Budget P&amp;L Input'!Y69, ROUND(AVERAGE(AD226:AF226), -3))</f>
        <v>-705000</v>
      </c>
      <c r="AI226" s="77" t="s">
        <v>83</v>
      </c>
    </row>
    <row r="227" spans="1:35" outlineLevel="1">
      <c r="A227" s="50"/>
      <c r="B227" s="162" t="s">
        <v>201</v>
      </c>
      <c r="J227" s="436" t="s">
        <v>153</v>
      </c>
      <c r="K227" s="187"/>
      <c r="L227" s="497">
        <v>1.02</v>
      </c>
      <c r="M227" s="304"/>
      <c r="N227" s="216">
        <f>-'Budget P&amp;L Input'!G70</f>
        <v>-1342561</v>
      </c>
      <c r="O227" s="216">
        <f>-'Budget P&amp;L Input'!H70</f>
        <v>-2497179</v>
      </c>
      <c r="P227" s="216">
        <f>-'Budget P&amp;L Input'!I70</f>
        <v>-2509878</v>
      </c>
      <c r="Q227" s="216">
        <f>-'Budget P&amp;L Input'!J70</f>
        <v>-2231257</v>
      </c>
      <c r="R227" s="216">
        <f>-'Budget P&amp;L Input'!K70</f>
        <v>-2547687</v>
      </c>
      <c r="T227" s="242">
        <f>IF(T$139="Actual",-'Budget P&amp;L Input'!L70,R227*$L$227)</f>
        <v>-2181256.35</v>
      </c>
      <c r="U227" s="242">
        <f>IF(U$139="Actual",-'Budget P&amp;L Input'!M70,T227*$L$227)</f>
        <v>-2837064.08</v>
      </c>
      <c r="V227" s="242">
        <f>IF(V$139="Actual",-'Budget P&amp;L Input'!N70,U227*$L$227)</f>
        <v>-2991753</v>
      </c>
      <c r="W227" s="242">
        <f>IF(W$139="Actual",-'Budget P&amp;L Input'!O70,V227*$L$227)</f>
        <v>-3025863</v>
      </c>
      <c r="X227" s="242">
        <f>IF(X$139="Actual",-'Budget P&amp;L Input'!P70,W227*$L$227)</f>
        <v>-3086380.2600000002</v>
      </c>
      <c r="Y227" s="242">
        <f>IF(Y$139="Actual",-'Budget P&amp;L Input'!Q70,X227*$L$227)</f>
        <v>-3148107.8652000003</v>
      </c>
      <c r="Z227" s="242">
        <f>IF(Z$139="Actual",-'Budget P&amp;L Input'!R70,Y227*$L$227)</f>
        <v>-3211070.0225040005</v>
      </c>
      <c r="AA227" s="242">
        <f>IF(AA$139="Actual",-'Budget P&amp;L Input'!S70,Z227*$L$227)</f>
        <v>-3275291.4229540806</v>
      </c>
      <c r="AB227" s="242">
        <f>IF(AB$139="Actual",-'Budget P&amp;L Input'!T70,AA227*$L$227)</f>
        <v>-3340797.2514131623</v>
      </c>
      <c r="AC227" s="242">
        <f>IF(AC$139="Actual",-'Budget P&amp;L Input'!U70,AB227*$L$227)</f>
        <v>-3407613.1964414255</v>
      </c>
      <c r="AD227" s="242">
        <f>IF(AD$139="Actual",-'Budget P&amp;L Input'!V70,AC227*$L$227)</f>
        <v>-3475765.4603702542</v>
      </c>
      <c r="AE227" s="242">
        <f>IF(AE$139="Actual",-'Budget P&amp;L Input'!W70,AD227*$L$227)</f>
        <v>-3545280.7695776592</v>
      </c>
      <c r="AF227" s="242">
        <f>IF(AF$139="Actual",-'Budget P&amp;L Input'!X70,AE227*$L$227)</f>
        <v>-3616186.3849692126</v>
      </c>
      <c r="AG227" s="242">
        <f>IF(AG$139="Actual",-'Budget P&amp;L Input'!Y70,AF227*$L$227)</f>
        <v>-3688510.1126685967</v>
      </c>
      <c r="AI227" s="77" t="s">
        <v>192</v>
      </c>
    </row>
    <row r="228" spans="1:35" outlineLevel="1">
      <c r="A228" s="50"/>
      <c r="B228" s="162" t="s">
        <v>98</v>
      </c>
      <c r="J228" s="436"/>
      <c r="K228" s="187"/>
      <c r="L228" s="497"/>
      <c r="M228" s="304"/>
      <c r="N228" s="216"/>
      <c r="O228" s="216"/>
      <c r="P228" s="216"/>
      <c r="Q228" s="216"/>
      <c r="R228" s="216"/>
      <c r="T228" s="242"/>
      <c r="U228" s="242"/>
      <c r="V228" s="242"/>
      <c r="W228" s="242"/>
      <c r="X228" s="242"/>
      <c r="Y228" s="242">
        <v>-125138</v>
      </c>
      <c r="Z228" s="242"/>
      <c r="AA228" s="242"/>
      <c r="AB228" s="242"/>
      <c r="AC228" s="242"/>
      <c r="AD228" s="242"/>
      <c r="AE228" s="242"/>
      <c r="AF228" s="242"/>
      <c r="AG228" s="242"/>
    </row>
    <row r="229" spans="1:35">
      <c r="A229" s="50"/>
      <c r="B229" s="77"/>
      <c r="G229" s="50"/>
      <c r="I229" s="50"/>
      <c r="J229" s="436"/>
      <c r="K229" s="50"/>
      <c r="L229" s="50"/>
      <c r="M229" s="50"/>
      <c r="S229" s="50"/>
    </row>
    <row r="230" spans="1:35">
      <c r="A230" s="50"/>
      <c r="B230" s="77" t="s">
        <v>202</v>
      </c>
      <c r="J230" s="622"/>
      <c r="K230" s="311"/>
      <c r="L230" s="304"/>
      <c r="M230" s="304"/>
      <c r="N230" s="179"/>
      <c r="O230" s="179"/>
      <c r="P230" s="179"/>
      <c r="Q230" s="179"/>
      <c r="R230" s="179"/>
      <c r="T230" s="17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</row>
    <row r="231" spans="1:35">
      <c r="A231" s="50"/>
      <c r="C231" s="77" t="s">
        <v>429</v>
      </c>
      <c r="G231" s="50"/>
      <c r="I231" s="50"/>
      <c r="J231" s="436"/>
      <c r="K231" s="50"/>
      <c r="L231" s="50"/>
      <c r="M231" s="50"/>
      <c r="S231" s="50"/>
    </row>
    <row r="232" spans="1:35" ht="15" customHeight="1" outlineLevel="1">
      <c r="A232" s="50"/>
      <c r="D232" s="162" t="s">
        <v>203</v>
      </c>
      <c r="E232" s="222"/>
      <c r="F232" s="222"/>
      <c r="J232" s="436" t="s">
        <v>204</v>
      </c>
      <c r="L232" s="304"/>
      <c r="M232" s="304"/>
      <c r="N232" s="217"/>
      <c r="O232" s="217"/>
      <c r="P232" s="217"/>
      <c r="Q232" s="217"/>
      <c r="R232" s="439"/>
      <c r="T232" s="217">
        <f>IF(T$139="Actual",-'Budget P&amp;L Input'!L71,-'4001'!E33)</f>
        <v>-36190.36</v>
      </c>
      <c r="U232" s="217">
        <f>IF(U$139="Actual",-'Budget P&amp;L Input'!M71,-'4001'!F33)</f>
        <v>-272926.86</v>
      </c>
      <c r="V232" s="217">
        <f>IF(V$139="Actual",-'Budget P&amp;L Input'!N71,-'4001'!G33)</f>
        <v>-579261</v>
      </c>
      <c r="W232" s="217">
        <f>IF(W$139="Actual",-'Budget P&amp;L Input'!O71,-'4001'!H33)</f>
        <v>-566936</v>
      </c>
      <c r="X232" s="217">
        <f>IF(X$139="Actual",-'Budget P&amp;L Input'!P71,-'4001'!I33)</f>
        <v>-63800.64285714287</v>
      </c>
      <c r="Y232" s="217">
        <f>IF(Y$139="Actual",-'Budget P&amp;L Input'!Q71,-'4001'!J33)</f>
        <v>-59416.328571428574</v>
      </c>
      <c r="Z232" s="217">
        <f>IF(Z$139="Actual",-'Budget P&amp;L Input'!R71,-'4001'!K33)</f>
        <v>-48594.92857142858</v>
      </c>
      <c r="AA232" s="217">
        <f>IF(AA$139="Actual",-'Budget P&amp;L Input'!S71,-'4001'!L33)</f>
        <v>-29619.464285714297</v>
      </c>
      <c r="AB232" s="217">
        <f>IF(AB$139="Actual",-'Budget P&amp;L Input'!T71,-'4001'!M33)</f>
        <v>-8078.0357142857192</v>
      </c>
      <c r="AC232" s="217">
        <f>IF(AC$139="Actual",-'Budget P&amp;L Input'!U71,-'4001'!N33)</f>
        <v>0</v>
      </c>
      <c r="AD232" s="217">
        <f>IF(AD$139="Actual",-'Budget P&amp;L Input'!V71,-'4001'!O33)</f>
        <v>0</v>
      </c>
      <c r="AE232" s="217">
        <f>IF(AE$139="Actual",-'Budget P&amp;L Input'!W71,-'4001'!P33)</f>
        <v>0</v>
      </c>
      <c r="AF232" s="217">
        <f>IF(AF$139="Actual",-'Budget P&amp;L Input'!X71,-'4001'!S33)</f>
        <v>0</v>
      </c>
      <c r="AG232" s="217">
        <f>IF(AG$139="Actual",-'Budget P&amp;L Input'!Y71,-'4001'!T33)</f>
        <v>0</v>
      </c>
      <c r="AI232" s="77">
        <v>4001</v>
      </c>
    </row>
    <row r="233" spans="1:35" s="57" customFormat="1">
      <c r="C233" s="77" t="s">
        <v>428</v>
      </c>
      <c r="E233" s="56"/>
      <c r="F233" s="56"/>
      <c r="G233" s="56"/>
      <c r="H233" s="51"/>
      <c r="I233" s="56" t="s">
        <v>205</v>
      </c>
      <c r="J233" s="613"/>
      <c r="K233" s="310"/>
      <c r="L233" s="309"/>
      <c r="M233" s="309"/>
      <c r="N233" s="434"/>
      <c r="O233" s="434"/>
      <c r="P233" s="63"/>
      <c r="Q233" s="63"/>
      <c r="S233" s="177"/>
      <c r="T233" s="63">
        <f>T232</f>
        <v>-36190.36</v>
      </c>
      <c r="U233" s="63">
        <f>U232</f>
        <v>-272926.86</v>
      </c>
      <c r="V233" s="63">
        <f>V232</f>
        <v>-579261</v>
      </c>
      <c r="W233" s="63">
        <f t="shared" ref="W233:AE233" si="83">W232</f>
        <v>-566936</v>
      </c>
      <c r="X233" s="63">
        <f t="shared" si="83"/>
        <v>-63800.64285714287</v>
      </c>
      <c r="Y233" s="63">
        <f t="shared" si="83"/>
        <v>-59416.328571428574</v>
      </c>
      <c r="Z233" s="63">
        <f t="shared" si="83"/>
        <v>-48594.92857142858</v>
      </c>
      <c r="AA233" s="63">
        <f t="shared" si="83"/>
        <v>-29619.464285714297</v>
      </c>
      <c r="AB233" s="63">
        <f t="shared" si="83"/>
        <v>-8078.0357142857192</v>
      </c>
      <c r="AC233" s="63">
        <f t="shared" si="83"/>
        <v>0</v>
      </c>
      <c r="AD233" s="63">
        <f t="shared" si="83"/>
        <v>0</v>
      </c>
      <c r="AE233" s="63">
        <f t="shared" si="83"/>
        <v>0</v>
      </c>
      <c r="AF233" s="63">
        <f t="shared" ref="AF233:AG233" si="84">AF232</f>
        <v>0</v>
      </c>
      <c r="AG233" s="63">
        <f t="shared" si="84"/>
        <v>0</v>
      </c>
      <c r="AH233" s="77"/>
      <c r="AI233" s="77"/>
    </row>
    <row r="234" spans="1:35" s="57" customFormat="1">
      <c r="B234" s="77" t="s">
        <v>206</v>
      </c>
      <c r="G234" s="56"/>
      <c r="H234" s="606"/>
      <c r="I234" s="56" t="s">
        <v>207</v>
      </c>
      <c r="J234" s="613"/>
      <c r="K234" s="310"/>
      <c r="L234" s="309"/>
      <c r="M234" s="309"/>
      <c r="N234" s="74">
        <f>+N233</f>
        <v>0</v>
      </c>
      <c r="O234" s="74">
        <f t="shared" ref="O234:AE234" si="85">+O233</f>
        <v>0</v>
      </c>
      <c r="P234" s="74">
        <f t="shared" si="85"/>
        <v>0</v>
      </c>
      <c r="Q234" s="74">
        <f t="shared" si="85"/>
        <v>0</v>
      </c>
      <c r="S234" s="147"/>
      <c r="T234" s="74">
        <f>+T233</f>
        <v>-36190.36</v>
      </c>
      <c r="U234" s="74">
        <f t="shared" ref="U234:Y234" si="86">+U233</f>
        <v>-272926.86</v>
      </c>
      <c r="V234" s="74">
        <f>+V233</f>
        <v>-579261</v>
      </c>
      <c r="W234" s="74">
        <f t="shared" si="86"/>
        <v>-566936</v>
      </c>
      <c r="X234" s="74">
        <f t="shared" si="86"/>
        <v>-63800.64285714287</v>
      </c>
      <c r="Y234" s="74">
        <f t="shared" si="86"/>
        <v>-59416.328571428574</v>
      </c>
      <c r="Z234" s="74">
        <f t="shared" si="85"/>
        <v>-48594.92857142858</v>
      </c>
      <c r="AA234" s="74">
        <f t="shared" si="85"/>
        <v>-29619.464285714297</v>
      </c>
      <c r="AB234" s="74">
        <f t="shared" si="85"/>
        <v>-8078.0357142857192</v>
      </c>
      <c r="AC234" s="74">
        <f t="shared" si="85"/>
        <v>0</v>
      </c>
      <c r="AD234" s="74">
        <f t="shared" si="85"/>
        <v>0</v>
      </c>
      <c r="AE234" s="74">
        <f t="shared" si="85"/>
        <v>0</v>
      </c>
      <c r="AF234" s="74">
        <f t="shared" ref="AF234:AG234" si="87">+AF233</f>
        <v>0</v>
      </c>
      <c r="AG234" s="74">
        <f t="shared" si="87"/>
        <v>0</v>
      </c>
      <c r="AH234" s="77"/>
      <c r="AI234" s="77"/>
    </row>
    <row r="235" spans="1:35" s="57" customFormat="1">
      <c r="B235" s="78"/>
      <c r="C235" s="78"/>
      <c r="D235" s="78"/>
      <c r="E235" s="78"/>
      <c r="F235" s="305" t="s">
        <v>208</v>
      </c>
      <c r="G235" s="306"/>
      <c r="H235" s="601"/>
      <c r="I235" s="306"/>
      <c r="J235" s="624"/>
      <c r="K235" s="307"/>
      <c r="L235" s="308"/>
      <c r="M235" s="309"/>
      <c r="N235" s="176">
        <f>+N187+N202+N217+N218+N219+N224+N225+N226+N227+N234</f>
        <v>-36391460</v>
      </c>
      <c r="O235" s="176">
        <f>+O187+O202+O217+O218+O219+O224+O225+O226+O227+O234</f>
        <v>-34949618</v>
      </c>
      <c r="P235" s="176">
        <f>+P187+P202+P217+P218+P219+P224+P225+P226+P227+P234</f>
        <v>-36088165</v>
      </c>
      <c r="Q235" s="176">
        <f>+Q187+Q202+Q217+Q218+Q219+Q224+Q225+Q226+Q227+Q234</f>
        <v>-36347749</v>
      </c>
      <c r="R235" s="176">
        <f>+R187+R202+R217+R218+R219+R224+R225+R226+R227+R234+R229</f>
        <v>-35102502</v>
      </c>
      <c r="S235" s="177"/>
      <c r="T235" s="176">
        <f>+T187+T202+T217+T218+T219+T224+T225+T226+T227+T234</f>
        <v>-35860814.659999996</v>
      </c>
      <c r="U235" s="176">
        <f t="shared" ref="U235:AE235" si="88">+U187+U202+U217+U218+U219+U224+U225+U226+U227+U234</f>
        <v>-34998258.589999996</v>
      </c>
      <c r="V235" s="176">
        <f>+V187+V202+V217+V218+V219+V224+V225+V226+V227+V234</f>
        <v>-35603263</v>
      </c>
      <c r="W235" s="176">
        <f>+W187+W202+W217+W218+W219+W224+W225+W226+W227+W234</f>
        <v>-36014771</v>
      </c>
      <c r="X235" s="176">
        <f t="shared" si="88"/>
        <v>-36803492.867852688</v>
      </c>
      <c r="Y235" s="176">
        <f>+Y187+Y202+Y217+Y218+Y219+Y224+Y225+Y226+Y227+Y234+Y228</f>
        <v>-37218413.616160303</v>
      </c>
      <c r="Z235" s="176">
        <f t="shared" si="88"/>
        <v>-37666058.170063064</v>
      </c>
      <c r="AA235" s="176">
        <f t="shared" si="88"/>
        <v>-38215617.501359455</v>
      </c>
      <c r="AB235" s="176">
        <f t="shared" si="88"/>
        <v>-38832666.216478758</v>
      </c>
      <c r="AC235" s="176">
        <f t="shared" si="88"/>
        <v>-39532314.120907888</v>
      </c>
      <c r="AD235" s="176">
        <f t="shared" si="88"/>
        <v>-40180479.300139956</v>
      </c>
      <c r="AE235" s="176">
        <f t="shared" si="88"/>
        <v>-40840605.230303638</v>
      </c>
      <c r="AF235" s="176">
        <f t="shared" ref="AF235:AG235" si="89">+AF187+AF202+AF217+AF218+AF219+AF224+AF225+AF226+AF227+AF234</f>
        <v>-41534036.74004706</v>
      </c>
      <c r="AG235" s="176">
        <f t="shared" si="89"/>
        <v>-42249646.300464816</v>
      </c>
      <c r="AH235" s="77"/>
      <c r="AI235" s="77"/>
    </row>
    <row r="236" spans="1:35">
      <c r="L236" s="229"/>
      <c r="M236" s="229"/>
      <c r="N236" s="67"/>
      <c r="O236" s="67"/>
      <c r="P236" s="67"/>
      <c r="Q236" s="67"/>
      <c r="R236" s="67"/>
    </row>
    <row r="237" spans="1:35">
      <c r="A237" s="77" t="s">
        <v>209</v>
      </c>
      <c r="B237" s="57"/>
      <c r="C237" s="57"/>
      <c r="D237" s="57"/>
      <c r="E237" s="57"/>
      <c r="F237" s="57"/>
      <c r="L237" s="229"/>
      <c r="M237" s="229"/>
    </row>
    <row r="238" spans="1:35" outlineLevel="1">
      <c r="A238" s="50"/>
      <c r="B238" s="162" t="s">
        <v>210</v>
      </c>
      <c r="J238" s="621"/>
      <c r="K238" s="187"/>
      <c r="L238" s="303"/>
      <c r="M238" s="304"/>
      <c r="N238" s="217"/>
      <c r="O238" s="217"/>
      <c r="P238" s="217"/>
      <c r="Q238" s="217"/>
      <c r="R238" s="242"/>
      <c r="S238" s="188"/>
      <c r="T238" s="242"/>
      <c r="U238" s="242"/>
      <c r="V238" s="242"/>
      <c r="W238" s="242"/>
      <c r="X238" s="242"/>
      <c r="Y238" s="242"/>
      <c r="Z238" s="242"/>
      <c r="AA238" s="242"/>
      <c r="AB238" s="242"/>
      <c r="AC238" s="242"/>
      <c r="AD238" s="242"/>
      <c r="AE238" s="242"/>
      <c r="AF238" s="242"/>
      <c r="AG238" s="242"/>
    </row>
    <row r="239" spans="1:35" outlineLevel="1">
      <c r="A239" s="50"/>
      <c r="B239" s="162" t="s">
        <v>211</v>
      </c>
      <c r="J239" s="621"/>
      <c r="K239" s="187"/>
      <c r="L239" s="303"/>
      <c r="M239" s="304"/>
      <c r="N239" s="217"/>
      <c r="O239" s="217"/>
      <c r="P239" s="217"/>
      <c r="Q239" s="217"/>
      <c r="R239" s="242"/>
      <c r="S239" s="188"/>
      <c r="T239" s="242"/>
      <c r="U239" s="242"/>
      <c r="V239" s="242"/>
      <c r="W239" s="242"/>
      <c r="X239" s="242"/>
      <c r="Y239" s="242"/>
      <c r="Z239" s="242"/>
      <c r="AA239" s="242"/>
      <c r="AB239" s="242"/>
      <c r="AC239" s="242"/>
      <c r="AD239" s="242"/>
      <c r="AE239" s="242"/>
      <c r="AF239" s="242"/>
      <c r="AG239" s="242"/>
    </row>
    <row r="240" spans="1:35" outlineLevel="1">
      <c r="A240" s="50"/>
      <c r="B240" s="162" t="s">
        <v>212</v>
      </c>
      <c r="J240" s="621"/>
      <c r="K240" s="187"/>
      <c r="L240" s="303"/>
      <c r="M240" s="304"/>
      <c r="N240" s="217"/>
      <c r="O240" s="217"/>
      <c r="P240" s="217"/>
      <c r="Q240" s="217"/>
      <c r="R240" s="242"/>
      <c r="S240" s="188"/>
      <c r="T240" s="242"/>
      <c r="U240" s="242"/>
      <c r="V240" s="242"/>
      <c r="W240" s="242"/>
      <c r="X240" s="242"/>
      <c r="Y240" s="242"/>
      <c r="Z240" s="242"/>
      <c r="AA240" s="242"/>
      <c r="AB240" s="242"/>
      <c r="AC240" s="242"/>
      <c r="AD240" s="242"/>
      <c r="AE240" s="242"/>
      <c r="AF240" s="242"/>
      <c r="AG240" s="242"/>
    </row>
    <row r="241" spans="1:35" outlineLevel="1">
      <c r="A241" s="50"/>
      <c r="B241" s="162" t="s">
        <v>420</v>
      </c>
      <c r="J241" s="621"/>
      <c r="K241" s="187"/>
      <c r="L241" s="303"/>
      <c r="M241" s="304"/>
      <c r="N241" s="217"/>
      <c r="O241" s="217"/>
      <c r="P241" s="217"/>
      <c r="Q241" s="217"/>
      <c r="R241" s="242"/>
      <c r="S241" s="188"/>
      <c r="T241" s="242"/>
      <c r="U241" s="242"/>
      <c r="V241" s="242"/>
      <c r="W241" s="242"/>
      <c r="X241" s="242"/>
      <c r="Y241" s="242"/>
      <c r="Z241" s="242"/>
      <c r="AA241" s="242"/>
      <c r="AB241" s="242"/>
      <c r="AC241" s="242"/>
      <c r="AD241" s="242"/>
      <c r="AE241" s="242"/>
      <c r="AF241" s="242"/>
      <c r="AG241" s="242"/>
    </row>
    <row r="242" spans="1:35" outlineLevel="1">
      <c r="A242" s="50"/>
      <c r="B242" s="162" t="s">
        <v>213</v>
      </c>
      <c r="J242" s="621"/>
      <c r="K242" s="187"/>
      <c r="L242" s="303"/>
      <c r="M242" s="304"/>
      <c r="N242" s="217"/>
      <c r="O242" s="217"/>
      <c r="P242" s="217"/>
      <c r="Q242" s="217"/>
      <c r="R242" s="242"/>
      <c r="S242" s="188"/>
      <c r="T242" s="242"/>
      <c r="U242" s="242"/>
      <c r="V242" s="242"/>
      <c r="W242" s="242"/>
      <c r="X242" s="242"/>
      <c r="Y242" s="242"/>
      <c r="Z242" s="242"/>
      <c r="AA242" s="242"/>
      <c r="AB242" s="242"/>
      <c r="AC242" s="242"/>
      <c r="AD242" s="242"/>
      <c r="AE242" s="242"/>
      <c r="AF242" s="242"/>
      <c r="AG242" s="242"/>
    </row>
    <row r="243" spans="1:35" outlineLevel="1">
      <c r="A243" s="50"/>
      <c r="B243" s="162" t="s">
        <v>466</v>
      </c>
      <c r="J243" s="621" t="s">
        <v>153</v>
      </c>
      <c r="K243" s="187"/>
      <c r="L243" s="303"/>
      <c r="M243" s="304"/>
      <c r="N243" s="242">
        <f>-'Budget P&amp;L Input'!G72</f>
        <v>0</v>
      </c>
      <c r="O243" s="242">
        <f>-'Budget P&amp;L Input'!H72</f>
        <v>-1227840</v>
      </c>
      <c r="P243" s="242">
        <f>-'Budget P&amp;L Input'!I72</f>
        <v>0</v>
      </c>
      <c r="Q243" s="242">
        <f>-'Budget P&amp;L Input'!J72</f>
        <v>0</v>
      </c>
      <c r="R243" s="242"/>
      <c r="S243" s="188"/>
      <c r="T243" s="242"/>
      <c r="U243" s="242"/>
      <c r="V243" s="242"/>
      <c r="W243" s="242"/>
      <c r="X243" s="242"/>
      <c r="Y243" s="242"/>
      <c r="Z243" s="242"/>
      <c r="AA243" s="242"/>
      <c r="AB243" s="242"/>
      <c r="AC243" s="242"/>
      <c r="AD243" s="242"/>
      <c r="AE243" s="242"/>
      <c r="AF243" s="242"/>
      <c r="AG243" s="242"/>
    </row>
    <row r="244" spans="1:35" outlineLevel="1">
      <c r="A244" s="50"/>
      <c r="B244" s="162" t="s">
        <v>214</v>
      </c>
      <c r="J244" s="621"/>
      <c r="K244" s="187"/>
      <c r="L244" s="303"/>
      <c r="M244" s="304"/>
      <c r="N244" s="217"/>
      <c r="O244" s="217"/>
      <c r="P244" s="217"/>
      <c r="Q244" s="217"/>
      <c r="R244" s="242"/>
      <c r="S244" s="188"/>
      <c r="T244" s="242"/>
      <c r="U244" s="242"/>
      <c r="V244" s="242"/>
      <c r="W244" s="242"/>
      <c r="X244" s="242"/>
      <c r="Y244" s="242"/>
      <c r="Z244" s="242"/>
      <c r="AA244" s="242"/>
      <c r="AB244" s="242"/>
      <c r="AC244" s="242"/>
      <c r="AD244" s="242"/>
      <c r="AE244" s="242"/>
      <c r="AF244" s="242"/>
      <c r="AG244" s="242"/>
    </row>
    <row r="245" spans="1:35" s="57" customFormat="1">
      <c r="B245" s="78"/>
      <c r="C245" s="78"/>
      <c r="D245" s="78"/>
      <c r="E245" s="78"/>
      <c r="F245" s="305" t="s">
        <v>215</v>
      </c>
      <c r="G245" s="306"/>
      <c r="H245" s="601"/>
      <c r="I245" s="306"/>
      <c r="J245" s="618"/>
      <c r="K245" s="78"/>
      <c r="L245" s="315"/>
      <c r="M245" s="231"/>
      <c r="N245" s="176">
        <f>SUM(N238:N244)</f>
        <v>0</v>
      </c>
      <c r="O245" s="176">
        <f>SUM(O238:O244)</f>
        <v>-1227840</v>
      </c>
      <c r="P245" s="176">
        <f>SUM(P238:P244)</f>
        <v>0</v>
      </c>
      <c r="Q245" s="176">
        <f>SUM(Q238:Q244)</f>
        <v>0</v>
      </c>
      <c r="R245" s="176">
        <f>SUM(R238:R244)</f>
        <v>0</v>
      </c>
      <c r="S245" s="177"/>
      <c r="T245" s="176">
        <f>SUM(T238:T244)</f>
        <v>0</v>
      </c>
      <c r="U245" s="176">
        <f t="shared" ref="U245:AE245" si="90">SUM(U238:U244)</f>
        <v>0</v>
      </c>
      <c r="V245" s="176">
        <f t="shared" si="90"/>
        <v>0</v>
      </c>
      <c r="W245" s="176">
        <f t="shared" si="90"/>
        <v>0</v>
      </c>
      <c r="X245" s="176">
        <f t="shared" si="90"/>
        <v>0</v>
      </c>
      <c r="Y245" s="176">
        <f t="shared" si="90"/>
        <v>0</v>
      </c>
      <c r="Z245" s="176">
        <f t="shared" si="90"/>
        <v>0</v>
      </c>
      <c r="AA245" s="176">
        <f t="shared" si="90"/>
        <v>0</v>
      </c>
      <c r="AB245" s="176">
        <f t="shared" si="90"/>
        <v>0</v>
      </c>
      <c r="AC245" s="176">
        <f t="shared" si="90"/>
        <v>0</v>
      </c>
      <c r="AD245" s="176">
        <f t="shared" si="90"/>
        <v>0</v>
      </c>
      <c r="AE245" s="176">
        <f t="shared" si="90"/>
        <v>0</v>
      </c>
      <c r="AF245" s="176">
        <f t="shared" ref="AF245:AG245" si="91">SUM(AF238:AF244)</f>
        <v>0</v>
      </c>
      <c r="AG245" s="176">
        <f t="shared" si="91"/>
        <v>0</v>
      </c>
      <c r="AH245" s="77"/>
      <c r="AI245" s="77"/>
    </row>
    <row r="246" spans="1:35" s="57" customFormat="1">
      <c r="A246" s="77"/>
      <c r="B246" s="95"/>
      <c r="C246" s="95"/>
      <c r="D246" s="95"/>
      <c r="E246" s="95"/>
      <c r="F246" s="95"/>
      <c r="G246" s="56"/>
      <c r="H246" s="51"/>
      <c r="I246" s="56"/>
      <c r="J246" s="451"/>
      <c r="K246" s="95"/>
      <c r="L246" s="231"/>
      <c r="M246" s="231"/>
      <c r="N246" s="63"/>
      <c r="O246" s="63"/>
      <c r="P246" s="63"/>
      <c r="Q246" s="63"/>
      <c r="R246" s="63"/>
      <c r="S246" s="177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77"/>
      <c r="AI246" s="77"/>
    </row>
    <row r="247" spans="1:35">
      <c r="A247" s="77" t="s">
        <v>216</v>
      </c>
      <c r="H247" s="277"/>
      <c r="I247" s="67"/>
      <c r="J247" s="630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</row>
    <row r="248" spans="1:35" outlineLevel="1">
      <c r="A248" s="50"/>
      <c r="B248" s="162" t="s">
        <v>512</v>
      </c>
      <c r="H248" s="106"/>
      <c r="I248" s="59"/>
      <c r="J248" s="621"/>
      <c r="K248" s="95"/>
      <c r="L248" s="231"/>
      <c r="M248" s="231"/>
      <c r="N248" s="63"/>
      <c r="O248" s="63"/>
      <c r="P248" s="63"/>
      <c r="Q248" s="63"/>
      <c r="R248" s="63"/>
      <c r="S248" s="177"/>
      <c r="T248" s="242"/>
      <c r="U248" s="242"/>
      <c r="V248" s="242"/>
      <c r="W248" s="242"/>
      <c r="X248" s="242"/>
      <c r="Y248" s="242"/>
      <c r="Z248" s="242"/>
      <c r="AA248" s="242"/>
      <c r="AB248" s="242"/>
      <c r="AC248" s="242"/>
      <c r="AD248" s="242"/>
      <c r="AE248" s="242"/>
      <c r="AF248" s="242"/>
      <c r="AG248" s="242"/>
    </row>
    <row r="249" spans="1:35" outlineLevel="1">
      <c r="A249" s="50"/>
      <c r="B249" s="162" t="s">
        <v>499</v>
      </c>
      <c r="H249" s="106"/>
      <c r="I249" s="59"/>
      <c r="J249" s="621"/>
      <c r="K249" s="95"/>
      <c r="L249" s="231"/>
      <c r="M249" s="231"/>
      <c r="N249" s="63"/>
      <c r="O249" s="63"/>
      <c r="P249" s="63"/>
      <c r="Q249" s="63"/>
      <c r="R249" s="63"/>
      <c r="S249" s="177"/>
      <c r="T249" s="242"/>
      <c r="U249" s="242"/>
      <c r="V249" s="242"/>
      <c r="W249" s="242"/>
      <c r="X249" s="242"/>
      <c r="Y249" s="242"/>
      <c r="Z249" s="242"/>
      <c r="AA249" s="242"/>
      <c r="AB249" s="242"/>
      <c r="AC249" s="242"/>
      <c r="AD249" s="242"/>
      <c r="AE249" s="242"/>
      <c r="AF249" s="242"/>
      <c r="AG249" s="242"/>
    </row>
    <row r="250" spans="1:35" outlineLevel="1">
      <c r="A250" s="50"/>
      <c r="B250" s="162" t="s">
        <v>513</v>
      </c>
      <c r="H250" s="106"/>
      <c r="I250" s="59"/>
      <c r="J250" s="621"/>
      <c r="K250" s="95"/>
      <c r="L250" s="231"/>
      <c r="M250" s="231"/>
      <c r="N250" s="63"/>
      <c r="O250" s="63"/>
      <c r="P250" s="63"/>
      <c r="Q250" s="63"/>
      <c r="R250" s="63"/>
      <c r="S250" s="67">
        <f t="shared" ref="S250" si="92">-SUM(T248:T250)</f>
        <v>0</v>
      </c>
      <c r="T250" s="242"/>
      <c r="U250" s="242"/>
      <c r="V250" s="242"/>
      <c r="W250" s="242"/>
      <c r="X250" s="242"/>
      <c r="Y250" s="242"/>
      <c r="Z250" s="242"/>
      <c r="AA250" s="242"/>
      <c r="AB250" s="242"/>
      <c r="AC250" s="242"/>
      <c r="AD250" s="242"/>
      <c r="AE250" s="242"/>
      <c r="AF250" s="242"/>
      <c r="AG250" s="242"/>
    </row>
    <row r="251" spans="1:35" outlineLevel="1">
      <c r="A251" s="50"/>
      <c r="B251" s="162" t="s">
        <v>217</v>
      </c>
      <c r="H251" s="277"/>
      <c r="I251" s="67"/>
      <c r="J251" s="622"/>
      <c r="K251" s="311"/>
      <c r="L251" s="304"/>
      <c r="M251" s="304"/>
      <c r="N251" s="67"/>
      <c r="O251" s="67"/>
      <c r="P251" s="67"/>
      <c r="Q251" s="59"/>
      <c r="R251" s="59"/>
      <c r="S251" s="188"/>
    </row>
    <row r="252" spans="1:35">
      <c r="A252" s="50"/>
      <c r="B252" s="305"/>
      <c r="C252" s="325"/>
      <c r="D252" s="325"/>
      <c r="E252" s="325"/>
      <c r="F252" s="326" t="s">
        <v>218</v>
      </c>
      <c r="G252" s="236"/>
      <c r="H252" s="607"/>
      <c r="I252" s="68"/>
      <c r="J252" s="631"/>
      <c r="K252" s="68"/>
      <c r="L252" s="68"/>
      <c r="M252" s="67"/>
      <c r="N252" s="68">
        <f>SUM(N248:N251)</f>
        <v>0</v>
      </c>
      <c r="O252" s="68">
        <f>SUM(O248:O251)</f>
        <v>0</v>
      </c>
      <c r="P252" s="68">
        <f>SUM(P248:P251)</f>
        <v>0</v>
      </c>
      <c r="Q252" s="68">
        <f>SUM(Q248:Q251)</f>
        <v>0</v>
      </c>
      <c r="R252" s="68">
        <f>SUM(R248:R251)</f>
        <v>0</v>
      </c>
      <c r="S252" s="68"/>
      <c r="T252" s="68">
        <f>SUM(T248:T251)</f>
        <v>0</v>
      </c>
      <c r="U252" s="68">
        <f>SUM(U248:U251)</f>
        <v>0</v>
      </c>
      <c r="V252" s="68">
        <f>SUM(V248:V251)</f>
        <v>0</v>
      </c>
      <c r="W252" s="68">
        <f>SUM(W248:W251)</f>
        <v>0</v>
      </c>
      <c r="X252" s="68">
        <f t="shared" ref="X252" si="93">SUM(X248:X251)</f>
        <v>0</v>
      </c>
      <c r="Y252" s="68">
        <f t="shared" ref="Y252:AE252" si="94">SUM(Y248:Y251)</f>
        <v>0</v>
      </c>
      <c r="Z252" s="68">
        <f t="shared" si="94"/>
        <v>0</v>
      </c>
      <c r="AA252" s="68">
        <f t="shared" si="94"/>
        <v>0</v>
      </c>
      <c r="AB252" s="68">
        <f t="shared" si="94"/>
        <v>0</v>
      </c>
      <c r="AC252" s="68">
        <f t="shared" si="94"/>
        <v>0</v>
      </c>
      <c r="AD252" s="68">
        <f t="shared" si="94"/>
        <v>0</v>
      </c>
      <c r="AE252" s="68">
        <f t="shared" si="94"/>
        <v>0</v>
      </c>
      <c r="AF252" s="68">
        <f t="shared" ref="AF252:AG252" si="95">SUM(AF248:AF251)</f>
        <v>0</v>
      </c>
      <c r="AG252" s="68">
        <f t="shared" si="95"/>
        <v>0</v>
      </c>
    </row>
    <row r="253" spans="1:35" s="57" customFormat="1">
      <c r="A253" s="77"/>
      <c r="B253" s="95"/>
      <c r="C253" s="95"/>
      <c r="D253" s="95"/>
      <c r="E253" s="95"/>
      <c r="F253" s="95"/>
      <c r="G253" s="56"/>
      <c r="H253" s="51"/>
      <c r="I253" s="56"/>
      <c r="J253" s="451"/>
      <c r="K253" s="95"/>
      <c r="L253" s="231"/>
      <c r="M253" s="231"/>
      <c r="N253" s="63"/>
      <c r="O253" s="63"/>
      <c r="P253" s="63"/>
      <c r="Q253" s="63"/>
      <c r="R253" s="63"/>
      <c r="S253" s="177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77"/>
      <c r="AI253" s="77"/>
    </row>
    <row r="254" spans="1:35" s="57" customFormat="1">
      <c r="B254" s="78"/>
      <c r="C254" s="78"/>
      <c r="D254" s="78"/>
      <c r="E254" s="78"/>
      <c r="F254" s="305" t="s">
        <v>219</v>
      </c>
      <c r="G254" s="306"/>
      <c r="H254" s="601"/>
      <c r="I254" s="306"/>
      <c r="J254" s="618"/>
      <c r="K254" s="78"/>
      <c r="L254" s="315"/>
      <c r="M254" s="231"/>
      <c r="N254" s="176">
        <f>N235+N245+N252</f>
        <v>-36391460</v>
      </c>
      <c r="O254" s="176">
        <f>O235+O245+O252</f>
        <v>-36177458</v>
      </c>
      <c r="P254" s="176">
        <f>P235+P245+P252</f>
        <v>-36088165</v>
      </c>
      <c r="Q254" s="176">
        <f>Q235+Q245+Q252</f>
        <v>-36347749</v>
      </c>
      <c r="R254" s="176">
        <f>R235+R245+R252</f>
        <v>-35102502</v>
      </c>
      <c r="S254" s="177"/>
      <c r="T254" s="176">
        <f t="shared" ref="T254:AE254" si="96">T235+T245+T252</f>
        <v>-35860814.659999996</v>
      </c>
      <c r="U254" s="176">
        <f t="shared" si="96"/>
        <v>-34998258.589999996</v>
      </c>
      <c r="V254" s="176">
        <f t="shared" si="96"/>
        <v>-35603263</v>
      </c>
      <c r="W254" s="176">
        <f t="shared" si="96"/>
        <v>-36014771</v>
      </c>
      <c r="X254" s="176">
        <f t="shared" si="96"/>
        <v>-36803492.867852688</v>
      </c>
      <c r="Y254" s="176">
        <f>Y235+Y245+Y252</f>
        <v>-37218413.616160303</v>
      </c>
      <c r="Z254" s="176">
        <f t="shared" si="96"/>
        <v>-37666058.170063064</v>
      </c>
      <c r="AA254" s="176">
        <f t="shared" si="96"/>
        <v>-38215617.501359455</v>
      </c>
      <c r="AB254" s="176">
        <f t="shared" si="96"/>
        <v>-38832666.216478758</v>
      </c>
      <c r="AC254" s="176">
        <f t="shared" si="96"/>
        <v>-39532314.120907888</v>
      </c>
      <c r="AD254" s="176">
        <f t="shared" si="96"/>
        <v>-40180479.300139956</v>
      </c>
      <c r="AE254" s="176">
        <f t="shared" si="96"/>
        <v>-40840605.230303638</v>
      </c>
      <c r="AF254" s="176">
        <f t="shared" ref="AF254:AG254" si="97">AF235+AF245+AF252</f>
        <v>-41534036.74004706</v>
      </c>
      <c r="AG254" s="176">
        <f t="shared" si="97"/>
        <v>-42249646.300464816</v>
      </c>
      <c r="AH254" s="77"/>
      <c r="AI254" s="77"/>
    </row>
    <row r="255" spans="1:35">
      <c r="A255" s="77"/>
      <c r="B255" s="57"/>
      <c r="C255" s="57"/>
      <c r="D255" s="57"/>
      <c r="E255" s="57"/>
      <c r="F255" s="76" t="s">
        <v>118</v>
      </c>
      <c r="L255" s="229"/>
      <c r="M255" s="229"/>
      <c r="N255" s="67">
        <f>N254+'Budget P&amp;L Input'!G73</f>
        <v>0</v>
      </c>
      <c r="O255" s="67">
        <f>O254+'Budget P&amp;L Input'!H73</f>
        <v>0</v>
      </c>
      <c r="P255" s="67">
        <f>P254+'Budget P&amp;L Input'!I73</f>
        <v>0</v>
      </c>
      <c r="Q255" s="67">
        <f>Q254+'Budget P&amp;L Input'!J73</f>
        <v>0</v>
      </c>
      <c r="R255" s="67">
        <f>R254+'Budget P&amp;L Input'!K73</f>
        <v>0</v>
      </c>
      <c r="S255" s="188"/>
      <c r="T255" s="256">
        <f>IF(T$139="Actual",T254+'Budget P&amp;L Input'!L73,0)</f>
        <v>0</v>
      </c>
      <c r="U255" s="256">
        <f>IF(U$139="Actual",U254+'Budget P&amp;L Input'!M73,0)</f>
        <v>0</v>
      </c>
      <c r="V255" s="256">
        <f>IF(V$139="Actual",V254+'Budget P&amp;L Input'!N73,0)</f>
        <v>0</v>
      </c>
      <c r="W255" s="256">
        <f>IF(W$139="Actual",W254+'Budget P&amp;L Input'!O73,W167+W254)</f>
        <v>0</v>
      </c>
      <c r="X255" s="256"/>
      <c r="Y255" s="256"/>
      <c r="Z255" s="106"/>
      <c r="AA255" s="106"/>
      <c r="AB255" s="106"/>
      <c r="AC255" s="106"/>
      <c r="AD255" s="106"/>
      <c r="AE255" s="106"/>
      <c r="AF255" s="106"/>
      <c r="AG255" s="106"/>
      <c r="AI255" s="77" t="s">
        <v>220</v>
      </c>
    </row>
    <row r="256" spans="1:35">
      <c r="A256" s="77" t="s">
        <v>221</v>
      </c>
      <c r="B256" s="57"/>
      <c r="C256" s="57"/>
      <c r="D256" s="57"/>
      <c r="E256" s="57"/>
      <c r="F256" s="57"/>
      <c r="L256" s="229"/>
      <c r="M256" s="229"/>
      <c r="R256" s="27"/>
      <c r="S256" s="536"/>
      <c r="T256" s="256"/>
      <c r="U256" s="256"/>
      <c r="V256" s="256"/>
      <c r="W256" s="256"/>
      <c r="X256" s="256"/>
      <c r="Y256" s="256"/>
      <c r="Z256" s="256"/>
      <c r="AA256" s="256"/>
      <c r="AB256" s="256"/>
      <c r="AC256" s="256"/>
      <c r="AD256" s="256"/>
      <c r="AE256" s="256"/>
      <c r="AF256" s="256"/>
      <c r="AG256" s="256"/>
    </row>
    <row r="257" spans="1:33">
      <c r="A257" s="77"/>
      <c r="B257" s="57" t="s">
        <v>222</v>
      </c>
      <c r="C257" s="57"/>
      <c r="D257" s="57"/>
      <c r="E257" s="57"/>
      <c r="F257" s="57"/>
      <c r="L257" s="229"/>
      <c r="M257" s="229"/>
      <c r="O257" s="218"/>
      <c r="P257" s="218"/>
      <c r="Q257" s="218"/>
      <c r="R257" s="218"/>
      <c r="S257" s="536"/>
      <c r="T257" s="256"/>
      <c r="U257" s="256"/>
      <c r="V257" s="256"/>
      <c r="W257" s="256"/>
      <c r="X257" s="256"/>
      <c r="Y257" s="256"/>
      <c r="Z257" s="256"/>
      <c r="AA257" s="256"/>
      <c r="AB257" s="256"/>
      <c r="AC257" s="256"/>
      <c r="AD257" s="256"/>
      <c r="AE257" s="256"/>
      <c r="AF257" s="256"/>
      <c r="AG257" s="256"/>
    </row>
    <row r="258" spans="1:33" outlineLevel="1">
      <c r="A258" s="50"/>
      <c r="C258" s="162" t="s">
        <v>505</v>
      </c>
      <c r="I258" s="5" t="s">
        <v>223</v>
      </c>
      <c r="J258" s="622" t="s">
        <v>12</v>
      </c>
      <c r="K258" s="311"/>
      <c r="L258" s="229"/>
      <c r="M258" s="229"/>
      <c r="N258" s="217"/>
      <c r="O258" s="217"/>
      <c r="P258" s="217"/>
      <c r="Q258" s="217"/>
      <c r="R258" s="217"/>
      <c r="T258" s="217"/>
      <c r="U258" s="327"/>
      <c r="V258" s="327"/>
      <c r="W258" s="327"/>
      <c r="X258" s="327"/>
      <c r="Y258" s="327"/>
      <c r="Z258" s="327"/>
      <c r="AA258" s="327"/>
      <c r="AB258" s="327"/>
      <c r="AC258" s="327"/>
      <c r="AD258" s="327"/>
      <c r="AE258" s="327"/>
      <c r="AF258" s="327"/>
      <c r="AG258" s="327"/>
    </row>
    <row r="259" spans="1:33" outlineLevel="1">
      <c r="A259" s="50"/>
      <c r="C259" s="162" t="s">
        <v>224</v>
      </c>
      <c r="G259" s="5" t="s">
        <v>225</v>
      </c>
      <c r="I259" s="5" t="s">
        <v>223</v>
      </c>
      <c r="J259" s="622" t="s">
        <v>12</v>
      </c>
      <c r="K259" s="311"/>
      <c r="L259" s="229"/>
      <c r="M259" s="229"/>
      <c r="N259" s="217"/>
      <c r="O259" s="217"/>
      <c r="P259" s="217"/>
      <c r="Q259" s="217"/>
      <c r="R259" s="217"/>
      <c r="T259" s="217"/>
      <c r="U259" s="217"/>
      <c r="V259" s="217"/>
      <c r="W259" s="217"/>
      <c r="X259" s="217"/>
      <c r="Y259" s="217"/>
      <c r="Z259" s="217"/>
      <c r="AA259" s="217"/>
      <c r="AB259" s="217"/>
      <c r="AC259" s="217"/>
      <c r="AD259" s="217"/>
      <c r="AE259" s="217"/>
      <c r="AF259" s="217"/>
      <c r="AG259" s="217"/>
    </row>
    <row r="260" spans="1:33" outlineLevel="1">
      <c r="A260" s="50"/>
      <c r="C260" s="162" t="s">
        <v>226</v>
      </c>
      <c r="I260" s="5" t="s">
        <v>223</v>
      </c>
      <c r="J260" s="622" t="s">
        <v>12</v>
      </c>
      <c r="K260" s="311"/>
      <c r="L260" s="229"/>
      <c r="M260" s="229"/>
      <c r="N260" s="217"/>
      <c r="O260" s="217"/>
      <c r="P260" s="217"/>
      <c r="Q260" s="217"/>
      <c r="R260" s="217"/>
      <c r="T260" s="217"/>
      <c r="U260" s="217"/>
      <c r="V260" s="217"/>
      <c r="W260" s="217"/>
      <c r="X260" s="217"/>
      <c r="Y260" s="217"/>
      <c r="Z260" s="217"/>
      <c r="AA260" s="217"/>
      <c r="AB260" s="217"/>
      <c r="AC260" s="217"/>
      <c r="AD260" s="217"/>
      <c r="AE260" s="217"/>
      <c r="AF260" s="217"/>
      <c r="AG260" s="217"/>
    </row>
    <row r="261" spans="1:33" outlineLevel="1">
      <c r="B261" s="365" t="s">
        <v>227</v>
      </c>
      <c r="J261" s="622"/>
      <c r="K261" s="311"/>
      <c r="L261" s="229"/>
      <c r="M261" s="229"/>
      <c r="N261" s="68"/>
      <c r="O261" s="68"/>
      <c r="P261" s="68"/>
      <c r="Q261" s="68"/>
      <c r="R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</row>
    <row r="262" spans="1:33" outlineLevel="1">
      <c r="A262" s="50"/>
      <c r="B262" s="162" t="s">
        <v>228</v>
      </c>
      <c r="C262" s="5"/>
      <c r="D262" s="5"/>
      <c r="E262" s="5"/>
      <c r="F262" s="5"/>
      <c r="G262" s="5" t="s">
        <v>530</v>
      </c>
      <c r="I262" s="5" t="s">
        <v>223</v>
      </c>
      <c r="J262" s="622" t="s">
        <v>12</v>
      </c>
      <c r="K262" s="311"/>
      <c r="L262" s="229"/>
      <c r="M262" s="229"/>
      <c r="N262" s="67"/>
      <c r="O262" s="67"/>
      <c r="P262" s="67"/>
      <c r="Q262" s="67"/>
      <c r="R262" s="67"/>
      <c r="T262" s="217"/>
      <c r="U262" s="217"/>
      <c r="V262" s="217"/>
      <c r="W262" s="217"/>
      <c r="X262" s="217"/>
      <c r="Y262" s="217"/>
      <c r="Z262" s="217"/>
      <c r="AA262" s="217"/>
      <c r="AB262" s="217"/>
      <c r="AC262" s="217"/>
      <c r="AD262" s="217"/>
      <c r="AE262" s="217"/>
      <c r="AF262" s="217"/>
      <c r="AG262" s="217"/>
    </row>
    <row r="263" spans="1:33" outlineLevel="1">
      <c r="A263" s="50"/>
      <c r="B263" s="162" t="s">
        <v>229</v>
      </c>
      <c r="J263" s="622"/>
      <c r="K263" s="311"/>
      <c r="L263" s="304"/>
      <c r="M263" s="304"/>
      <c r="R263" s="59"/>
      <c r="S263" s="188"/>
      <c r="T263" s="242"/>
      <c r="U263" s="242"/>
      <c r="V263" s="242"/>
      <c r="W263" s="242"/>
      <c r="X263" s="242"/>
      <c r="Y263" s="242"/>
      <c r="Z263" s="242"/>
      <c r="AA263" s="242"/>
      <c r="AB263" s="242"/>
      <c r="AC263" s="242"/>
      <c r="AD263" s="242"/>
      <c r="AE263" s="242"/>
      <c r="AF263" s="242"/>
      <c r="AG263" s="242"/>
    </row>
    <row r="264" spans="1:33" outlineLevel="1">
      <c r="A264" s="50"/>
      <c r="B264" s="162" t="s">
        <v>230</v>
      </c>
      <c r="C264" s="5"/>
      <c r="D264" s="5"/>
      <c r="E264" s="5"/>
      <c r="F264" s="5"/>
      <c r="J264" s="617"/>
      <c r="K264" s="311"/>
      <c r="L264" s="304"/>
      <c r="M264" s="304"/>
      <c r="N264" s="59"/>
      <c r="O264" s="59"/>
      <c r="P264" s="59"/>
      <c r="Q264" s="59"/>
      <c r="R264" s="59"/>
      <c r="S264" s="188"/>
      <c r="T264" s="242"/>
      <c r="U264" s="242"/>
      <c r="V264" s="242"/>
      <c r="W264" s="242"/>
      <c r="X264" s="242"/>
      <c r="Y264" s="242"/>
      <c r="Z264" s="242"/>
      <c r="AA264" s="242"/>
      <c r="AB264" s="242"/>
      <c r="AC264" s="242"/>
      <c r="AD264" s="242"/>
      <c r="AE264" s="242"/>
      <c r="AF264" s="242"/>
      <c r="AG264" s="242"/>
    </row>
    <row r="265" spans="1:33" outlineLevel="1">
      <c r="A265" s="50"/>
      <c r="B265" s="162" t="s">
        <v>231</v>
      </c>
      <c r="C265" s="5"/>
      <c r="D265" s="5"/>
      <c r="E265" s="5"/>
      <c r="F265" s="5"/>
      <c r="J265" s="617"/>
      <c r="K265" s="311"/>
      <c r="L265" s="304"/>
      <c r="M265" s="304"/>
      <c r="N265" s="59"/>
      <c r="O265" s="59"/>
      <c r="P265" s="59"/>
      <c r="Q265" s="59"/>
      <c r="R265" s="59"/>
      <c r="S265" s="188"/>
      <c r="T265" s="242"/>
      <c r="U265" s="242"/>
      <c r="V265" s="242"/>
      <c r="W265" s="242"/>
      <c r="X265" s="242"/>
      <c r="Y265" s="242"/>
      <c r="Z265" s="242"/>
      <c r="AA265" s="242"/>
      <c r="AB265" s="242"/>
      <c r="AC265" s="242"/>
      <c r="AD265" s="242"/>
      <c r="AE265" s="242"/>
      <c r="AF265" s="242"/>
      <c r="AG265" s="242"/>
    </row>
    <row r="266" spans="1:33" outlineLevel="1">
      <c r="A266" s="50"/>
      <c r="B266" s="204" t="s">
        <v>232</v>
      </c>
      <c r="C266" s="171"/>
      <c r="D266" s="171"/>
      <c r="E266" s="171"/>
      <c r="F266" s="171"/>
      <c r="I266" s="5" t="s">
        <v>233</v>
      </c>
      <c r="J266" s="622"/>
      <c r="K266" s="311"/>
      <c r="L266" s="229"/>
      <c r="M266" s="229"/>
      <c r="N266" s="67"/>
      <c r="O266" s="67"/>
      <c r="P266" s="67"/>
      <c r="Q266" s="67"/>
      <c r="R266" s="67"/>
      <c r="T266" s="242"/>
      <c r="U266" s="242"/>
      <c r="V266" s="242"/>
      <c r="W266" s="242"/>
      <c r="X266" s="242"/>
      <c r="Y266" s="242"/>
      <c r="Z266" s="242"/>
      <c r="AA266" s="242"/>
      <c r="AB266" s="242"/>
      <c r="AC266" s="242"/>
      <c r="AD266" s="242"/>
      <c r="AE266" s="242"/>
      <c r="AF266" s="242"/>
      <c r="AG266" s="242"/>
    </row>
    <row r="267" spans="1:33" outlineLevel="1">
      <c r="A267" s="50"/>
      <c r="B267" s="204" t="s">
        <v>234</v>
      </c>
      <c r="C267" s="171"/>
      <c r="D267" s="171"/>
      <c r="E267" s="171"/>
      <c r="F267" s="171"/>
      <c r="I267" s="5" t="s">
        <v>233</v>
      </c>
      <c r="J267" s="622"/>
      <c r="K267" s="311"/>
      <c r="L267" s="229"/>
      <c r="M267" s="229"/>
      <c r="N267" s="67"/>
      <c r="O267" s="67"/>
      <c r="P267" s="67"/>
      <c r="Q267" s="67"/>
      <c r="R267" s="67"/>
      <c r="T267" s="242"/>
      <c r="U267" s="242"/>
      <c r="V267" s="242"/>
      <c r="W267" s="242"/>
      <c r="X267" s="242"/>
      <c r="Y267" s="242"/>
      <c r="Z267" s="242"/>
      <c r="AA267" s="242"/>
      <c r="AB267" s="242"/>
      <c r="AC267" s="242"/>
      <c r="AD267" s="242"/>
      <c r="AE267" s="242"/>
      <c r="AF267" s="242"/>
      <c r="AG267" s="242"/>
    </row>
    <row r="268" spans="1:33" outlineLevel="1">
      <c r="A268" s="50"/>
      <c r="B268" s="204" t="s">
        <v>235</v>
      </c>
      <c r="C268" s="171"/>
      <c r="D268" s="171"/>
      <c r="E268" s="171"/>
      <c r="F268" s="171"/>
      <c r="I268" s="5" t="s">
        <v>223</v>
      </c>
      <c r="J268" s="622"/>
      <c r="K268" s="311"/>
      <c r="L268" s="229"/>
      <c r="M268" s="229"/>
      <c r="N268" s="67"/>
      <c r="O268" s="67"/>
      <c r="P268" s="67"/>
      <c r="Q268" s="67"/>
      <c r="R268" s="67"/>
      <c r="T268" s="242"/>
      <c r="U268" s="242"/>
      <c r="V268" s="242"/>
      <c r="W268" s="242"/>
      <c r="X268" s="242"/>
      <c r="Y268" s="242"/>
      <c r="Z268" s="242"/>
      <c r="AA268" s="242"/>
      <c r="AB268" s="242"/>
      <c r="AC268" s="242"/>
      <c r="AD268" s="242"/>
      <c r="AE268" s="242"/>
      <c r="AF268" s="242"/>
      <c r="AG268" s="242"/>
    </row>
    <row r="269" spans="1:33" outlineLevel="1">
      <c r="A269" s="50"/>
      <c r="B269" s="162" t="s">
        <v>236</v>
      </c>
      <c r="I269" s="5" t="s">
        <v>223</v>
      </c>
      <c r="J269" s="622" t="s">
        <v>237</v>
      </c>
      <c r="K269" s="311"/>
      <c r="L269" s="229"/>
      <c r="M269" s="229"/>
      <c r="N269" s="217"/>
      <c r="O269" s="217"/>
      <c r="P269" s="217"/>
      <c r="Q269" s="217"/>
      <c r="R269" s="217"/>
      <c r="T269" s="217"/>
      <c r="U269" s="217"/>
      <c r="V269" s="217"/>
      <c r="W269" s="217"/>
      <c r="X269" s="217"/>
      <c r="Y269" s="217"/>
      <c r="Z269" s="217"/>
      <c r="AA269" s="217"/>
      <c r="AB269" s="217"/>
      <c r="AC269" s="217"/>
      <c r="AD269" s="217"/>
      <c r="AE269" s="217"/>
      <c r="AF269" s="217"/>
      <c r="AG269" s="217"/>
    </row>
    <row r="270" spans="1:33" outlineLevel="1">
      <c r="A270" s="50"/>
      <c r="B270" s="162" t="s">
        <v>502</v>
      </c>
      <c r="J270" s="622" t="s">
        <v>12</v>
      </c>
      <c r="K270" s="311"/>
      <c r="L270" s="304"/>
      <c r="M270" s="304"/>
      <c r="N270" s="217"/>
      <c r="O270" s="217"/>
      <c r="P270" s="217"/>
      <c r="Q270" s="217"/>
      <c r="R270" s="217"/>
      <c r="T270" s="217"/>
      <c r="U270" s="242"/>
      <c r="V270" s="242"/>
      <c r="W270" s="242"/>
      <c r="X270" s="242"/>
      <c r="Y270" s="242"/>
      <c r="Z270" s="242"/>
      <c r="AA270" s="242"/>
      <c r="AB270" s="242"/>
      <c r="AC270" s="242"/>
      <c r="AD270" s="242"/>
      <c r="AE270" s="242"/>
      <c r="AF270" s="242"/>
      <c r="AG270" s="242"/>
    </row>
    <row r="271" spans="1:33" outlineLevel="1">
      <c r="A271" s="50"/>
      <c r="B271" s="162" t="s">
        <v>503</v>
      </c>
      <c r="J271" s="622" t="s">
        <v>12</v>
      </c>
      <c r="K271" s="311"/>
      <c r="L271" s="304"/>
      <c r="M271" s="304"/>
      <c r="N271" s="217"/>
      <c r="O271" s="217"/>
      <c r="P271" s="217"/>
      <c r="Q271" s="217"/>
      <c r="R271" s="217"/>
      <c r="T271" s="217"/>
      <c r="U271" s="242"/>
      <c r="V271" s="242"/>
      <c r="W271" s="242"/>
      <c r="X271" s="242"/>
      <c r="Y271" s="242"/>
      <c r="Z271" s="242"/>
      <c r="AA271" s="242"/>
      <c r="AB271" s="242"/>
      <c r="AC271" s="242"/>
      <c r="AD271" s="242"/>
      <c r="AE271" s="242"/>
      <c r="AF271" s="242"/>
      <c r="AG271" s="242"/>
    </row>
    <row r="272" spans="1:33">
      <c r="A272" s="50"/>
      <c r="B272" s="78"/>
      <c r="C272" s="78"/>
      <c r="D272" s="78"/>
      <c r="E272" s="78"/>
      <c r="F272" s="305" t="s">
        <v>238</v>
      </c>
      <c r="G272" s="236"/>
      <c r="H272" s="605"/>
      <c r="I272" s="236"/>
      <c r="J272" s="625"/>
      <c r="K272" s="313"/>
      <c r="L272" s="314"/>
      <c r="M272" s="304"/>
      <c r="N272" s="316">
        <f>SUM(N262:N271)</f>
        <v>0</v>
      </c>
      <c r="O272" s="316">
        <f>SUM(O262:O271)</f>
        <v>0</v>
      </c>
      <c r="P272" s="316">
        <f>SUM(P262:P271)</f>
        <v>0</v>
      </c>
      <c r="Q272" s="316">
        <f>SUM(Q262:Q271)</f>
        <v>0</v>
      </c>
      <c r="R272" s="316">
        <f>SUM(R262:R271)</f>
        <v>0</v>
      </c>
      <c r="S272" s="147"/>
      <c r="T272" s="316">
        <f>SUM(T262:T271)</f>
        <v>0</v>
      </c>
      <c r="U272" s="316">
        <f t="shared" ref="U272:AE272" si="98">SUM(U262:U271)</f>
        <v>0</v>
      </c>
      <c r="V272" s="316">
        <f t="shared" si="98"/>
        <v>0</v>
      </c>
      <c r="W272" s="316">
        <f t="shared" si="98"/>
        <v>0</v>
      </c>
      <c r="X272" s="316">
        <f t="shared" si="98"/>
        <v>0</v>
      </c>
      <c r="Y272" s="316">
        <f t="shared" si="98"/>
        <v>0</v>
      </c>
      <c r="Z272" s="316">
        <f t="shared" si="98"/>
        <v>0</v>
      </c>
      <c r="AA272" s="316">
        <f t="shared" si="98"/>
        <v>0</v>
      </c>
      <c r="AB272" s="316">
        <f t="shared" si="98"/>
        <v>0</v>
      </c>
      <c r="AC272" s="316">
        <f t="shared" si="98"/>
        <v>0</v>
      </c>
      <c r="AD272" s="316">
        <f t="shared" si="98"/>
        <v>0</v>
      </c>
      <c r="AE272" s="316">
        <f t="shared" si="98"/>
        <v>0</v>
      </c>
      <c r="AF272" s="316">
        <f t="shared" ref="AF272:AG272" si="99">SUM(AF262:AF271)</f>
        <v>0</v>
      </c>
      <c r="AG272" s="316">
        <f t="shared" si="99"/>
        <v>0</v>
      </c>
    </row>
    <row r="273" spans="1:35">
      <c r="A273" s="328"/>
      <c r="B273" s="254"/>
      <c r="C273" s="254"/>
      <c r="D273" s="254"/>
      <c r="E273" s="254"/>
      <c r="F273" s="254"/>
      <c r="J273" s="622"/>
      <c r="K273" s="311"/>
      <c r="L273" s="304"/>
      <c r="M273" s="304"/>
      <c r="N273" s="277"/>
      <c r="O273" s="277"/>
      <c r="P273" s="277"/>
      <c r="Q273" s="277"/>
      <c r="R273" s="277"/>
      <c r="S273" s="292"/>
      <c r="T273" s="277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</row>
    <row r="274" spans="1:35">
      <c r="A274" s="50"/>
      <c r="B274" s="78"/>
      <c r="C274" s="78"/>
      <c r="D274" s="78"/>
      <c r="E274" s="78"/>
      <c r="F274" s="305" t="s">
        <v>239</v>
      </c>
      <c r="G274" s="236"/>
      <c r="H274" s="605"/>
      <c r="I274" s="236"/>
      <c r="J274" s="632"/>
      <c r="K274" s="237"/>
      <c r="L274" s="238"/>
      <c r="M274" s="229"/>
      <c r="N274" s="316">
        <f>+N254+N272</f>
        <v>-36391460</v>
      </c>
      <c r="O274" s="316">
        <f>+O254+O272</f>
        <v>-36177458</v>
      </c>
      <c r="P274" s="316">
        <f>+P254+P272</f>
        <v>-36088165</v>
      </c>
      <c r="Q274" s="316">
        <f>+Q254+Q272</f>
        <v>-36347749</v>
      </c>
      <c r="R274" s="316">
        <f>+R254+R272</f>
        <v>-35102502</v>
      </c>
      <c r="S274" s="147"/>
      <c r="T274" s="316">
        <f>+T254+T272</f>
        <v>-35860814.659999996</v>
      </c>
      <c r="U274" s="316">
        <f>+U254+U272</f>
        <v>-34998258.589999996</v>
      </c>
      <c r="V274" s="316">
        <f>+V254+V272</f>
        <v>-35603263</v>
      </c>
      <c r="W274" s="316">
        <f t="shared" ref="W274:AE274" si="100">+W254+W272</f>
        <v>-36014771</v>
      </c>
      <c r="X274" s="316">
        <f t="shared" si="100"/>
        <v>-36803492.867852688</v>
      </c>
      <c r="Y274" s="316">
        <f t="shared" si="100"/>
        <v>-37218413.616160303</v>
      </c>
      <c r="Z274" s="316">
        <f t="shared" si="100"/>
        <v>-37666058.170063064</v>
      </c>
      <c r="AA274" s="316">
        <f t="shared" si="100"/>
        <v>-38215617.501359455</v>
      </c>
      <c r="AB274" s="316">
        <f t="shared" si="100"/>
        <v>-38832666.216478758</v>
      </c>
      <c r="AC274" s="316">
        <f t="shared" si="100"/>
        <v>-39532314.120907888</v>
      </c>
      <c r="AD274" s="316">
        <f t="shared" si="100"/>
        <v>-40180479.300139956</v>
      </c>
      <c r="AE274" s="316">
        <f t="shared" si="100"/>
        <v>-40840605.230303638</v>
      </c>
      <c r="AF274" s="316">
        <f t="shared" ref="AF274:AG274" si="101">+AF254+AF272</f>
        <v>-41534036.74004706</v>
      </c>
      <c r="AG274" s="316">
        <f t="shared" si="101"/>
        <v>-42249646.300464816</v>
      </c>
    </row>
    <row r="275" spans="1:35">
      <c r="A275" s="50"/>
      <c r="B275" s="95"/>
      <c r="C275" s="95"/>
      <c r="D275" s="95"/>
      <c r="E275" s="95"/>
      <c r="F275" s="77" t="s">
        <v>240</v>
      </c>
      <c r="L275" s="229"/>
      <c r="M275" s="229"/>
      <c r="N275" s="74">
        <f>N274-SUMIF($L$174:$L$271,"NC",N$174:N$271)</f>
        <v>-36391460</v>
      </c>
      <c r="O275" s="74">
        <f>O274-SUMIF($L$174:$L$271,"NC",O$174:O$271)</f>
        <v>-36177458</v>
      </c>
      <c r="P275" s="74">
        <f>P274-SUMIF($L$174:$L$271,"NC",P$174:P$271)</f>
        <v>-36088165</v>
      </c>
      <c r="Q275" s="74">
        <f>Q274-SUMIF($L$174:$L$271,"NC",Q$174:Q$271)</f>
        <v>-36347749</v>
      </c>
      <c r="R275" s="74">
        <f>R274-SUMIF($L$174:$L$271,"NC",R$174:R$271)</f>
        <v>-35102502</v>
      </c>
      <c r="S275" s="147"/>
      <c r="T275" s="74">
        <f t="shared" ref="T275:AE275" si="102">T274-SUMIF($L$174:$L$271,"NC",T$174:T$271)</f>
        <v>-35860814.659999996</v>
      </c>
      <c r="U275" s="74">
        <f t="shared" si="102"/>
        <v>-34998258.589999996</v>
      </c>
      <c r="V275" s="74">
        <f t="shared" si="102"/>
        <v>-35603263</v>
      </c>
      <c r="W275" s="74">
        <f t="shared" si="102"/>
        <v>-36014771</v>
      </c>
      <c r="X275" s="74">
        <f t="shared" si="102"/>
        <v>-36803492.867852688</v>
      </c>
      <c r="Y275" s="74">
        <f t="shared" si="102"/>
        <v>-37218413.616160303</v>
      </c>
      <c r="Z275" s="74">
        <f t="shared" si="102"/>
        <v>-37666058.170063064</v>
      </c>
      <c r="AA275" s="74">
        <f t="shared" si="102"/>
        <v>-38215617.501359455</v>
      </c>
      <c r="AB275" s="74">
        <f t="shared" si="102"/>
        <v>-38832666.216478758</v>
      </c>
      <c r="AC275" s="74">
        <f t="shared" si="102"/>
        <v>-39532314.120907888</v>
      </c>
      <c r="AD275" s="74">
        <f t="shared" si="102"/>
        <v>-40180479.300139956</v>
      </c>
      <c r="AE275" s="74">
        <f t="shared" si="102"/>
        <v>-40840605.230303638</v>
      </c>
      <c r="AF275" s="74">
        <f t="shared" ref="AF275:AG275" si="103">AF274-SUMIF($L$174:$L$271,"NC",AF$174:AF$271)</f>
        <v>-41534036.74004706</v>
      </c>
      <c r="AG275" s="74">
        <f t="shared" si="103"/>
        <v>-42249646.300464816</v>
      </c>
    </row>
    <row r="276" spans="1:35" s="52" customFormat="1">
      <c r="A276" s="328"/>
      <c r="B276" s="254"/>
      <c r="C276" s="254"/>
      <c r="D276" s="254"/>
      <c r="E276" s="254"/>
      <c r="F276" s="76"/>
      <c r="J276" s="436"/>
      <c r="K276" s="254"/>
      <c r="L276" s="254"/>
      <c r="M276" s="229"/>
      <c r="N276" s="277"/>
      <c r="O276" s="277"/>
      <c r="P276" s="277"/>
      <c r="Q276" s="277"/>
      <c r="R276" s="277"/>
      <c r="S276" s="292"/>
      <c r="T276" s="379"/>
      <c r="U276" s="379"/>
      <c r="V276" s="379"/>
      <c r="W276" s="379"/>
      <c r="X276" s="379"/>
      <c r="Y276" s="379"/>
      <c r="Z276" s="379"/>
      <c r="AA276" s="379"/>
      <c r="AB276" s="379"/>
      <c r="AC276" s="379"/>
      <c r="AD276" s="379"/>
      <c r="AE276" s="379"/>
      <c r="AF276" s="379"/>
      <c r="AG276" s="379"/>
      <c r="AH276" s="77"/>
      <c r="AI276" s="77"/>
    </row>
    <row r="277" spans="1:35">
      <c r="A277" s="77" t="s">
        <v>241</v>
      </c>
      <c r="B277" s="57"/>
      <c r="C277" s="57"/>
      <c r="D277" s="57"/>
      <c r="E277" s="57"/>
      <c r="F277" s="57"/>
      <c r="L277" s="229"/>
      <c r="M277" s="229"/>
      <c r="R277" s="59"/>
      <c r="S277" s="188"/>
      <c r="T277" s="59"/>
    </row>
    <row r="278" spans="1:35" outlineLevel="1">
      <c r="A278" s="50"/>
      <c r="B278" s="162"/>
      <c r="C278" s="162"/>
      <c r="D278" s="214"/>
      <c r="E278" s="214"/>
      <c r="F278" s="214"/>
      <c r="J278" s="621"/>
      <c r="K278" s="550"/>
      <c r="L278" s="229"/>
      <c r="M278" s="229"/>
      <c r="N278" s="439"/>
      <c r="O278" s="439"/>
      <c r="P278" s="439"/>
      <c r="Q278" s="217"/>
      <c r="R278" s="217"/>
      <c r="T278" s="242"/>
      <c r="U278" s="242"/>
      <c r="V278" s="242"/>
      <c r="W278" s="242"/>
      <c r="X278" s="242"/>
      <c r="Y278" s="242"/>
      <c r="Z278" s="242"/>
      <c r="AA278" s="242"/>
      <c r="AB278" s="242"/>
      <c r="AC278" s="242"/>
      <c r="AD278" s="242"/>
      <c r="AE278" s="242"/>
      <c r="AF278" s="242"/>
      <c r="AG278" s="242"/>
    </row>
    <row r="279" spans="1:35" outlineLevel="1">
      <c r="A279" s="50"/>
      <c r="B279" s="162"/>
      <c r="J279" s="622"/>
      <c r="K279" s="311"/>
      <c r="L279" s="304"/>
      <c r="M279" s="304"/>
      <c r="N279" s="217"/>
      <c r="O279" s="217"/>
      <c r="P279" s="217"/>
      <c r="Q279" s="242"/>
      <c r="R279" s="242"/>
      <c r="S279" s="188"/>
      <c r="T279" s="217"/>
      <c r="U279" s="217"/>
      <c r="V279" s="217"/>
      <c r="W279" s="217"/>
      <c r="X279" s="217"/>
      <c r="Y279" s="217"/>
      <c r="Z279" s="217"/>
      <c r="AA279" s="217"/>
      <c r="AB279" s="217"/>
      <c r="AC279" s="217"/>
      <c r="AD279" s="217"/>
      <c r="AE279" s="217"/>
      <c r="AF279" s="217"/>
      <c r="AG279" s="217"/>
    </row>
    <row r="280" spans="1:35" outlineLevel="1">
      <c r="A280" s="50"/>
      <c r="B280" s="162"/>
      <c r="J280" s="621"/>
      <c r="K280" s="187"/>
      <c r="L280" s="303"/>
      <c r="M280" s="304"/>
      <c r="N280" s="439"/>
      <c r="O280" s="439"/>
      <c r="P280" s="439"/>
      <c r="Q280" s="439"/>
      <c r="R280" s="242"/>
      <c r="S280" s="188"/>
      <c r="T280" s="242"/>
      <c r="U280" s="242"/>
      <c r="V280" s="242"/>
      <c r="W280" s="242"/>
      <c r="X280" s="242"/>
      <c r="Y280" s="242"/>
      <c r="Z280" s="242"/>
      <c r="AA280" s="242"/>
      <c r="AB280" s="242"/>
      <c r="AC280" s="242"/>
      <c r="AD280" s="242"/>
      <c r="AE280" s="242"/>
      <c r="AF280" s="242"/>
      <c r="AG280" s="242"/>
    </row>
    <row r="281" spans="1:35" s="57" customFormat="1">
      <c r="B281" s="78"/>
      <c r="C281" s="78"/>
      <c r="D281" s="78"/>
      <c r="E281" s="78"/>
      <c r="F281" s="305" t="s">
        <v>242</v>
      </c>
      <c r="G281" s="306"/>
      <c r="H281" s="601"/>
      <c r="I281" s="306"/>
      <c r="J281" s="618"/>
      <c r="K281" s="78"/>
      <c r="L281" s="315"/>
      <c r="M281" s="231"/>
      <c r="N281" s="176">
        <f>++N279+N280</f>
        <v>0</v>
      </c>
      <c r="O281" s="176">
        <f>+O278+O279+O280</f>
        <v>0</v>
      </c>
      <c r="P281" s="176">
        <f>+P278+P279+P280</f>
        <v>0</v>
      </c>
      <c r="Q281" s="176">
        <f>+Q278+Q279+Q280</f>
        <v>0</v>
      </c>
      <c r="R281" s="176">
        <f>+R278+R279+R280</f>
        <v>0</v>
      </c>
      <c r="S281" s="177"/>
      <c r="T281" s="176">
        <f>+T278+T279+T280</f>
        <v>0</v>
      </c>
      <c r="U281" s="176">
        <f t="shared" ref="U281:AE281" si="104">+U278+U279+U280</f>
        <v>0</v>
      </c>
      <c r="V281" s="176">
        <f t="shared" si="104"/>
        <v>0</v>
      </c>
      <c r="W281" s="176">
        <f>+W278+W279+W280</f>
        <v>0</v>
      </c>
      <c r="X281" s="176">
        <f t="shared" si="104"/>
        <v>0</v>
      </c>
      <c r="Y281" s="176">
        <f t="shared" si="104"/>
        <v>0</v>
      </c>
      <c r="Z281" s="176">
        <f t="shared" si="104"/>
        <v>0</v>
      </c>
      <c r="AA281" s="176">
        <f t="shared" si="104"/>
        <v>0</v>
      </c>
      <c r="AB281" s="176">
        <f t="shared" si="104"/>
        <v>0</v>
      </c>
      <c r="AC281" s="176">
        <f t="shared" si="104"/>
        <v>0</v>
      </c>
      <c r="AD281" s="176">
        <f t="shared" si="104"/>
        <v>0</v>
      </c>
      <c r="AE281" s="176">
        <f t="shared" si="104"/>
        <v>0</v>
      </c>
      <c r="AF281" s="176">
        <f t="shared" ref="AF281:AG281" si="105">+AF278+AF279+AF280</f>
        <v>0</v>
      </c>
      <c r="AG281" s="176">
        <f t="shared" si="105"/>
        <v>0</v>
      </c>
      <c r="AH281" s="77"/>
      <c r="AI281" s="77"/>
    </row>
    <row r="282" spans="1:35" s="57" customFormat="1">
      <c r="B282" s="95"/>
      <c r="C282" s="95"/>
      <c r="D282" s="95"/>
      <c r="E282" s="95"/>
      <c r="F282" s="77" t="s">
        <v>243</v>
      </c>
      <c r="G282" s="56"/>
      <c r="H282" s="51"/>
      <c r="I282" s="56"/>
      <c r="J282" s="451"/>
      <c r="K282" s="95"/>
      <c r="L282" s="231"/>
      <c r="M282" s="231"/>
      <c r="N282" s="63">
        <f>N281-SUMIF($L$278:$L$280,"NC",N$278:N$280)</f>
        <v>0</v>
      </c>
      <c r="O282" s="63">
        <f>O281-SUMIF($L$278:$L$280,"NC",O$278:O$280)</f>
        <v>0</v>
      </c>
      <c r="P282" s="63">
        <f>P281-SUMIF($L$278:$L$280,"NC",P$278:P$280)</f>
        <v>0</v>
      </c>
      <c r="Q282" s="63">
        <f ca="1">Q281-SUMIF($L$278:$L$280,"NC",Q$279:Q$280)</f>
        <v>0</v>
      </c>
      <c r="R282" s="63">
        <f ca="1">R281-SUMIF($L$278:$L$280,"NC",R$279:R$280)</f>
        <v>0</v>
      </c>
      <c r="S282" s="177"/>
      <c r="T282" s="63">
        <f ca="1">T281-SUMIF($L$278:$L$280,"NC",T$279:T$280)</f>
        <v>0</v>
      </c>
      <c r="U282" s="63">
        <f t="shared" ref="U282:AE282" si="106">U281-SUMIF($L$278:$L$280,"NC",U$278:U$280)</f>
        <v>0</v>
      </c>
      <c r="V282" s="63">
        <f t="shared" si="106"/>
        <v>0</v>
      </c>
      <c r="W282" s="63">
        <f t="shared" si="106"/>
        <v>0</v>
      </c>
      <c r="X282" s="63">
        <f t="shared" si="106"/>
        <v>0</v>
      </c>
      <c r="Y282" s="63">
        <f t="shared" si="106"/>
        <v>0</v>
      </c>
      <c r="Z282" s="63">
        <f t="shared" si="106"/>
        <v>0</v>
      </c>
      <c r="AA282" s="63">
        <f t="shared" si="106"/>
        <v>0</v>
      </c>
      <c r="AB282" s="63">
        <f t="shared" si="106"/>
        <v>0</v>
      </c>
      <c r="AC282" s="63">
        <f t="shared" si="106"/>
        <v>0</v>
      </c>
      <c r="AD282" s="63">
        <f t="shared" si="106"/>
        <v>0</v>
      </c>
      <c r="AE282" s="63">
        <f t="shared" si="106"/>
        <v>0</v>
      </c>
      <c r="AF282" s="63">
        <f t="shared" ref="AF282:AG282" si="107">AF281-SUMIF($L$278:$L$280,"NC",AF$278:AF$280)</f>
        <v>0</v>
      </c>
      <c r="AG282" s="63">
        <f t="shared" si="107"/>
        <v>0</v>
      </c>
      <c r="AH282" s="77"/>
      <c r="AI282" s="77"/>
    </row>
    <row r="283" spans="1:35">
      <c r="A283" s="50"/>
      <c r="F283" s="162"/>
      <c r="L283" s="229"/>
      <c r="M283" s="229"/>
    </row>
    <row r="284" spans="1:35" s="57" customFormat="1" ht="15" thickBot="1">
      <c r="B284" s="329"/>
      <c r="C284" s="329"/>
      <c r="D284" s="329"/>
      <c r="E284" s="329"/>
      <c r="F284" s="330" t="s">
        <v>244</v>
      </c>
      <c r="G284" s="331"/>
      <c r="H284" s="603"/>
      <c r="I284" s="331"/>
      <c r="J284" s="619"/>
      <c r="K284" s="329"/>
      <c r="L284" s="332"/>
      <c r="M284" s="231"/>
      <c r="N284" s="75">
        <f>+N166+N274+N281</f>
        <v>0</v>
      </c>
      <c r="O284" s="75">
        <f>+O166+O274+O281</f>
        <v>0</v>
      </c>
      <c r="P284" s="75">
        <f>+P166+P274+P281</f>
        <v>-150000</v>
      </c>
      <c r="Q284" s="75">
        <f>+Q166+Q274+Q281</f>
        <v>-150000</v>
      </c>
      <c r="R284" s="75">
        <f>+R166+R274+R281</f>
        <v>-150000</v>
      </c>
      <c r="S284" s="147"/>
      <c r="T284" s="75">
        <f>+T166+T274+T281</f>
        <v>279395.34000000358</v>
      </c>
      <c r="U284" s="75">
        <f t="shared" ref="U284:AE284" si="108">U166+U274+U281</f>
        <v>1589264.4100000039</v>
      </c>
      <c r="V284" s="75">
        <f t="shared" si="108"/>
        <v>90442</v>
      </c>
      <c r="W284" s="75">
        <f t="shared" si="108"/>
        <v>-447752</v>
      </c>
      <c r="X284" s="75">
        <f t="shared" si="108"/>
        <v>-889210.77777268738</v>
      </c>
      <c r="Y284" s="75">
        <f t="shared" si="108"/>
        <v>-548072.58014121652</v>
      </c>
      <c r="Z284" s="75">
        <f t="shared" si="108"/>
        <v>-431541.54329034686</v>
      </c>
      <c r="AA284" s="75">
        <f t="shared" si="108"/>
        <v>-113552.94390321523</v>
      </c>
      <c r="AB284" s="75">
        <f t="shared" si="108"/>
        <v>165185.10051047057</v>
      </c>
      <c r="AC284" s="75">
        <f t="shared" si="108"/>
        <v>387834.55770196021</v>
      </c>
      <c r="AD284" s="75">
        <f t="shared" si="108"/>
        <v>169194.80181706697</v>
      </c>
      <c r="AE284" s="75">
        <f t="shared" si="108"/>
        <v>-89127.948022484779</v>
      </c>
      <c r="AF284" s="75">
        <f t="shared" ref="AF284:AG284" si="109">AF166+AF274+AF281</f>
        <v>-391145.41478390247</v>
      </c>
      <c r="AG284" s="75">
        <f t="shared" si="109"/>
        <v>-714990.1054745689</v>
      </c>
      <c r="AH284" s="77"/>
      <c r="AI284" s="77"/>
    </row>
    <row r="285" spans="1:35" s="57" customFormat="1" ht="15" thickTop="1">
      <c r="B285" s="95"/>
      <c r="C285" s="95"/>
      <c r="D285" s="95"/>
      <c r="E285" s="95"/>
      <c r="F285" s="305"/>
      <c r="G285" s="56"/>
      <c r="H285" s="51"/>
      <c r="I285" s="56"/>
      <c r="J285" s="451"/>
      <c r="K285" s="95"/>
      <c r="L285" s="231"/>
      <c r="M285" s="231"/>
      <c r="N285" s="74"/>
      <c r="O285" s="74"/>
      <c r="P285" s="74"/>
      <c r="Q285" s="74"/>
      <c r="R285" s="74"/>
      <c r="S285" s="147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7"/>
      <c r="AI285" s="77"/>
    </row>
    <row r="286" spans="1:35" ht="15" thickBot="1">
      <c r="A286" s="50"/>
      <c r="B286" s="329"/>
      <c r="C286" s="329"/>
      <c r="D286" s="329"/>
      <c r="E286" s="329"/>
      <c r="F286" s="330" t="s">
        <v>245</v>
      </c>
      <c r="G286" s="273"/>
      <c r="H286" s="608"/>
      <c r="I286" s="273"/>
      <c r="J286" s="633"/>
      <c r="K286" s="274"/>
      <c r="L286" s="275"/>
      <c r="M286" s="229"/>
      <c r="N286" s="75">
        <f>+N167+N275+N282</f>
        <v>0</v>
      </c>
      <c r="O286" s="75">
        <f>+O167+O275+O282</f>
        <v>0</v>
      </c>
      <c r="P286" s="75">
        <f>+P167+P275+P282</f>
        <v>-150000</v>
      </c>
      <c r="Q286" s="75">
        <f ca="1">+Q167+Q275+Q282</f>
        <v>-150000</v>
      </c>
      <c r="R286" s="75">
        <f ca="1">+R167+R275+R282</f>
        <v>-150000</v>
      </c>
      <c r="S286" s="147"/>
      <c r="T286" s="75">
        <f t="shared" ref="T286:AE286" ca="1" si="110">+T167+T275+T282</f>
        <v>279395.34000000358</v>
      </c>
      <c r="U286" s="75">
        <f t="shared" si="110"/>
        <v>1589264.4100000039</v>
      </c>
      <c r="V286" s="75">
        <f t="shared" si="110"/>
        <v>90442</v>
      </c>
      <c r="W286" s="75">
        <f t="shared" si="110"/>
        <v>-447752</v>
      </c>
      <c r="X286" s="75">
        <f t="shared" si="110"/>
        <v>-889210.77777268738</v>
      </c>
      <c r="Y286" s="75">
        <f t="shared" si="110"/>
        <v>-548072.58014121652</v>
      </c>
      <c r="Z286" s="75">
        <f t="shared" si="110"/>
        <v>-431541.54329034686</v>
      </c>
      <c r="AA286" s="75">
        <f t="shared" si="110"/>
        <v>-113552.94390321523</v>
      </c>
      <c r="AB286" s="75">
        <f t="shared" si="110"/>
        <v>165185.10051047057</v>
      </c>
      <c r="AC286" s="75">
        <f t="shared" si="110"/>
        <v>387834.55770196021</v>
      </c>
      <c r="AD286" s="75">
        <f t="shared" si="110"/>
        <v>169194.80181706697</v>
      </c>
      <c r="AE286" s="75">
        <f t="shared" si="110"/>
        <v>-89127.948022484779</v>
      </c>
      <c r="AF286" s="75">
        <f t="shared" ref="AF286:AG286" si="111">+AF167+AF275+AF282</f>
        <v>-391145.41478390247</v>
      </c>
      <c r="AG286" s="75">
        <f t="shared" si="111"/>
        <v>-714990.1054745689</v>
      </c>
    </row>
    <row r="287" spans="1:35" ht="15" thickTop="1">
      <c r="A287" s="50"/>
      <c r="B287" s="95"/>
      <c r="C287" s="95"/>
      <c r="D287" s="95"/>
      <c r="E287" s="95"/>
      <c r="F287" s="51"/>
      <c r="G287" s="52"/>
      <c r="I287" s="52"/>
      <c r="K287" s="254"/>
      <c r="L287" s="255"/>
      <c r="M287" s="255"/>
      <c r="N287" s="574"/>
      <c r="O287" s="574"/>
      <c r="P287" s="574"/>
      <c r="Q287" s="574"/>
      <c r="R287" s="574"/>
      <c r="S287" s="575"/>
      <c r="T287" s="574"/>
      <c r="U287" s="574"/>
      <c r="V287" s="574"/>
      <c r="W287" s="574"/>
      <c r="X287" s="574"/>
      <c r="Y287" s="574"/>
      <c r="Z287" s="574"/>
      <c r="AA287" s="574"/>
      <c r="AB287" s="574"/>
      <c r="AC287" s="574"/>
      <c r="AD287" s="574"/>
      <c r="AE287" s="574"/>
      <c r="AF287" s="574"/>
      <c r="AG287" s="574"/>
    </row>
    <row r="288" spans="1:35">
      <c r="A288" s="295" t="s">
        <v>246</v>
      </c>
      <c r="B288" s="296"/>
      <c r="C288" s="296"/>
      <c r="D288" s="296"/>
      <c r="E288" s="296"/>
      <c r="F288" s="296"/>
      <c r="G288" s="297"/>
      <c r="H288" s="604"/>
      <c r="I288" s="297"/>
      <c r="J288" s="623"/>
      <c r="K288" s="298"/>
      <c r="L288" s="299"/>
      <c r="M288" s="300"/>
      <c r="N288" s="297"/>
      <c r="O288" s="297"/>
      <c r="P288" s="297"/>
      <c r="Q288" s="297"/>
      <c r="R288" s="297"/>
      <c r="S288" s="301"/>
      <c r="T288" s="297"/>
      <c r="U288" s="297"/>
      <c r="V288" s="297"/>
      <c r="W288" s="297"/>
      <c r="X288" s="297"/>
      <c r="Y288" s="297"/>
      <c r="Z288" s="297"/>
      <c r="AA288" s="297"/>
      <c r="AB288" s="297"/>
      <c r="AC288" s="297"/>
      <c r="AD288" s="297"/>
      <c r="AE288" s="297"/>
      <c r="AF288" s="297"/>
      <c r="AG288" s="297"/>
    </row>
    <row r="290" spans="1:35">
      <c r="A290" s="440" t="s">
        <v>247</v>
      </c>
      <c r="B290" s="441"/>
      <c r="C290" s="441"/>
      <c r="D290" s="441"/>
      <c r="E290" s="441"/>
      <c r="F290" s="441"/>
      <c r="G290" s="442"/>
      <c r="H290" s="609"/>
      <c r="I290" s="442"/>
      <c r="J290" s="634"/>
      <c r="K290" s="443"/>
      <c r="L290" s="442"/>
      <c r="N290" s="444"/>
      <c r="O290" s="444"/>
      <c r="P290" s="444"/>
      <c r="Q290" s="444"/>
      <c r="R290" s="444"/>
      <c r="T290" s="444"/>
      <c r="U290" s="444"/>
      <c r="V290" s="444"/>
      <c r="W290" s="444"/>
      <c r="X290" s="444"/>
      <c r="Y290" s="444"/>
      <c r="Z290" s="444"/>
      <c r="AA290" s="444"/>
      <c r="AB290" s="444"/>
      <c r="AC290" s="444"/>
      <c r="AD290" s="444"/>
      <c r="AE290" s="444"/>
      <c r="AF290" s="444"/>
      <c r="AG290" s="444"/>
    </row>
    <row r="291" spans="1:35" outlineLevel="1">
      <c r="B291" s="162" t="s">
        <v>500</v>
      </c>
      <c r="N291" s="216">
        <f t="shared" ref="N291:R292" si="112">+N143</f>
        <v>15100000</v>
      </c>
      <c r="O291" s="216">
        <f t="shared" si="112"/>
        <v>15100000</v>
      </c>
      <c r="P291" s="216">
        <f t="shared" si="112"/>
        <v>15100000</v>
      </c>
      <c r="Q291" s="216">
        <f t="shared" si="112"/>
        <v>15100000</v>
      </c>
      <c r="R291" s="216">
        <f t="shared" si="112"/>
        <v>15100000</v>
      </c>
      <c r="S291" s="179"/>
      <c r="T291" s="216">
        <f t="shared" ref="T291:AG291" si="113">+T143</f>
        <v>15100000</v>
      </c>
      <c r="U291" s="216">
        <f t="shared" si="113"/>
        <v>15100000</v>
      </c>
      <c r="V291" s="216">
        <f t="shared" si="113"/>
        <v>15100000</v>
      </c>
      <c r="W291" s="216">
        <f t="shared" si="113"/>
        <v>15100000</v>
      </c>
      <c r="X291" s="216">
        <f t="shared" si="113"/>
        <v>15100000</v>
      </c>
      <c r="Y291" s="216">
        <f t="shared" si="113"/>
        <v>15100000</v>
      </c>
      <c r="Z291" s="216">
        <f t="shared" si="113"/>
        <v>15100000</v>
      </c>
      <c r="AA291" s="216">
        <f t="shared" si="113"/>
        <v>15100000</v>
      </c>
      <c r="AB291" s="216">
        <f t="shared" si="113"/>
        <v>15100000</v>
      </c>
      <c r="AC291" s="216">
        <f t="shared" si="113"/>
        <v>15100000</v>
      </c>
      <c r="AD291" s="216">
        <f t="shared" si="113"/>
        <v>15100000</v>
      </c>
      <c r="AE291" s="216">
        <f t="shared" si="113"/>
        <v>15100000</v>
      </c>
      <c r="AF291" s="216">
        <f t="shared" si="113"/>
        <v>15100000</v>
      </c>
      <c r="AG291" s="216">
        <f t="shared" si="113"/>
        <v>15100000</v>
      </c>
    </row>
    <row r="292" spans="1:35" outlineLevel="1">
      <c r="B292" s="162" t="s">
        <v>248</v>
      </c>
      <c r="N292" s="216">
        <f t="shared" si="112"/>
        <v>2469659</v>
      </c>
      <c r="O292" s="216">
        <f t="shared" si="112"/>
        <v>2370872</v>
      </c>
      <c r="P292" s="216">
        <f t="shared" si="112"/>
        <v>2370872</v>
      </c>
      <c r="Q292" s="216">
        <f t="shared" si="112"/>
        <v>3141574</v>
      </c>
      <c r="R292" s="216">
        <f t="shared" si="112"/>
        <v>2741574</v>
      </c>
      <c r="S292" s="179"/>
      <c r="T292" s="216">
        <f t="shared" ref="T292:AG292" si="114">+T144</f>
        <v>3741574</v>
      </c>
      <c r="U292" s="216">
        <f t="shared" si="114"/>
        <v>3741574</v>
      </c>
      <c r="V292" s="216">
        <f t="shared" si="114"/>
        <v>3037879</v>
      </c>
      <c r="W292" s="216">
        <f t="shared" si="114"/>
        <v>3018899</v>
      </c>
      <c r="X292" s="216">
        <f t="shared" si="114"/>
        <v>3266000</v>
      </c>
      <c r="Y292" s="216">
        <f t="shared" si="114"/>
        <v>3342000</v>
      </c>
      <c r="Z292" s="216">
        <f t="shared" si="114"/>
        <v>3209000</v>
      </c>
      <c r="AA292" s="216">
        <f t="shared" si="114"/>
        <v>3272000</v>
      </c>
      <c r="AB292" s="216">
        <f t="shared" si="114"/>
        <v>3274000</v>
      </c>
      <c r="AC292" s="216">
        <f t="shared" si="114"/>
        <v>3252000</v>
      </c>
      <c r="AD292" s="216">
        <f t="shared" si="114"/>
        <v>3266000</v>
      </c>
      <c r="AE292" s="216">
        <f t="shared" si="114"/>
        <v>3264000</v>
      </c>
      <c r="AF292" s="216">
        <f t="shared" si="114"/>
        <v>3261000</v>
      </c>
      <c r="AG292" s="216">
        <f t="shared" si="114"/>
        <v>3264000</v>
      </c>
    </row>
    <row r="293" spans="1:35" outlineLevel="1">
      <c r="B293" s="162" t="s">
        <v>249</v>
      </c>
      <c r="N293" s="216">
        <f>+N145+N279+N280</f>
        <v>0</v>
      </c>
      <c r="O293" s="216">
        <f>+O145+O279+O280</f>
        <v>0</v>
      </c>
      <c r="P293" s="216">
        <f>+P145+P279+P280</f>
        <v>0</v>
      </c>
      <c r="Q293" s="216">
        <f>+Q145+Q279+Q280</f>
        <v>0</v>
      </c>
      <c r="R293" s="216">
        <f>+R145+R279+R280</f>
        <v>0</v>
      </c>
      <c r="S293" s="179"/>
      <c r="T293" s="216">
        <f t="shared" ref="T293:AG293" si="115">+T145+T279+T280</f>
        <v>0</v>
      </c>
      <c r="U293" s="216">
        <f t="shared" si="115"/>
        <v>0</v>
      </c>
      <c r="V293" s="216">
        <f t="shared" si="115"/>
        <v>0</v>
      </c>
      <c r="W293" s="216">
        <f t="shared" si="115"/>
        <v>0</v>
      </c>
      <c r="X293" s="216">
        <f t="shared" si="115"/>
        <v>0</v>
      </c>
      <c r="Y293" s="216">
        <f t="shared" si="115"/>
        <v>0</v>
      </c>
      <c r="Z293" s="216">
        <f t="shared" si="115"/>
        <v>0</v>
      </c>
      <c r="AA293" s="216">
        <f t="shared" si="115"/>
        <v>0</v>
      </c>
      <c r="AB293" s="216">
        <f t="shared" si="115"/>
        <v>0</v>
      </c>
      <c r="AC293" s="216">
        <f t="shared" si="115"/>
        <v>0</v>
      </c>
      <c r="AD293" s="216">
        <f t="shared" si="115"/>
        <v>0</v>
      </c>
      <c r="AE293" s="216">
        <f t="shared" si="115"/>
        <v>0</v>
      </c>
      <c r="AF293" s="216">
        <f t="shared" si="115"/>
        <v>0</v>
      </c>
      <c r="AG293" s="216">
        <f t="shared" si="115"/>
        <v>0</v>
      </c>
    </row>
    <row r="294" spans="1:35" outlineLevel="1">
      <c r="B294" s="162" t="s">
        <v>160</v>
      </c>
      <c r="N294" s="216">
        <f>+N154</f>
        <v>0</v>
      </c>
      <c r="O294" s="216">
        <f>+O154</f>
        <v>0</v>
      </c>
      <c r="P294" s="216">
        <f>+P154</f>
        <v>0</v>
      </c>
      <c r="Q294" s="216">
        <f>+Q154</f>
        <v>0</v>
      </c>
      <c r="R294" s="216">
        <f>+R154</f>
        <v>0</v>
      </c>
      <c r="S294" s="179"/>
      <c r="T294" s="216">
        <f t="shared" ref="T294:AG294" si="116">+T154</f>
        <v>0</v>
      </c>
      <c r="U294" s="216">
        <f t="shared" si="116"/>
        <v>0</v>
      </c>
      <c r="V294" s="216">
        <f t="shared" si="116"/>
        <v>0</v>
      </c>
      <c r="W294" s="216">
        <f t="shared" si="116"/>
        <v>0</v>
      </c>
      <c r="X294" s="216">
        <f t="shared" si="116"/>
        <v>0</v>
      </c>
      <c r="Y294" s="216">
        <f t="shared" si="116"/>
        <v>0</v>
      </c>
      <c r="Z294" s="216">
        <f t="shared" si="116"/>
        <v>0</v>
      </c>
      <c r="AA294" s="216">
        <f t="shared" si="116"/>
        <v>0</v>
      </c>
      <c r="AB294" s="216">
        <f t="shared" si="116"/>
        <v>0</v>
      </c>
      <c r="AC294" s="216">
        <f t="shared" si="116"/>
        <v>0</v>
      </c>
      <c r="AD294" s="216">
        <f t="shared" si="116"/>
        <v>0</v>
      </c>
      <c r="AE294" s="216">
        <f t="shared" si="116"/>
        <v>0</v>
      </c>
      <c r="AF294" s="216">
        <f t="shared" si="116"/>
        <v>0</v>
      </c>
      <c r="AG294" s="216">
        <f t="shared" si="116"/>
        <v>0</v>
      </c>
    </row>
    <row r="295" spans="1:35" outlineLevel="1">
      <c r="B295" s="162" t="s">
        <v>164</v>
      </c>
      <c r="N295" s="216">
        <f>+N164+N146+N147-N302</f>
        <v>0</v>
      </c>
      <c r="O295" s="216">
        <f>+O164+O146+O147-O302</f>
        <v>0</v>
      </c>
      <c r="P295" s="216">
        <f>+P164+P146+P147-P302</f>
        <v>-63480</v>
      </c>
      <c r="Q295" s="216">
        <f>+Q164+Q146+Q147-Q302</f>
        <v>0</v>
      </c>
      <c r="R295" s="216">
        <f>+R164+R146+R147-R302</f>
        <v>0</v>
      </c>
      <c r="S295" s="179"/>
      <c r="T295" s="216">
        <f t="shared" ref="T295:AG295" si="117">+T164+T146+T147-T302</f>
        <v>0</v>
      </c>
      <c r="U295" s="216">
        <f t="shared" si="117"/>
        <v>0</v>
      </c>
      <c r="V295" s="216">
        <f t="shared" si="117"/>
        <v>0</v>
      </c>
      <c r="W295" s="216">
        <f t="shared" si="117"/>
        <v>0</v>
      </c>
      <c r="X295" s="216">
        <f t="shared" si="117"/>
        <v>0</v>
      </c>
      <c r="Y295" s="216">
        <f t="shared" si="117"/>
        <v>0</v>
      </c>
      <c r="Z295" s="216">
        <f t="shared" si="117"/>
        <v>0</v>
      </c>
      <c r="AA295" s="216">
        <f t="shared" si="117"/>
        <v>0</v>
      </c>
      <c r="AB295" s="216">
        <f t="shared" si="117"/>
        <v>0</v>
      </c>
      <c r="AC295" s="216">
        <f t="shared" si="117"/>
        <v>0</v>
      </c>
      <c r="AD295" s="216">
        <f t="shared" si="117"/>
        <v>0</v>
      </c>
      <c r="AE295" s="216">
        <f t="shared" si="117"/>
        <v>0</v>
      </c>
      <c r="AF295" s="216">
        <f t="shared" si="117"/>
        <v>0</v>
      </c>
      <c r="AG295" s="216">
        <f t="shared" si="117"/>
        <v>0</v>
      </c>
    </row>
    <row r="296" spans="1:35" outlineLevel="1">
      <c r="B296" s="162" t="s">
        <v>250</v>
      </c>
      <c r="N296" s="216">
        <f>+N275-N307-N308</f>
        <v>-33391460</v>
      </c>
      <c r="O296" s="216">
        <f>+O275-O307-O308</f>
        <v>-33177458</v>
      </c>
      <c r="P296" s="216">
        <f>+P275-P307-P308</f>
        <v>-33088165</v>
      </c>
      <c r="Q296" s="216">
        <f>+Q275-Q307-Q308</f>
        <v>-33347749</v>
      </c>
      <c r="R296" s="216">
        <f>+R275-R307-R308</f>
        <v>-32102502</v>
      </c>
      <c r="S296" s="179"/>
      <c r="T296" s="216">
        <f t="shared" ref="T296:AG296" si="118">+T275-T307-T308</f>
        <v>-35824624.299999997</v>
      </c>
      <c r="U296" s="216">
        <f t="shared" si="118"/>
        <v>-34725331.729999997</v>
      </c>
      <c r="V296" s="216">
        <f t="shared" si="118"/>
        <v>-35024002</v>
      </c>
      <c r="W296" s="216">
        <f t="shared" si="118"/>
        <v>-35447835</v>
      </c>
      <c r="X296" s="216">
        <f t="shared" si="118"/>
        <v>-33739692.224995546</v>
      </c>
      <c r="Y296" s="216">
        <f t="shared" si="118"/>
        <v>-34158997.287588872</v>
      </c>
      <c r="Z296" s="216">
        <f t="shared" si="118"/>
        <v>-34617463.241491638</v>
      </c>
      <c r="AA296" s="216">
        <f t="shared" si="118"/>
        <v>-35185998.037073739</v>
      </c>
      <c r="AB296" s="216">
        <f t="shared" si="118"/>
        <v>-35824588.180764474</v>
      </c>
      <c r="AC296" s="216">
        <f t="shared" si="118"/>
        <v>-36532314.120907888</v>
      </c>
      <c r="AD296" s="216">
        <f t="shared" si="118"/>
        <v>-37180479.300139956</v>
      </c>
      <c r="AE296" s="216">
        <f t="shared" si="118"/>
        <v>-37840605.230303638</v>
      </c>
      <c r="AF296" s="216">
        <f t="shared" si="118"/>
        <v>-38534036.74004706</v>
      </c>
      <c r="AG296" s="216">
        <f t="shared" si="118"/>
        <v>-39249646.300464816</v>
      </c>
    </row>
    <row r="297" spans="1:35">
      <c r="A297" s="77" t="s">
        <v>251</v>
      </c>
      <c r="B297" s="57"/>
      <c r="C297" s="57"/>
      <c r="D297" s="57"/>
      <c r="E297" s="57"/>
      <c r="F297" s="57"/>
      <c r="N297" s="333">
        <f>SUM(N291:N296)</f>
        <v>-15821801</v>
      </c>
      <c r="O297" s="333">
        <f>SUM(O291:O296)</f>
        <v>-15706586</v>
      </c>
      <c r="P297" s="333">
        <f>SUM(P291:P296)</f>
        <v>-15680773</v>
      </c>
      <c r="Q297" s="333">
        <f>SUM(Q291:Q296)</f>
        <v>-15106175</v>
      </c>
      <c r="R297" s="333">
        <f>SUM(R291:R296)</f>
        <v>-14260928</v>
      </c>
      <c r="S297" s="147"/>
      <c r="T297" s="333">
        <f t="shared" ref="T297:AE297" si="119">SUM(T291:T296)</f>
        <v>-16983050.299999997</v>
      </c>
      <c r="U297" s="333">
        <f t="shared" si="119"/>
        <v>-15883757.729999997</v>
      </c>
      <c r="V297" s="333">
        <f t="shared" si="119"/>
        <v>-16886123</v>
      </c>
      <c r="W297" s="333">
        <f t="shared" si="119"/>
        <v>-17328936</v>
      </c>
      <c r="X297" s="333">
        <f t="shared" si="119"/>
        <v>-15373692.224995546</v>
      </c>
      <c r="Y297" s="333">
        <f t="shared" si="119"/>
        <v>-15716997.287588872</v>
      </c>
      <c r="Z297" s="333">
        <f t="shared" si="119"/>
        <v>-16308463.241491638</v>
      </c>
      <c r="AA297" s="333">
        <f t="shared" si="119"/>
        <v>-16813998.037073739</v>
      </c>
      <c r="AB297" s="333">
        <f t="shared" si="119"/>
        <v>-17450588.180764474</v>
      </c>
      <c r="AC297" s="333">
        <f t="shared" si="119"/>
        <v>-18180314.120907888</v>
      </c>
      <c r="AD297" s="333">
        <f t="shared" si="119"/>
        <v>-18814479.300139956</v>
      </c>
      <c r="AE297" s="333">
        <f t="shared" si="119"/>
        <v>-19476605.230303638</v>
      </c>
      <c r="AF297" s="333">
        <f t="shared" ref="AF297:AG297" si="120">SUM(AF291:AF296)</f>
        <v>-20173036.74004706</v>
      </c>
      <c r="AG297" s="333">
        <f t="shared" si="120"/>
        <v>-20885646.300464816</v>
      </c>
    </row>
    <row r="298" spans="1:35" s="52" customFormat="1">
      <c r="A298" s="328"/>
      <c r="F298" s="51"/>
      <c r="J298" s="615"/>
      <c r="K298" s="254"/>
      <c r="N298" s="324"/>
      <c r="O298" s="324"/>
      <c r="P298" s="324"/>
      <c r="Q298" s="324"/>
      <c r="R298" s="324"/>
      <c r="S298" s="292"/>
      <c r="T298" s="324"/>
      <c r="U298" s="324"/>
      <c r="V298" s="324"/>
      <c r="W298" s="324"/>
      <c r="X298" s="324"/>
      <c r="Y298" s="324"/>
      <c r="Z298" s="324"/>
      <c r="AA298" s="324"/>
      <c r="AB298" s="324"/>
      <c r="AC298" s="324"/>
      <c r="AD298" s="324"/>
      <c r="AE298" s="324"/>
      <c r="AF298" s="324"/>
      <c r="AG298" s="324"/>
      <c r="AH298" s="77"/>
      <c r="AI298" s="77"/>
    </row>
    <row r="299" spans="1:35" s="52" customFormat="1">
      <c r="A299" s="328"/>
      <c r="J299" s="615"/>
      <c r="K299" s="254"/>
      <c r="N299" s="324"/>
      <c r="O299" s="324"/>
      <c r="P299" s="324"/>
      <c r="Q299" s="324"/>
      <c r="R299" s="324"/>
      <c r="S299" s="292"/>
      <c r="T299" s="324"/>
      <c r="U299" s="324"/>
      <c r="V299" s="324"/>
      <c r="W299" s="324"/>
      <c r="X299" s="324"/>
      <c r="Y299" s="324"/>
      <c r="Z299" s="324"/>
      <c r="AA299" s="324"/>
      <c r="AB299" s="324"/>
      <c r="AC299" s="324"/>
      <c r="AD299" s="324"/>
      <c r="AE299" s="324"/>
      <c r="AF299" s="324"/>
      <c r="AG299" s="324"/>
      <c r="AH299" s="77"/>
      <c r="AI299" s="77"/>
    </row>
    <row r="300" spans="1:35">
      <c r="A300" s="440" t="s">
        <v>252</v>
      </c>
      <c r="B300" s="441"/>
      <c r="C300" s="441"/>
      <c r="D300" s="441"/>
      <c r="E300" s="441"/>
      <c r="F300" s="441"/>
      <c r="G300" s="442"/>
      <c r="H300" s="609"/>
      <c r="I300" s="442"/>
      <c r="J300" s="634"/>
      <c r="K300" s="443"/>
      <c r="L300" s="442"/>
      <c r="N300" s="444"/>
      <c r="O300" s="444"/>
      <c r="P300" s="444"/>
      <c r="Q300" s="444"/>
      <c r="R300" s="444"/>
      <c r="T300" s="444"/>
      <c r="U300" s="444"/>
      <c r="V300" s="444"/>
      <c r="W300" s="444"/>
      <c r="X300" s="444"/>
      <c r="Y300" s="444"/>
      <c r="Z300" s="444"/>
      <c r="AA300" s="444"/>
      <c r="AB300" s="444"/>
      <c r="AC300" s="444"/>
      <c r="AD300" s="444"/>
      <c r="AE300" s="444"/>
      <c r="AF300" s="444"/>
      <c r="AG300" s="444"/>
    </row>
    <row r="301" spans="1:35" outlineLevel="1">
      <c r="B301" s="162" t="s">
        <v>468</v>
      </c>
      <c r="N301" s="216">
        <f>+N142</f>
        <v>18821801</v>
      </c>
      <c r="O301" s="216">
        <f>+O142</f>
        <v>18706586</v>
      </c>
      <c r="P301" s="216">
        <f>+P142</f>
        <v>18530773</v>
      </c>
      <c r="Q301" s="216">
        <f>+Q142</f>
        <v>17956175</v>
      </c>
      <c r="R301" s="216">
        <f>+R142</f>
        <v>17110928</v>
      </c>
      <c r="S301" s="179"/>
      <c r="T301" s="216">
        <f t="shared" ref="T301:AG301" si="121">+T142</f>
        <v>17298636</v>
      </c>
      <c r="U301" s="216">
        <f t="shared" si="121"/>
        <v>17745949</v>
      </c>
      <c r="V301" s="216">
        <f t="shared" si="121"/>
        <v>17555826</v>
      </c>
      <c r="W301" s="216">
        <f t="shared" si="121"/>
        <v>17448120</v>
      </c>
      <c r="X301" s="216">
        <f t="shared" si="121"/>
        <v>17548282.09008</v>
      </c>
      <c r="Y301" s="216">
        <f t="shared" si="121"/>
        <v>18228341.036019087</v>
      </c>
      <c r="Z301" s="216">
        <f t="shared" si="121"/>
        <v>18925516.62677272</v>
      </c>
      <c r="AA301" s="216">
        <f t="shared" si="121"/>
        <v>19730064.557456236</v>
      </c>
      <c r="AB301" s="216">
        <f t="shared" si="121"/>
        <v>20623851.316989228</v>
      </c>
      <c r="AC301" s="216">
        <f t="shared" si="121"/>
        <v>21568148.678609848</v>
      </c>
      <c r="AD301" s="216">
        <f t="shared" si="121"/>
        <v>21983674.101957023</v>
      </c>
      <c r="AE301" s="216">
        <f t="shared" si="121"/>
        <v>22387477.282281153</v>
      </c>
      <c r="AF301" s="216">
        <f t="shared" si="121"/>
        <v>22781891.325263161</v>
      </c>
      <c r="AG301" s="216">
        <f t="shared" si="121"/>
        <v>23170656.194990247</v>
      </c>
    </row>
    <row r="302" spans="1:35" outlineLevel="1">
      <c r="B302" s="162" t="s">
        <v>253</v>
      </c>
      <c r="N302" s="216">
        <f>+N270+N271</f>
        <v>0</v>
      </c>
      <c r="O302" s="216">
        <f>+O270+O271</f>
        <v>0</v>
      </c>
      <c r="P302" s="216">
        <f>+P270+P271</f>
        <v>0</v>
      </c>
      <c r="Q302" s="216">
        <f>+Q270+Q271</f>
        <v>0</v>
      </c>
      <c r="R302" s="216">
        <f>+R270+R271</f>
        <v>0</v>
      </c>
      <c r="S302" s="179"/>
      <c r="T302" s="216">
        <f t="shared" ref="T302:AG302" si="122">+T270+T271</f>
        <v>0</v>
      </c>
      <c r="U302" s="216">
        <f t="shared" si="122"/>
        <v>0</v>
      </c>
      <c r="V302" s="216">
        <f t="shared" si="122"/>
        <v>0</v>
      </c>
      <c r="W302" s="216">
        <f t="shared" si="122"/>
        <v>0</v>
      </c>
      <c r="X302" s="216">
        <f t="shared" si="122"/>
        <v>0</v>
      </c>
      <c r="Y302" s="216">
        <f t="shared" si="122"/>
        <v>0</v>
      </c>
      <c r="Z302" s="216">
        <f t="shared" si="122"/>
        <v>0</v>
      </c>
      <c r="AA302" s="216">
        <f t="shared" si="122"/>
        <v>0</v>
      </c>
      <c r="AB302" s="216">
        <f t="shared" si="122"/>
        <v>0</v>
      </c>
      <c r="AC302" s="216">
        <f t="shared" si="122"/>
        <v>0</v>
      </c>
      <c r="AD302" s="216">
        <f t="shared" si="122"/>
        <v>0</v>
      </c>
      <c r="AE302" s="216">
        <f t="shared" si="122"/>
        <v>0</v>
      </c>
      <c r="AF302" s="216">
        <f t="shared" si="122"/>
        <v>0</v>
      </c>
      <c r="AG302" s="216">
        <f t="shared" si="122"/>
        <v>0</v>
      </c>
    </row>
    <row r="303" spans="1:35">
      <c r="A303" s="77" t="s">
        <v>254</v>
      </c>
      <c r="B303" s="57"/>
      <c r="C303" s="57"/>
      <c r="D303" s="57"/>
      <c r="E303" s="57"/>
      <c r="F303" s="57"/>
      <c r="N303" s="333">
        <f>SUM(N301:N302)</f>
        <v>18821801</v>
      </c>
      <c r="O303" s="333">
        <f>SUM(O301:O302)</f>
        <v>18706586</v>
      </c>
      <c r="P303" s="333">
        <f>SUM(P301:P302)</f>
        <v>18530773</v>
      </c>
      <c r="Q303" s="333">
        <f>SUM(Q301:Q302)</f>
        <v>17956175</v>
      </c>
      <c r="R303" s="333">
        <f>SUM(R301:R302)</f>
        <v>17110928</v>
      </c>
      <c r="S303" s="147"/>
      <c r="T303" s="333">
        <f t="shared" ref="T303:AE303" si="123">SUM(T301:T302)</f>
        <v>17298636</v>
      </c>
      <c r="U303" s="333">
        <f t="shared" si="123"/>
        <v>17745949</v>
      </c>
      <c r="V303" s="333">
        <f t="shared" si="123"/>
        <v>17555826</v>
      </c>
      <c r="W303" s="333">
        <f t="shared" si="123"/>
        <v>17448120</v>
      </c>
      <c r="X303" s="333">
        <f t="shared" si="123"/>
        <v>17548282.09008</v>
      </c>
      <c r="Y303" s="333">
        <f t="shared" si="123"/>
        <v>18228341.036019087</v>
      </c>
      <c r="Z303" s="333">
        <f t="shared" si="123"/>
        <v>18925516.62677272</v>
      </c>
      <c r="AA303" s="333">
        <f t="shared" si="123"/>
        <v>19730064.557456236</v>
      </c>
      <c r="AB303" s="333">
        <f t="shared" si="123"/>
        <v>20623851.316989228</v>
      </c>
      <c r="AC303" s="333">
        <f t="shared" si="123"/>
        <v>21568148.678609848</v>
      </c>
      <c r="AD303" s="333">
        <f t="shared" si="123"/>
        <v>21983674.101957023</v>
      </c>
      <c r="AE303" s="333">
        <f t="shared" si="123"/>
        <v>22387477.282281153</v>
      </c>
      <c r="AF303" s="333">
        <f t="shared" ref="AF303:AG303" si="124">SUM(AF301:AF302)</f>
        <v>22781891.325263161</v>
      </c>
      <c r="AG303" s="333">
        <f t="shared" si="124"/>
        <v>23170656.194990247</v>
      </c>
    </row>
    <row r="304" spans="1:35">
      <c r="N304" s="179"/>
      <c r="O304" s="179"/>
      <c r="P304" s="179"/>
      <c r="Q304" s="179"/>
      <c r="R304" s="179"/>
      <c r="T304" s="179"/>
      <c r="U304" s="179"/>
      <c r="V304" s="179"/>
      <c r="W304" s="179"/>
      <c r="X304" s="179"/>
      <c r="Y304" s="179"/>
      <c r="Z304" s="179"/>
      <c r="AA304" s="179"/>
      <c r="AB304" s="179"/>
      <c r="AC304" s="179"/>
      <c r="AD304" s="179"/>
      <c r="AE304" s="179"/>
      <c r="AF304" s="179"/>
      <c r="AG304" s="179"/>
    </row>
    <row r="305" spans="1:35">
      <c r="A305" s="440" t="s">
        <v>255</v>
      </c>
      <c r="B305" s="441"/>
      <c r="C305" s="441"/>
      <c r="D305" s="441"/>
      <c r="E305" s="441"/>
      <c r="F305" s="441"/>
      <c r="G305" s="442"/>
      <c r="H305" s="609"/>
      <c r="I305" s="442"/>
      <c r="J305" s="634"/>
      <c r="K305" s="443"/>
      <c r="L305" s="442"/>
      <c r="N305" s="444"/>
      <c r="O305" s="444"/>
      <c r="P305" s="444"/>
      <c r="Q305" s="444"/>
      <c r="R305" s="444"/>
      <c r="T305" s="444"/>
      <c r="U305" s="444"/>
      <c r="V305" s="444"/>
      <c r="W305" s="444"/>
      <c r="X305" s="444"/>
      <c r="Y305" s="444"/>
      <c r="Z305" s="444"/>
      <c r="AA305" s="444"/>
      <c r="AB305" s="444"/>
      <c r="AC305" s="444"/>
      <c r="AD305" s="444"/>
      <c r="AE305" s="444"/>
      <c r="AF305" s="444"/>
      <c r="AG305" s="444"/>
    </row>
    <row r="306" spans="1:35" outlineLevel="1">
      <c r="B306" s="162"/>
      <c r="N306" s="216"/>
      <c r="O306" s="216"/>
      <c r="P306" s="216"/>
      <c r="Q306" s="216"/>
      <c r="R306" s="216"/>
      <c r="S306" s="179"/>
      <c r="T306" s="216"/>
      <c r="U306" s="216"/>
      <c r="V306" s="216"/>
      <c r="W306" s="216"/>
      <c r="X306" s="216"/>
      <c r="Y306" s="216"/>
      <c r="Z306" s="216"/>
      <c r="AA306" s="216"/>
      <c r="AB306" s="216"/>
      <c r="AC306" s="216"/>
      <c r="AD306" s="216"/>
      <c r="AE306" s="216"/>
      <c r="AF306" s="216"/>
      <c r="AG306" s="216"/>
    </row>
    <row r="307" spans="1:35" outlineLevel="1">
      <c r="B307" s="162" t="s">
        <v>524</v>
      </c>
      <c r="N307" s="242">
        <v>-3000000</v>
      </c>
      <c r="O307" s="242">
        <v>-3000000</v>
      </c>
      <c r="P307" s="242">
        <v>-3000000</v>
      </c>
      <c r="Q307" s="242">
        <v>-3000000</v>
      </c>
      <c r="R307" s="242">
        <v>-3000000</v>
      </c>
      <c r="S307" s="59"/>
      <c r="T307" s="242">
        <f t="shared" ref="T307:AG307" si="125">T102</f>
        <v>0</v>
      </c>
      <c r="U307" s="242">
        <f t="shared" si="125"/>
        <v>0</v>
      </c>
      <c r="V307" s="242">
        <f t="shared" si="125"/>
        <v>0</v>
      </c>
      <c r="W307" s="242">
        <f t="shared" si="125"/>
        <v>0</v>
      </c>
      <c r="X307" s="242">
        <f t="shared" si="125"/>
        <v>-3000000</v>
      </c>
      <c r="Y307" s="242">
        <f t="shared" si="125"/>
        <v>-3000000</v>
      </c>
      <c r="Z307" s="242">
        <f t="shared" si="125"/>
        <v>-3000000</v>
      </c>
      <c r="AA307" s="242">
        <f t="shared" si="125"/>
        <v>-3000000</v>
      </c>
      <c r="AB307" s="242">
        <f t="shared" si="125"/>
        <v>-3000000</v>
      </c>
      <c r="AC307" s="242">
        <f t="shared" si="125"/>
        <v>-3000000</v>
      </c>
      <c r="AD307" s="242">
        <f t="shared" si="125"/>
        <v>-3000000</v>
      </c>
      <c r="AE307" s="242">
        <f t="shared" si="125"/>
        <v>-3000000</v>
      </c>
      <c r="AF307" s="242">
        <f t="shared" si="125"/>
        <v>-3000000</v>
      </c>
      <c r="AG307" s="242">
        <f t="shared" si="125"/>
        <v>-3000000</v>
      </c>
    </row>
    <row r="308" spans="1:35" outlineLevel="1">
      <c r="B308" s="162" t="s">
        <v>430</v>
      </c>
      <c r="N308" s="216">
        <f>+N234</f>
        <v>0</v>
      </c>
      <c r="O308" s="216">
        <f>+O234</f>
        <v>0</v>
      </c>
      <c r="P308" s="216">
        <f>+P234</f>
        <v>0</v>
      </c>
      <c r="Q308" s="216">
        <f>+Q234</f>
        <v>0</v>
      </c>
      <c r="R308" s="216">
        <f>+R234</f>
        <v>0</v>
      </c>
      <c r="S308" s="179"/>
      <c r="T308" s="216">
        <f t="shared" ref="T308:AG308" si="126">+T234</f>
        <v>-36190.36</v>
      </c>
      <c r="U308" s="216">
        <f t="shared" si="126"/>
        <v>-272926.86</v>
      </c>
      <c r="V308" s="216">
        <f t="shared" si="126"/>
        <v>-579261</v>
      </c>
      <c r="W308" s="216">
        <f t="shared" si="126"/>
        <v>-566936</v>
      </c>
      <c r="X308" s="216">
        <f t="shared" si="126"/>
        <v>-63800.64285714287</v>
      </c>
      <c r="Y308" s="216">
        <f t="shared" si="126"/>
        <v>-59416.328571428574</v>
      </c>
      <c r="Z308" s="216">
        <f t="shared" si="126"/>
        <v>-48594.92857142858</v>
      </c>
      <c r="AA308" s="216">
        <f t="shared" si="126"/>
        <v>-29619.464285714297</v>
      </c>
      <c r="AB308" s="216">
        <f t="shared" si="126"/>
        <v>-8078.0357142857192</v>
      </c>
      <c r="AC308" s="216">
        <f t="shared" si="126"/>
        <v>0</v>
      </c>
      <c r="AD308" s="216">
        <f t="shared" si="126"/>
        <v>0</v>
      </c>
      <c r="AE308" s="216">
        <f t="shared" si="126"/>
        <v>0</v>
      </c>
      <c r="AF308" s="216">
        <f t="shared" si="126"/>
        <v>0</v>
      </c>
      <c r="AG308" s="216">
        <f t="shared" si="126"/>
        <v>0</v>
      </c>
    </row>
    <row r="309" spans="1:35">
      <c r="A309" s="77" t="s">
        <v>256</v>
      </c>
      <c r="B309" s="57"/>
      <c r="C309" s="57"/>
      <c r="D309" s="57"/>
      <c r="E309" s="57"/>
      <c r="F309" s="57"/>
      <c r="N309" s="333">
        <f>SUM(N306:N308)</f>
        <v>-3000000</v>
      </c>
      <c r="O309" s="333">
        <f>SUM(O306:O308)</f>
        <v>-3000000</v>
      </c>
      <c r="P309" s="333">
        <f>SUM(P306:P308)</f>
        <v>-3000000</v>
      </c>
      <c r="Q309" s="333">
        <f>SUM(Q306:Q308)</f>
        <v>-3000000</v>
      </c>
      <c r="R309" s="333">
        <f>SUM(R306:R308)</f>
        <v>-3000000</v>
      </c>
      <c r="S309" s="147"/>
      <c r="T309" s="333">
        <f t="shared" ref="T309:AE309" si="127">SUM(T306:T308)</f>
        <v>-36190.36</v>
      </c>
      <c r="U309" s="333">
        <f t="shared" si="127"/>
        <v>-272926.86</v>
      </c>
      <c r="V309" s="333">
        <f t="shared" si="127"/>
        <v>-579261</v>
      </c>
      <c r="W309" s="333">
        <f t="shared" si="127"/>
        <v>-566936</v>
      </c>
      <c r="X309" s="333">
        <f t="shared" si="127"/>
        <v>-3063800.6428571427</v>
      </c>
      <c r="Y309" s="333">
        <f t="shared" si="127"/>
        <v>-3059416.3285714285</v>
      </c>
      <c r="Z309" s="333">
        <f t="shared" si="127"/>
        <v>-3048594.9285714286</v>
      </c>
      <c r="AA309" s="333">
        <f t="shared" si="127"/>
        <v>-3029619.4642857141</v>
      </c>
      <c r="AB309" s="333">
        <f t="shared" si="127"/>
        <v>-3008078.0357142859</v>
      </c>
      <c r="AC309" s="333">
        <f t="shared" si="127"/>
        <v>-3000000</v>
      </c>
      <c r="AD309" s="333">
        <f t="shared" si="127"/>
        <v>-3000000</v>
      </c>
      <c r="AE309" s="333">
        <f t="shared" si="127"/>
        <v>-3000000</v>
      </c>
      <c r="AF309" s="333">
        <f t="shared" ref="AF309:AG309" si="128">SUM(AF306:AF308)</f>
        <v>-3000000</v>
      </c>
      <c r="AG309" s="333">
        <f t="shared" si="128"/>
        <v>-3000000</v>
      </c>
    </row>
    <row r="310" spans="1:35">
      <c r="N310" s="179"/>
      <c r="O310" s="179"/>
      <c r="P310" s="179"/>
      <c r="Q310" s="179"/>
      <c r="R310" s="179"/>
      <c r="T310" s="179"/>
      <c r="U310" s="179"/>
      <c r="V310" s="179"/>
      <c r="W310" s="179"/>
      <c r="X310" s="179"/>
      <c r="Y310" s="179"/>
      <c r="Z310" s="179"/>
      <c r="AA310" s="179"/>
      <c r="AB310" s="179"/>
      <c r="AC310" s="179"/>
      <c r="AD310" s="179"/>
      <c r="AE310" s="179"/>
      <c r="AF310" s="179"/>
      <c r="AG310" s="179"/>
    </row>
    <row r="311" spans="1:35" s="57" customFormat="1">
      <c r="A311" s="77" t="s">
        <v>257</v>
      </c>
      <c r="G311" s="56"/>
      <c r="H311" s="51"/>
      <c r="I311" s="56"/>
      <c r="J311" s="451"/>
      <c r="K311" s="95"/>
      <c r="L311" s="56"/>
      <c r="M311" s="56"/>
      <c r="N311" s="427">
        <f>+N297+N303+N309</f>
        <v>0</v>
      </c>
      <c r="O311" s="427">
        <f t="shared" ref="O311:AE311" si="129">+O297+O303+O309</f>
        <v>0</v>
      </c>
      <c r="P311" s="427">
        <f t="shared" si="129"/>
        <v>-150000</v>
      </c>
      <c r="Q311" s="427">
        <f t="shared" si="129"/>
        <v>-150000</v>
      </c>
      <c r="R311" s="427">
        <f t="shared" si="129"/>
        <v>-150000</v>
      </c>
      <c r="S311" s="427"/>
      <c r="T311" s="427">
        <f>+T297+T303+T309</f>
        <v>279395.34000000299</v>
      </c>
      <c r="U311" s="427">
        <f t="shared" si="129"/>
        <v>1589264.4100000034</v>
      </c>
      <c r="V311" s="427">
        <f t="shared" si="129"/>
        <v>90442</v>
      </c>
      <c r="W311" s="427">
        <f t="shared" si="129"/>
        <v>-447752</v>
      </c>
      <c r="X311" s="427">
        <f t="shared" si="129"/>
        <v>-889210.77777268831</v>
      </c>
      <c r="Y311" s="427">
        <f t="shared" si="129"/>
        <v>-548072.58014121372</v>
      </c>
      <c r="Z311" s="427">
        <f t="shared" si="129"/>
        <v>-431541.5432903464</v>
      </c>
      <c r="AA311" s="427">
        <f t="shared" si="129"/>
        <v>-113552.94390321663</v>
      </c>
      <c r="AB311" s="427">
        <f t="shared" si="129"/>
        <v>165185.10051046824</v>
      </c>
      <c r="AC311" s="427">
        <f t="shared" si="129"/>
        <v>387834.55770196021</v>
      </c>
      <c r="AD311" s="427">
        <f t="shared" si="129"/>
        <v>169194.80181706697</v>
      </c>
      <c r="AE311" s="427">
        <f t="shared" si="129"/>
        <v>-89127.948022484779</v>
      </c>
      <c r="AF311" s="427">
        <f t="shared" ref="AF311:AG311" si="130">+AF297+AF303+AF309</f>
        <v>-391145.41478389874</v>
      </c>
      <c r="AG311" s="427">
        <f t="shared" si="130"/>
        <v>-714990.1054745689</v>
      </c>
      <c r="AH311" s="77"/>
      <c r="AI311" s="77"/>
    </row>
    <row r="316" spans="1:35">
      <c r="A316" s="77"/>
      <c r="B316" s="57" t="s">
        <v>222</v>
      </c>
      <c r="C316" s="57"/>
      <c r="D316" s="57"/>
      <c r="E316" s="57"/>
      <c r="F316" s="57"/>
      <c r="L316" s="229"/>
      <c r="M316" s="229"/>
      <c r="O316" s="218"/>
      <c r="P316" s="218"/>
      <c r="Q316" s="218"/>
      <c r="R316" s="218"/>
      <c r="S316" s="188"/>
      <c r="T316" s="218"/>
    </row>
    <row r="317" spans="1:35" outlineLevel="1">
      <c r="A317" s="50"/>
      <c r="C317" s="162" t="s">
        <v>505</v>
      </c>
      <c r="I317" s="5" t="s">
        <v>223</v>
      </c>
      <c r="J317" s="436" t="s">
        <v>153</v>
      </c>
      <c r="K317" s="311"/>
      <c r="L317" s="229"/>
      <c r="M317" s="229"/>
      <c r="N317" s="217">
        <f>'Budget P&amp;L Input'!G78</f>
        <v>-1750028</v>
      </c>
      <c r="O317" s="217">
        <f>'Budget P&amp;L Input'!H78</f>
        <v>-1958462</v>
      </c>
      <c r="P317" s="217">
        <f>'Budget P&amp;L Input'!I78</f>
        <v>-2085809</v>
      </c>
      <c r="Q317" s="217">
        <f>'Budget P&amp;L Input'!J78</f>
        <v>-2262864</v>
      </c>
      <c r="R317" s="217">
        <f>'Budget P&amp;L Input'!K78</f>
        <v>-2480763</v>
      </c>
      <c r="T317" s="217">
        <f>IF(T$139="Actual",'Budget P&amp;L Input'!L78,R317*(1+3.7%))</f>
        <v>-2721390</v>
      </c>
      <c r="U317" s="217">
        <f>IF(U$139="Actual",'Budget P&amp;L Input'!M78,T317*(1+3.7%))</f>
        <v>-2766255</v>
      </c>
      <c r="V317" s="217">
        <f>IF(V$139="Actual",'Budget P&amp;L Input'!N78,U317*(1+3.7%))</f>
        <v>-2888608</v>
      </c>
      <c r="W317" s="217">
        <f>IF(W$139="Actual",'Budget P&amp;L Input'!O78,V317*(1+3.7%))</f>
        <v>-3111437</v>
      </c>
      <c r="X317" s="217">
        <f>IF(X$5="Actual",'Budget P&amp;L Input'!P78,W317*(1+3.7%))</f>
        <v>-3226560.1689999998</v>
      </c>
      <c r="Y317" s="217">
        <f>IF(Y$5="Actual",'Budget P&amp;L Input'!Q78,X317*(1+3.7%))</f>
        <v>-3345942.8952529994</v>
      </c>
      <c r="Z317" s="217">
        <f>IF(Z$5="Actual",'Budget P&amp;L Input'!R78,Y317*(1+3.7%))</f>
        <v>-3469742.7823773599</v>
      </c>
      <c r="AA317" s="217">
        <f>IF(AA$139="Actual",'Budget P&amp;L Input'!S78,Z317*(1+3.7%))</f>
        <v>-3598123.2653253218</v>
      </c>
      <c r="AB317" s="217">
        <f>IF(AB$139="Actual",'Budget P&amp;L Input'!T78,AA317*(1+3.7%))</f>
        <v>-3731253.8261423586</v>
      </c>
      <c r="AC317" s="217">
        <f>IF(AC$139="Actual",'Budget P&amp;L Input'!U78,AB317*(1+3.7%))</f>
        <v>-3869310.2177096256</v>
      </c>
      <c r="AD317" s="217">
        <f>IF(AD$139="Actual",'Budget P&amp;L Input'!V78,AC317*(1+3.7%))</f>
        <v>-4012474.6957648816</v>
      </c>
      <c r="AE317" s="217">
        <f>IF(AE$139="Actual",'Budget P&amp;L Input'!W78,AD317*(1+3.7%))</f>
        <v>-4160936.2595081818</v>
      </c>
      <c r="AF317" s="217">
        <f>IF(AF$139="Actual",'Budget P&amp;L Input'!X78,AE317*(1+3.7%))</f>
        <v>-4314890.9011099841</v>
      </c>
      <c r="AG317" s="217">
        <f>IF(AG$139="Actual",'Budget P&amp;L Input'!Y78,AF317*(1+3.7%))</f>
        <v>-4474541.8644510536</v>
      </c>
      <c r="AI317" s="77" t="s">
        <v>258</v>
      </c>
    </row>
    <row r="318" spans="1:35" outlineLevel="1">
      <c r="A318" s="50"/>
      <c r="C318" s="162" t="s">
        <v>224</v>
      </c>
      <c r="G318" s="5" t="s">
        <v>225</v>
      </c>
      <c r="I318" s="5" t="s">
        <v>223</v>
      </c>
      <c r="J318" s="436" t="s">
        <v>153</v>
      </c>
      <c r="K318" s="311"/>
      <c r="L318" s="229"/>
      <c r="M318" s="229"/>
      <c r="N318" s="217">
        <f>'Budget P&amp;L Input'!G79</f>
        <v>-13449526</v>
      </c>
      <c r="O318" s="217">
        <f>'Budget P&amp;L Input'!H79</f>
        <v>-15928185</v>
      </c>
      <c r="P318" s="217">
        <f>'Budget P&amp;L Input'!I79</f>
        <v>-18102738</v>
      </c>
      <c r="Q318" s="217">
        <f>'Budget P&amp;L Input'!J79</f>
        <v>-18271663</v>
      </c>
      <c r="R318" s="217">
        <f>'Budget P&amp;L Input'!K79</f>
        <v>-17903348</v>
      </c>
      <c r="T318" s="217">
        <f>IF(T$139="Actual",'Budget P&amp;L Input'!L79,ROUND(AVERAGE($P$318:$R$318),-3))</f>
        <v>-18215811</v>
      </c>
      <c r="U318" s="217">
        <f>IF(U$139="Actual",'Budget P&amp;L Input'!M79,ROUND(AVERAGE($Q$318:$R$318,T318),-3))</f>
        <v>-19554828</v>
      </c>
      <c r="V318" s="217">
        <f>IF(V$139="Actual",'Budget P&amp;L Input'!N79,ROUND(AVERAGE($R$318,T318,U318),-3))</f>
        <v>-18903267</v>
      </c>
      <c r="W318" s="217">
        <f>IF(W$139="Actual",'Budget P&amp;L Input'!O79,ROUND(AVERAGE(T318:V318),-3))</f>
        <v>-20292212</v>
      </c>
      <c r="X318" s="217">
        <f>IF(X$5="Actual",'Budget P&amp;L Input'!P79,ROUND(AVERAGE(U318:W318),-3))</f>
        <v>-19583000</v>
      </c>
      <c r="Y318" s="217">
        <f>IF(Y$5="Actual",'Budget P&amp;L Input'!Q79,ROUND(AVERAGE(V318:X318),-3))</f>
        <v>-19593000</v>
      </c>
      <c r="Z318" s="217">
        <f>IF(Z$5="Actual",'Budget P&amp;L Input'!R79,ROUND(AVERAGE(W318:Y318),-3))</f>
        <v>-19823000</v>
      </c>
      <c r="AA318" s="217">
        <f>IF(AA$5="Actual",'Budget P&amp;L Input'!S79,ROUND(AVERAGE(X318:Z318),-3))</f>
        <v>-19666000</v>
      </c>
      <c r="AB318" s="217">
        <f>IF(AB$5="Actual",'Budget P&amp;L Input'!T79,ROUND(AVERAGE(Y318:AA318),-3))</f>
        <v>-19694000</v>
      </c>
      <c r="AC318" s="217">
        <f>IF(AC$5="Actual",'Budget P&amp;L Input'!U79,ROUND(AVERAGE(Z318:AB318),-3))</f>
        <v>-19728000</v>
      </c>
      <c r="AD318" s="217">
        <f>IF(AD$5="Actual",'Budget P&amp;L Input'!V79,ROUND(AVERAGE(AA318:AC318),-3))</f>
        <v>-19696000</v>
      </c>
      <c r="AE318" s="217">
        <f>IF(AE$5="Actual",'Budget P&amp;L Input'!W79,ROUND(AVERAGE(AB318:AD318),-3))</f>
        <v>-19706000</v>
      </c>
      <c r="AF318" s="217">
        <f>IF(AF$5="Actual",'Budget P&amp;L Input'!X79,ROUND(AVERAGE(AC318:AE318),-3))</f>
        <v>-19710000</v>
      </c>
      <c r="AG318" s="217">
        <f>IF(AG$5="Actual",'Budget P&amp;L Input'!Y79,ROUND(AVERAGE(AD318:AF318),-3))</f>
        <v>-19704000</v>
      </c>
      <c r="AI318" s="77" t="s">
        <v>83</v>
      </c>
    </row>
    <row r="319" spans="1:35" outlineLevel="1">
      <c r="A319" s="50"/>
      <c r="C319" s="162" t="s">
        <v>226</v>
      </c>
      <c r="I319" s="5" t="s">
        <v>223</v>
      </c>
      <c r="J319" s="436" t="s">
        <v>153</v>
      </c>
      <c r="K319" s="311"/>
      <c r="L319" s="229"/>
      <c r="M319" s="229"/>
      <c r="N319" s="342">
        <f>'Budget P&amp;L Input'!G80</f>
        <v>-23081861</v>
      </c>
      <c r="O319" s="342">
        <f>'Budget P&amp;L Input'!H80</f>
        <v>-24343621</v>
      </c>
      <c r="P319" s="342">
        <f>'Budget P&amp;L Input'!I80</f>
        <v>-22503694</v>
      </c>
      <c r="Q319" s="342">
        <f>'Budget P&amp;L Input'!J80</f>
        <v>-25258042</v>
      </c>
      <c r="R319" s="342">
        <f>'Budget P&amp;L Input'!K80</f>
        <v>-22660392</v>
      </c>
      <c r="T319" s="342">
        <f>IF(T$139="Actual",'Budget P&amp;L Input'!L80,ROUND(AVERAGE($P$318:$R$318),-3))</f>
        <v>-25906661</v>
      </c>
      <c r="U319" s="342">
        <f>IF(U$139="Actual",'Budget P&amp;L Input'!M80,ROUND(AVERAGE($Q$318:$R$318,T319),-3))</f>
        <v>-14911396</v>
      </c>
      <c r="V319" s="342">
        <f>IF(V$139="Actual",'Budget P&amp;L Input'!N80,ROUND(AVERAGE($R$318,T319,U319),-3))</f>
        <v>-19130071</v>
      </c>
      <c r="W319" s="342">
        <f>IF(W$139="Actual",'Budget P&amp;L Input'!O80,ROUND(AVERAGE(T319:V319),-3))</f>
        <v>-17892353</v>
      </c>
      <c r="X319" s="342">
        <f>IF(X$5="Actual",'Budget P&amp;L Input'!P80,ROUND(AVERAGE(U319:W319),-3))</f>
        <v>-17311000</v>
      </c>
      <c r="Y319" s="342">
        <f>IF(Y$5="Actual",'Budget P&amp;L Input'!Q80,ROUND(AVERAGE(V319:X319),-3))</f>
        <v>-18111000</v>
      </c>
      <c r="Z319" s="342">
        <f>IF(Z$5="Actual",'Budget P&amp;L Input'!R80,ROUND(AVERAGE(W319:Y319),-3))</f>
        <v>-17771000</v>
      </c>
      <c r="AA319" s="342">
        <f>IF(AA$5="Actual",'Budget P&amp;L Input'!S80,ROUND(AVERAGE(X319:Z319),-3))</f>
        <v>-17731000</v>
      </c>
      <c r="AB319" s="342">
        <f>IF(AB$5="Actual",'Budget P&amp;L Input'!T80,ROUND(AVERAGE(Y319:AA319),-3))</f>
        <v>-17871000</v>
      </c>
      <c r="AC319" s="342">
        <f>IF(AC$5="Actual",'Budget P&amp;L Input'!U80,ROUND(AVERAGE(Z319:AB319),-3))</f>
        <v>-17791000</v>
      </c>
      <c r="AD319" s="342">
        <f>IF(AD$5="Actual",'Budget P&amp;L Input'!V80,ROUND(AVERAGE(AA319:AC319),-3))</f>
        <v>-17798000</v>
      </c>
      <c r="AE319" s="342">
        <f>IF(AE$5="Actual",'Budget P&amp;L Input'!W80,ROUND(AVERAGE(AB319:AD319),-3))</f>
        <v>-17820000</v>
      </c>
      <c r="AF319" s="342">
        <f>IF(AF$5="Actual",'Budget P&amp;L Input'!X80,ROUND(AVERAGE(AC319:AE319),-3))</f>
        <v>-17803000</v>
      </c>
      <c r="AG319" s="342">
        <f>IF(AG$5="Actual",'Budget P&amp;L Input'!Y80,ROUND(AVERAGE(AD319:AF319),-3))</f>
        <v>-17807000</v>
      </c>
      <c r="AI319" s="77" t="s">
        <v>83</v>
      </c>
    </row>
    <row r="320" spans="1:35" s="57" customFormat="1">
      <c r="A320" s="77"/>
      <c r="B320" s="57" t="s">
        <v>259</v>
      </c>
      <c r="G320" s="56"/>
      <c r="H320" s="51"/>
      <c r="I320" s="56"/>
      <c r="J320" s="451"/>
      <c r="K320" s="95"/>
      <c r="L320" s="56"/>
      <c r="M320" s="56"/>
      <c r="N320" s="74">
        <f t="shared" ref="N320:Q320" si="131">SUM(N317:N319)</f>
        <v>-38281415</v>
      </c>
      <c r="O320" s="74">
        <f t="shared" si="131"/>
        <v>-42230268</v>
      </c>
      <c r="P320" s="74">
        <f t="shared" si="131"/>
        <v>-42692241</v>
      </c>
      <c r="Q320" s="74">
        <f t="shared" si="131"/>
        <v>-45792569</v>
      </c>
      <c r="R320" s="74">
        <f>SUM(R317:R319)</f>
        <v>-43044503</v>
      </c>
      <c r="S320" s="147"/>
      <c r="T320" s="74">
        <f>SUM(T317:T319)</f>
        <v>-46843862</v>
      </c>
      <c r="U320" s="74">
        <f t="shared" ref="U320:AE320" si="132">SUM(U317:U319)</f>
        <v>-37232479</v>
      </c>
      <c r="V320" s="74">
        <f t="shared" si="132"/>
        <v>-40921946</v>
      </c>
      <c r="W320" s="74">
        <f t="shared" si="132"/>
        <v>-41296002</v>
      </c>
      <c r="X320" s="74">
        <f t="shared" si="132"/>
        <v>-40120560.169</v>
      </c>
      <c r="Y320" s="74">
        <f t="shared" si="132"/>
        <v>-41049942.895253003</v>
      </c>
      <c r="Z320" s="74">
        <f t="shared" si="132"/>
        <v>-41063742.782377362</v>
      </c>
      <c r="AA320" s="74">
        <f t="shared" si="132"/>
        <v>-40995123.265325323</v>
      </c>
      <c r="AB320" s="74">
        <f t="shared" si="132"/>
        <v>-41296253.826142356</v>
      </c>
      <c r="AC320" s="74">
        <f t="shared" si="132"/>
        <v>-41388310.217709631</v>
      </c>
      <c r="AD320" s="74">
        <f t="shared" si="132"/>
        <v>-41506474.695764884</v>
      </c>
      <c r="AE320" s="74">
        <f t="shared" si="132"/>
        <v>-41686936.259508178</v>
      </c>
      <c r="AF320" s="74">
        <f t="shared" ref="AF320:AG320" si="133">SUM(AF317:AF319)</f>
        <v>-41827890.901109986</v>
      </c>
      <c r="AG320" s="74">
        <f t="shared" si="133"/>
        <v>-41985541.864451051</v>
      </c>
      <c r="AH320" s="77"/>
      <c r="AI320" s="77"/>
    </row>
  </sheetData>
  <customSheetViews>
    <customSheetView guid="{0C8E75F0-104F-11D3-8830-006008AC4B3E}" showRuler="0" topLeftCell="A27">
      <selection activeCell="B72" sqref="B72"/>
      <pageMargins left="0" right="0" top="0" bottom="0" header="0" footer="0"/>
      <pageSetup orientation="portrait" horizontalDpi="4294967292" verticalDpi="4294967292"/>
      <headerFooter alignWithMargins="0"/>
    </customSheetView>
  </customSheetViews>
  <mergeCells count="1">
    <mergeCell ref="L5:L6"/>
  </mergeCells>
  <phoneticPr fontId="0" type="noConversion"/>
  <conditionalFormatting sqref="X5:AG5">
    <cfRule type="cellIs" dxfId="3" priority="2" operator="equal">
      <formula>"Actual"</formula>
    </cfRule>
  </conditionalFormatting>
  <conditionalFormatting sqref="X139:AG139">
    <cfRule type="cellIs" dxfId="2" priority="1" operator="equal">
      <formula>"Actual"</formula>
    </cfRule>
  </conditionalFormatting>
  <dataValidations count="1">
    <dataValidation type="list" allowBlank="1" showInputMessage="1" showErrorMessage="1" sqref="X5:AG5 X139:AG139" xr:uid="{00000000-0002-0000-0300-000000000000}">
      <formula1>$AI$3:$AI$4</formula1>
    </dataValidation>
  </dataValidations>
  <hyperlinks>
    <hyperlink ref="J144" location="'1004'!A1" display="'1004'!A1" xr:uid="{00000000-0004-0000-0300-000004000000}"/>
    <hyperlink ref="J147" location="'2001'!A1" display="'2001'!A1" xr:uid="{00000000-0004-0000-0300-000005000000}"/>
    <hyperlink ref="J143" location="'1004'!A1" display="'1004'!A1" xr:uid="{00000000-0004-0000-0300-000006000000}"/>
    <hyperlink ref="J118" location="'4002'!A1" display="'4002'!A1" xr:uid="{00000000-0004-0000-0300-000007000000}"/>
    <hyperlink ref="J102" location="'4002'!A1" display="'4002'!A1" xr:uid="{00000000-0004-0000-0300-000011000000}"/>
  </hyperlinks>
  <printOptions gridLines="1"/>
  <pageMargins left="0.75" right="0.75" top="1" bottom="1" header="0.5" footer="0.5"/>
  <pageSetup scale="33" orientation="portrait" horizontalDpi="4294967292" verticalDpi="4294967292" r:id="rId1"/>
  <headerFooter alignWithMargins="0"/>
  <customProperties>
    <customPr name="OrphanNamesChecked" r:id="rId2"/>
  </customProperties>
  <ignoredErrors>
    <ignoredError sqref="N7:R7" unlockedFormula="1"/>
    <ignoredError sqref="AG189:AG199 Y23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4AF1-09EB-467D-A693-C2EE1BB8B9F8}">
  <sheetPr>
    <tabColor theme="8" tint="0.39997558519241921"/>
  </sheetPr>
  <dimension ref="A1:O5"/>
  <sheetViews>
    <sheetView showGridLines="0" zoomScale="80" zoomScaleNormal="80" workbookViewId="0"/>
  </sheetViews>
  <sheetFormatPr defaultRowHeight="12.5"/>
  <cols>
    <col min="1" max="1" width="24.54296875" customWidth="1"/>
    <col min="2" max="15" width="14" customWidth="1"/>
  </cols>
  <sheetData>
    <row r="1" spans="1:15" ht="14.5">
      <c r="A1" s="334" t="str">
        <f>Summary!A1</f>
        <v>{COMPANY NAME}</v>
      </c>
    </row>
    <row r="2" spans="1:15" ht="13.5" thickBot="1">
      <c r="F2" s="548"/>
      <c r="G2" s="548"/>
    </row>
    <row r="3" spans="1:15" ht="15" thickBot="1">
      <c r="A3" s="77"/>
      <c r="B3" s="149" t="s">
        <v>51</v>
      </c>
      <c r="C3" s="149" t="s">
        <v>51</v>
      </c>
      <c r="D3" s="149" t="s">
        <v>51</v>
      </c>
      <c r="E3" s="149" t="s">
        <v>51</v>
      </c>
      <c r="F3" s="98" t="s">
        <v>52</v>
      </c>
      <c r="G3" s="98" t="s">
        <v>52</v>
      </c>
      <c r="H3" s="98" t="s">
        <v>52</v>
      </c>
      <c r="I3" s="98" t="s">
        <v>52</v>
      </c>
      <c r="J3" s="98" t="s">
        <v>52</v>
      </c>
      <c r="K3" s="98" t="s">
        <v>52</v>
      </c>
      <c r="L3" s="98" t="s">
        <v>52</v>
      </c>
      <c r="M3" s="98" t="s">
        <v>52</v>
      </c>
      <c r="N3" s="98" t="s">
        <v>52</v>
      </c>
      <c r="O3" s="98" t="s">
        <v>52</v>
      </c>
    </row>
    <row r="4" spans="1:15" ht="14.5">
      <c r="A4" s="150"/>
      <c r="B4" s="228" t="s">
        <v>439</v>
      </c>
      <c r="C4" s="228" t="s">
        <v>440</v>
      </c>
      <c r="D4" s="228" t="s">
        <v>441</v>
      </c>
      <c r="E4" s="228" t="s">
        <v>442</v>
      </c>
      <c r="F4" s="100" t="s">
        <v>434</v>
      </c>
      <c r="G4" s="100" t="s">
        <v>435</v>
      </c>
      <c r="H4" s="100" t="s">
        <v>436</v>
      </c>
      <c r="I4" s="100" t="s">
        <v>437</v>
      </c>
      <c r="J4" s="100" t="s">
        <v>438</v>
      </c>
      <c r="K4" s="100" t="s">
        <v>439</v>
      </c>
      <c r="L4" s="100" t="s">
        <v>440</v>
      </c>
      <c r="M4" s="100" t="s">
        <v>441</v>
      </c>
      <c r="N4" s="100" t="s">
        <v>442</v>
      </c>
      <c r="O4" s="100" t="s">
        <v>443</v>
      </c>
    </row>
    <row r="5" spans="1:15" ht="14.5">
      <c r="A5" s="77" t="s">
        <v>469</v>
      </c>
      <c r="B5" s="59">
        <f>FC!T142</f>
        <v>17298636</v>
      </c>
      <c r="C5" s="59">
        <f>FC!U142</f>
        <v>17745949</v>
      </c>
      <c r="D5" s="59">
        <f>FC!V142</f>
        <v>17555826</v>
      </c>
      <c r="E5" s="59">
        <f>FC!W142</f>
        <v>17448120</v>
      </c>
      <c r="F5" s="59">
        <f>FC!X142</f>
        <v>17548282.09008</v>
      </c>
      <c r="G5" s="59">
        <f>FC!Y142</f>
        <v>18228341.036019087</v>
      </c>
      <c r="H5" s="59">
        <f>FC!Z142</f>
        <v>18925516.62677272</v>
      </c>
      <c r="I5" s="59">
        <f>FC!AA142</f>
        <v>19730064.557456236</v>
      </c>
      <c r="J5" s="59">
        <f>FC!AB142</f>
        <v>20623851.316989228</v>
      </c>
      <c r="K5" s="59">
        <f>FC!AC142</f>
        <v>21568148.678609848</v>
      </c>
      <c r="L5" s="59">
        <f>FC!AD142</f>
        <v>21983674.101957023</v>
      </c>
      <c r="M5" s="59">
        <f>FC!AE142</f>
        <v>22387477.282281153</v>
      </c>
      <c r="N5" s="59">
        <f>FC!AF142</f>
        <v>22781891.325263161</v>
      </c>
      <c r="O5" s="59">
        <f>FC!AG142</f>
        <v>23170656.194990247</v>
      </c>
    </row>
  </sheetData>
  <phoneticPr fontId="73" type="noConversion"/>
  <conditionalFormatting sqref="F3:O3">
    <cfRule type="cellIs" dxfId="1" priority="1" operator="equal">
      <formula>"Actual"</formula>
    </cfRule>
  </conditionalFormatting>
  <dataValidations count="1">
    <dataValidation type="list" allowBlank="1" showInputMessage="1" showErrorMessage="1" sqref="F3:O3" xr:uid="{48AB6583-9553-4298-A78C-8E245ECD6D85}">
      <formula1>$Q$3:$Q$4</formula1>
    </dataValidation>
  </dataValidations>
  <pageMargins left="0.7" right="0.7" top="0.75" bottom="0.75" header="0.3" footer="0.3"/>
  <customProperties>
    <customPr name="OrphanNamesChecke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A1"/>
  <sheetViews>
    <sheetView showGridLines="0" zoomScale="80" zoomScaleNormal="80" workbookViewId="0"/>
  </sheetViews>
  <sheetFormatPr defaultColWidth="9.1796875" defaultRowHeight="14.5"/>
  <cols>
    <col min="1" max="16384" width="9.1796875" style="50"/>
  </cols>
  <sheetData/>
  <pageMargins left="0.7" right="0.7" top="0.75" bottom="0.75" header="0.3" footer="0.3"/>
  <pageSetup orientation="portrait" horizontalDpi="1200" verticalDpi="1200" r:id="rId1"/>
  <customProperties>
    <customPr name="OrphanNamesChecke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AE137"/>
  <sheetViews>
    <sheetView showGridLines="0" tabSelected="1" zoomScale="90" zoomScaleNormal="90" workbookViewId="0">
      <pane ySplit="6" topLeftCell="A7" activePane="bottomLeft" state="frozen"/>
      <selection pane="bottomLeft" activeCell="J5" sqref="J5"/>
    </sheetView>
  </sheetViews>
  <sheetFormatPr defaultColWidth="9.1796875" defaultRowHeight="14.5" outlineLevelRow="1" outlineLevelCol="1"/>
  <cols>
    <col min="1" max="1" width="4.81640625" style="50" customWidth="1"/>
    <col min="2" max="2" width="4.7265625" style="162" customWidth="1"/>
    <col min="3" max="6" width="4.7265625" style="50" customWidth="1"/>
    <col min="7" max="7" width="35.26953125" style="50" customWidth="1"/>
    <col min="8" max="8" width="49.7265625" style="350" hidden="1" customWidth="1" outlineLevel="1"/>
    <col min="9" max="9" width="4.81640625" style="350" customWidth="1" collapsed="1"/>
    <col min="10" max="20" width="15.7265625" style="50" customWidth="1"/>
    <col min="21" max="23" width="15.81640625" style="50" customWidth="1"/>
    <col min="24" max="16384" width="9.1796875" style="50"/>
  </cols>
  <sheetData>
    <row r="1" spans="1:31" s="57" customFormat="1">
      <c r="A1" s="334" t="str">
        <f>Summary!A1</f>
        <v>{COMPANY NAME}</v>
      </c>
      <c r="B1" s="199"/>
      <c r="C1" s="199"/>
      <c r="D1" s="199"/>
      <c r="E1" s="199"/>
      <c r="F1" s="199"/>
      <c r="G1" s="175"/>
      <c r="H1" s="344"/>
      <c r="I1" s="400"/>
      <c r="J1" s="369"/>
      <c r="K1" s="370" t="s">
        <v>260</v>
      </c>
      <c r="L1" s="175"/>
      <c r="M1" s="141"/>
      <c r="N1" s="326"/>
      <c r="O1" s="345"/>
      <c r="P1" s="345"/>
      <c r="Q1" s="345"/>
      <c r="R1" s="345"/>
      <c r="S1" s="126"/>
      <c r="T1" s="326"/>
      <c r="U1" s="326"/>
      <c r="V1" s="326"/>
      <c r="W1" s="326"/>
      <c r="X1" s="326"/>
      <c r="Y1" s="326"/>
      <c r="Z1" s="326"/>
      <c r="AA1" s="326"/>
      <c r="AB1" s="326"/>
      <c r="AC1" s="326"/>
      <c r="AD1" s="326"/>
      <c r="AE1" s="326"/>
    </row>
    <row r="2" spans="1:31" s="57" customFormat="1">
      <c r="A2" s="334" t="s">
        <v>261</v>
      </c>
      <c r="B2" s="77"/>
      <c r="C2" s="77"/>
      <c r="D2" s="77"/>
      <c r="E2" s="77"/>
      <c r="F2" s="77"/>
      <c r="G2" s="225"/>
      <c r="H2" s="346"/>
      <c r="I2" s="346"/>
      <c r="J2" s="95"/>
      <c r="K2" s="95"/>
      <c r="L2" s="225"/>
      <c r="M2" s="225"/>
      <c r="O2" s="347"/>
      <c r="P2" s="347"/>
      <c r="Q2" s="347"/>
      <c r="R2" s="347"/>
      <c r="S2" s="126"/>
    </row>
    <row r="3" spans="1:31" s="57" customFormat="1">
      <c r="A3" s="512"/>
      <c r="G3" s="56"/>
      <c r="H3" s="346"/>
      <c r="I3" s="346"/>
      <c r="J3" s="95"/>
      <c r="K3" s="95"/>
      <c r="L3" s="56"/>
      <c r="M3" s="56"/>
      <c r="O3" s="318"/>
      <c r="P3" s="71"/>
      <c r="Q3" s="71"/>
      <c r="R3" s="71"/>
      <c r="S3" s="138"/>
    </row>
    <row r="4" spans="1:31" ht="15" thickBot="1">
      <c r="A4" s="424"/>
      <c r="B4" s="77"/>
      <c r="C4" s="57"/>
      <c r="D4" s="57"/>
      <c r="E4" s="57"/>
      <c r="F4" s="57"/>
      <c r="G4" s="57"/>
      <c r="H4" s="348"/>
      <c r="I4" s="348"/>
      <c r="M4" s="504"/>
    </row>
    <row r="5" spans="1:31" ht="15" thickBot="1">
      <c r="B5" s="77"/>
      <c r="C5" s="57"/>
      <c r="D5" s="57"/>
      <c r="E5" s="57"/>
      <c r="F5" s="57"/>
      <c r="G5" s="57"/>
      <c r="H5" s="348"/>
      <c r="I5" s="348"/>
      <c r="J5" s="149" t="s">
        <v>51</v>
      </c>
      <c r="K5" s="149" t="s">
        <v>51</v>
      </c>
      <c r="L5" s="149" t="s">
        <v>51</v>
      </c>
      <c r="M5" s="149" t="s">
        <v>51</v>
      </c>
      <c r="N5" s="98" t="s">
        <v>51</v>
      </c>
      <c r="O5" s="98" t="s">
        <v>51</v>
      </c>
      <c r="P5" s="98" t="s">
        <v>51</v>
      </c>
      <c r="Q5" s="98" t="s">
        <v>51</v>
      </c>
      <c r="R5" s="98" t="s">
        <v>51</v>
      </c>
      <c r="S5" s="98" t="s">
        <v>51</v>
      </c>
      <c r="T5" s="98" t="s">
        <v>51</v>
      </c>
      <c r="U5" s="98" t="s">
        <v>51</v>
      </c>
      <c r="V5" s="98" t="s">
        <v>51</v>
      </c>
      <c r="W5" s="98" t="s">
        <v>51</v>
      </c>
    </row>
    <row r="6" spans="1:31">
      <c r="B6" s="150" t="s">
        <v>53</v>
      </c>
      <c r="C6" s="151"/>
      <c r="D6" s="151"/>
      <c r="E6" s="151"/>
      <c r="F6" s="151"/>
      <c r="G6" s="151"/>
      <c r="H6" s="349" t="s">
        <v>262</v>
      </c>
      <c r="I6" s="349"/>
      <c r="J6" s="228">
        <v>2020</v>
      </c>
      <c r="K6" s="228">
        <v>2021</v>
      </c>
      <c r="L6" s="228">
        <v>2022</v>
      </c>
      <c r="M6" s="228">
        <v>2023</v>
      </c>
      <c r="N6" s="228">
        <v>2024</v>
      </c>
      <c r="O6" s="228">
        <v>2025</v>
      </c>
      <c r="P6" s="228">
        <v>2026</v>
      </c>
      <c r="Q6" s="228">
        <v>2027</v>
      </c>
      <c r="R6" s="228">
        <v>2028</v>
      </c>
      <c r="S6" s="228">
        <v>2029</v>
      </c>
      <c r="T6" s="228">
        <v>2030</v>
      </c>
      <c r="U6" s="228">
        <v>2031</v>
      </c>
      <c r="V6" s="228">
        <v>2032</v>
      </c>
      <c r="W6" s="228">
        <v>2033</v>
      </c>
    </row>
    <row r="8" spans="1:31">
      <c r="B8" s="157" t="s">
        <v>75</v>
      </c>
      <c r="C8" s="157"/>
      <c r="D8" s="157"/>
      <c r="E8" s="157"/>
      <c r="F8" s="157"/>
      <c r="G8" s="157"/>
      <c r="H8" s="390"/>
      <c r="I8" s="348"/>
    </row>
    <row r="9" spans="1:31">
      <c r="B9" s="50"/>
    </row>
    <row r="10" spans="1:31">
      <c r="B10" s="232" t="s">
        <v>76</v>
      </c>
      <c r="C10" s="232"/>
      <c r="D10" s="232"/>
      <c r="E10" s="232"/>
      <c r="F10" s="232"/>
      <c r="G10" s="232"/>
    </row>
    <row r="11" spans="1:31">
      <c r="B11" s="233"/>
      <c r="C11" s="233" t="s">
        <v>77</v>
      </c>
      <c r="D11" s="233"/>
      <c r="E11" s="233"/>
      <c r="F11" s="233"/>
      <c r="G11" s="233"/>
      <c r="H11" s="391" t="s">
        <v>263</v>
      </c>
      <c r="I11" s="391"/>
      <c r="J11" s="368">
        <v>800</v>
      </c>
      <c r="K11" s="368">
        <v>800</v>
      </c>
      <c r="L11" s="368">
        <v>784</v>
      </c>
      <c r="M11" s="551">
        <v>700</v>
      </c>
      <c r="N11" s="368"/>
      <c r="O11" s="368"/>
      <c r="P11" s="368"/>
      <c r="Q11" s="368"/>
      <c r="R11" s="368"/>
      <c r="S11" s="368"/>
      <c r="T11" s="368"/>
      <c r="U11" s="368"/>
      <c r="V11" s="368"/>
      <c r="W11" s="368"/>
    </row>
    <row r="12" spans="1:31">
      <c r="B12" s="233"/>
      <c r="C12" s="233" t="s">
        <v>433</v>
      </c>
      <c r="D12" s="233"/>
      <c r="E12" s="233"/>
      <c r="F12" s="233"/>
      <c r="G12" s="233"/>
      <c r="H12" s="391" t="s">
        <v>263</v>
      </c>
      <c r="I12" s="391"/>
      <c r="J12" s="368">
        <v>8047307</v>
      </c>
      <c r="K12" s="368">
        <v>5794491</v>
      </c>
      <c r="L12" s="368">
        <v>5355851</v>
      </c>
      <c r="M12" s="551">
        <v>5118284</v>
      </c>
      <c r="N12" s="368"/>
      <c r="O12" s="368"/>
      <c r="P12" s="368"/>
      <c r="Q12" s="368"/>
      <c r="R12" s="368"/>
      <c r="S12" s="368"/>
      <c r="T12" s="368"/>
      <c r="U12" s="368"/>
      <c r="V12" s="368"/>
      <c r="W12" s="368"/>
    </row>
    <row r="13" spans="1:31">
      <c r="B13" s="233"/>
      <c r="C13" s="233" t="s">
        <v>79</v>
      </c>
      <c r="D13" s="233"/>
      <c r="E13" s="233"/>
      <c r="F13" s="233"/>
      <c r="G13" s="233"/>
      <c r="H13" s="391" t="s">
        <v>263</v>
      </c>
      <c r="I13" s="391"/>
      <c r="J13" s="368">
        <v>17643599</v>
      </c>
      <c r="K13" s="368">
        <v>22754877</v>
      </c>
      <c r="L13" s="368">
        <v>14735032</v>
      </c>
      <c r="M13" s="551">
        <v>17528894</v>
      </c>
      <c r="N13" s="368"/>
      <c r="O13" s="368"/>
      <c r="P13" s="368"/>
      <c r="Q13" s="368"/>
      <c r="R13" s="368"/>
      <c r="S13" s="368"/>
      <c r="T13" s="368"/>
      <c r="U13" s="368"/>
      <c r="V13" s="368"/>
      <c r="W13" s="368"/>
    </row>
    <row r="14" spans="1:31" s="57" customFormat="1">
      <c r="B14" s="232"/>
      <c r="C14" s="234"/>
      <c r="D14" s="234"/>
      <c r="E14" s="234"/>
      <c r="F14" s="234"/>
      <c r="G14" s="235" t="s">
        <v>80</v>
      </c>
      <c r="H14" s="392"/>
      <c r="I14" s="348"/>
      <c r="J14" s="79">
        <f>SUM(J11:J13)</f>
        <v>25691706</v>
      </c>
      <c r="K14" s="79">
        <f t="shared" ref="K14" si="0">SUM(K11:K13)</f>
        <v>28550168</v>
      </c>
      <c r="L14" s="79">
        <f t="shared" ref="L14:U14" si="1">SUM(L11:L13)</f>
        <v>20091667</v>
      </c>
      <c r="M14" s="79">
        <f t="shared" si="1"/>
        <v>22647878</v>
      </c>
      <c r="N14" s="79">
        <f t="shared" si="1"/>
        <v>0</v>
      </c>
      <c r="O14" s="79">
        <f t="shared" si="1"/>
        <v>0</v>
      </c>
      <c r="P14" s="79">
        <f t="shared" si="1"/>
        <v>0</v>
      </c>
      <c r="Q14" s="79">
        <f t="shared" si="1"/>
        <v>0</v>
      </c>
      <c r="R14" s="79">
        <f t="shared" si="1"/>
        <v>0</v>
      </c>
      <c r="S14" s="79">
        <f t="shared" si="1"/>
        <v>0</v>
      </c>
      <c r="T14" s="79">
        <f t="shared" si="1"/>
        <v>0</v>
      </c>
      <c r="U14" s="79">
        <f t="shared" si="1"/>
        <v>0</v>
      </c>
      <c r="V14" s="79">
        <f t="shared" ref="V14:W14" si="2">SUM(V11:V13)</f>
        <v>0</v>
      </c>
      <c r="W14" s="79">
        <f t="shared" si="2"/>
        <v>0</v>
      </c>
    </row>
    <row r="15" spans="1:31">
      <c r="B15" s="233"/>
      <c r="C15" s="233"/>
      <c r="D15" s="233"/>
      <c r="E15" s="233"/>
      <c r="F15" s="233"/>
      <c r="G15" s="233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</row>
    <row r="16" spans="1:31">
      <c r="B16" s="240" t="s">
        <v>81</v>
      </c>
      <c r="C16" s="240"/>
      <c r="D16" s="240"/>
      <c r="E16" s="240"/>
      <c r="F16" s="240"/>
      <c r="G16" s="240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</row>
    <row r="17" spans="2:23">
      <c r="B17" s="233"/>
      <c r="C17" s="241" t="s">
        <v>82</v>
      </c>
      <c r="D17" s="241"/>
      <c r="E17" s="241"/>
      <c r="F17" s="241"/>
      <c r="G17" s="233"/>
      <c r="H17" s="391" t="s">
        <v>263</v>
      </c>
      <c r="I17" s="391"/>
      <c r="J17" s="368">
        <v>4771991</v>
      </c>
      <c r="K17" s="368">
        <v>364228</v>
      </c>
      <c r="L17" s="368">
        <v>2029739</v>
      </c>
      <c r="M17" s="551">
        <v>2253707</v>
      </c>
      <c r="N17" s="368"/>
      <c r="O17" s="368"/>
      <c r="P17" s="368"/>
      <c r="Q17" s="368"/>
      <c r="R17" s="368"/>
      <c r="S17" s="368"/>
      <c r="T17" s="368"/>
      <c r="U17" s="368"/>
      <c r="V17" s="368"/>
      <c r="W17" s="368"/>
    </row>
    <row r="18" spans="2:23">
      <c r="B18" s="233"/>
      <c r="C18" s="241" t="s">
        <v>84</v>
      </c>
      <c r="D18" s="241"/>
      <c r="E18" s="241"/>
      <c r="F18" s="241"/>
      <c r="G18" s="241"/>
      <c r="H18" s="391" t="s">
        <v>12</v>
      </c>
      <c r="I18" s="391"/>
      <c r="J18" s="368"/>
      <c r="K18" s="368"/>
      <c r="L18" s="368"/>
      <c r="M18" s="551"/>
      <c r="N18" s="368"/>
      <c r="O18" s="368"/>
      <c r="P18" s="368"/>
      <c r="Q18" s="368"/>
      <c r="R18" s="368"/>
      <c r="S18" s="368"/>
      <c r="T18" s="368"/>
      <c r="U18" s="368"/>
      <c r="V18" s="368"/>
      <c r="W18" s="368"/>
    </row>
    <row r="19" spans="2:23">
      <c r="B19" s="233"/>
      <c r="C19" s="351" t="s">
        <v>85</v>
      </c>
      <c r="D19" s="351"/>
      <c r="E19" s="351"/>
      <c r="F19" s="351"/>
      <c r="G19" s="351"/>
      <c r="H19" s="391" t="s">
        <v>263</v>
      </c>
      <c r="I19" s="391"/>
      <c r="J19" s="368">
        <v>41741</v>
      </c>
      <c r="K19" s="368">
        <v>69291</v>
      </c>
      <c r="L19" s="368">
        <v>83425</v>
      </c>
      <c r="M19" s="551">
        <v>172599</v>
      </c>
      <c r="N19" s="368"/>
      <c r="O19" s="368"/>
      <c r="P19" s="368"/>
      <c r="Q19" s="368"/>
      <c r="R19" s="368"/>
      <c r="S19" s="368"/>
      <c r="T19" s="368"/>
      <c r="U19" s="368"/>
      <c r="V19" s="368"/>
      <c r="W19" s="368"/>
    </row>
    <row r="20" spans="2:23">
      <c r="B20" s="233"/>
      <c r="C20" s="351" t="s">
        <v>86</v>
      </c>
      <c r="D20" s="351"/>
      <c r="E20" s="351"/>
      <c r="F20" s="351"/>
      <c r="G20" s="351"/>
      <c r="H20" s="391" t="s">
        <v>263</v>
      </c>
      <c r="I20" s="391"/>
      <c r="J20" s="368">
        <v>1295094</v>
      </c>
      <c r="K20" s="368">
        <v>1120233</v>
      </c>
      <c r="L20" s="368">
        <v>1166716</v>
      </c>
      <c r="M20" s="551">
        <v>1181746</v>
      </c>
      <c r="N20" s="368"/>
      <c r="O20" s="368"/>
      <c r="P20" s="368"/>
      <c r="Q20" s="368"/>
      <c r="R20" s="368"/>
      <c r="S20" s="368"/>
      <c r="T20" s="368"/>
      <c r="U20" s="368"/>
      <c r="V20" s="368"/>
      <c r="W20" s="368"/>
    </row>
    <row r="21" spans="2:23">
      <c r="B21" s="233"/>
      <c r="C21" s="241" t="s">
        <v>87</v>
      </c>
      <c r="D21" s="241"/>
      <c r="E21" s="241"/>
      <c r="F21" s="241"/>
      <c r="G21" s="241"/>
      <c r="H21" s="391" t="s">
        <v>263</v>
      </c>
      <c r="I21" s="391"/>
      <c r="J21" s="368">
        <v>2524267</v>
      </c>
      <c r="K21" s="368">
        <v>2146507</v>
      </c>
      <c r="L21" s="368">
        <v>1775892</v>
      </c>
      <c r="M21" s="551">
        <v>1477076</v>
      </c>
      <c r="N21" s="368"/>
      <c r="O21" s="368"/>
      <c r="P21" s="368"/>
      <c r="Q21" s="368"/>
      <c r="R21" s="368"/>
      <c r="S21" s="368"/>
      <c r="T21" s="368"/>
      <c r="U21" s="368"/>
      <c r="V21" s="368"/>
      <c r="W21" s="368"/>
    </row>
    <row r="22" spans="2:23">
      <c r="B22" s="233"/>
      <c r="C22" s="241" t="s">
        <v>88</v>
      </c>
      <c r="D22" s="241"/>
      <c r="E22" s="241"/>
      <c r="F22" s="241"/>
      <c r="G22" s="241"/>
      <c r="H22" s="391" t="s">
        <v>263</v>
      </c>
      <c r="I22" s="391"/>
      <c r="J22" s="368">
        <v>6688754</v>
      </c>
      <c r="K22" s="368">
        <v>4136100</v>
      </c>
      <c r="L22" s="368">
        <v>3546701</v>
      </c>
      <c r="M22" s="551">
        <v>4977748</v>
      </c>
      <c r="N22" s="368"/>
      <c r="O22" s="368"/>
      <c r="P22" s="368"/>
      <c r="Q22" s="368"/>
      <c r="R22" s="368"/>
      <c r="S22" s="368"/>
      <c r="T22" s="368"/>
      <c r="U22" s="368"/>
      <c r="V22" s="368"/>
      <c r="W22" s="368"/>
    </row>
    <row r="23" spans="2:23">
      <c r="B23" s="233"/>
      <c r="C23" s="351" t="s">
        <v>89</v>
      </c>
      <c r="D23" s="351"/>
      <c r="E23" s="351"/>
      <c r="F23" s="351"/>
      <c r="G23" s="351"/>
      <c r="H23" s="391" t="s">
        <v>12</v>
      </c>
      <c r="I23" s="391"/>
      <c r="J23" s="368"/>
      <c r="K23" s="368"/>
      <c r="L23" s="368"/>
      <c r="M23" s="551"/>
      <c r="N23" s="368"/>
      <c r="O23" s="368"/>
      <c r="P23" s="368"/>
      <c r="Q23" s="368"/>
      <c r="R23" s="368"/>
      <c r="S23" s="368"/>
      <c r="T23" s="368"/>
      <c r="U23" s="368"/>
      <c r="V23" s="368"/>
      <c r="W23" s="368"/>
    </row>
    <row r="24" spans="2:23">
      <c r="B24" s="233"/>
      <c r="C24" s="233" t="s">
        <v>90</v>
      </c>
      <c r="D24" s="233"/>
      <c r="E24" s="233"/>
      <c r="F24" s="233"/>
      <c r="G24" s="233"/>
      <c r="H24" s="391" t="s">
        <v>263</v>
      </c>
      <c r="I24" s="391"/>
      <c r="J24" s="368">
        <v>9380389</v>
      </c>
      <c r="K24" s="368">
        <v>4498433</v>
      </c>
      <c r="L24" s="368">
        <v>4685289</v>
      </c>
      <c r="M24" s="551">
        <v>3925659</v>
      </c>
      <c r="N24" s="368"/>
      <c r="O24" s="368"/>
      <c r="P24" s="368"/>
      <c r="Q24" s="368"/>
      <c r="R24" s="368"/>
      <c r="S24" s="368"/>
      <c r="T24" s="368"/>
      <c r="U24" s="368"/>
      <c r="V24" s="368"/>
      <c r="W24" s="368"/>
    </row>
    <row r="25" spans="2:23">
      <c r="B25" s="233"/>
      <c r="C25" s="267" t="s">
        <v>91</v>
      </c>
      <c r="D25" s="240"/>
      <c r="E25" s="240"/>
      <c r="F25" s="240"/>
      <c r="G25" s="240"/>
      <c r="J25" s="470"/>
      <c r="K25" s="470"/>
      <c r="L25" s="470"/>
      <c r="M25" s="470"/>
      <c r="N25" s="470"/>
      <c r="O25" s="470"/>
      <c r="P25" s="470"/>
      <c r="Q25" s="470"/>
      <c r="R25" s="470"/>
      <c r="S25" s="470"/>
      <c r="T25" s="470"/>
      <c r="U25" s="470"/>
      <c r="V25" s="470"/>
      <c r="W25" s="470"/>
    </row>
    <row r="26" spans="2:23">
      <c r="B26" s="233"/>
      <c r="C26" s="233"/>
      <c r="D26" s="352" t="s">
        <v>92</v>
      </c>
      <c r="E26" s="351"/>
      <c r="F26" s="351"/>
      <c r="G26" s="351"/>
      <c r="H26" s="391" t="s">
        <v>264</v>
      </c>
      <c r="I26" s="391"/>
      <c r="J26" s="469">
        <v>110086715</v>
      </c>
      <c r="K26" s="469">
        <v>198130341</v>
      </c>
      <c r="L26" s="469">
        <v>200172908</v>
      </c>
      <c r="M26" s="552">
        <v>200421798</v>
      </c>
      <c r="N26" s="469"/>
      <c r="O26" s="469"/>
      <c r="P26" s="469"/>
      <c r="Q26" s="469"/>
      <c r="R26" s="469"/>
      <c r="S26" s="469"/>
      <c r="T26" s="469"/>
      <c r="U26" s="469"/>
      <c r="V26" s="469"/>
      <c r="W26" s="469"/>
    </row>
    <row r="27" spans="2:23">
      <c r="B27" s="233"/>
      <c r="C27" s="233"/>
      <c r="D27" s="352" t="s">
        <v>93</v>
      </c>
      <c r="E27" s="351"/>
      <c r="F27" s="351"/>
      <c r="G27" s="351"/>
      <c r="H27" s="391" t="s">
        <v>264</v>
      </c>
      <c r="I27" s="391"/>
      <c r="J27" s="368">
        <v>99948462</v>
      </c>
      <c r="K27" s="368">
        <v>65120614</v>
      </c>
      <c r="L27" s="368">
        <v>59446468</v>
      </c>
      <c r="M27" s="551">
        <v>61042978</v>
      </c>
      <c r="N27" s="368"/>
      <c r="O27" s="368"/>
      <c r="P27" s="368"/>
      <c r="Q27" s="368"/>
      <c r="R27" s="368"/>
      <c r="S27" s="368"/>
      <c r="T27" s="368"/>
      <c r="U27" s="368"/>
      <c r="V27" s="368"/>
      <c r="W27" s="368"/>
    </row>
    <row r="28" spans="2:23">
      <c r="B28" s="233"/>
      <c r="C28" s="233"/>
      <c r="D28" s="352" t="s">
        <v>39</v>
      </c>
      <c r="E28" s="351"/>
      <c r="F28" s="351"/>
      <c r="G28" s="351"/>
      <c r="H28" s="391" t="s">
        <v>264</v>
      </c>
      <c r="I28" s="391"/>
      <c r="J28" s="368">
        <v>57442185</v>
      </c>
      <c r="K28" s="368">
        <v>23836788</v>
      </c>
      <c r="L28" s="368">
        <v>45365409</v>
      </c>
      <c r="M28" s="551">
        <v>48479482</v>
      </c>
      <c r="N28" s="368"/>
      <c r="O28" s="368"/>
      <c r="P28" s="368"/>
      <c r="Q28" s="368"/>
      <c r="R28" s="368"/>
      <c r="S28" s="368"/>
      <c r="T28" s="368"/>
      <c r="U28" s="368"/>
      <c r="V28" s="368"/>
      <c r="W28" s="368"/>
    </row>
    <row r="29" spans="2:23">
      <c r="B29" s="233"/>
      <c r="C29" s="233"/>
      <c r="D29" s="352" t="s">
        <v>94</v>
      </c>
      <c r="E29" s="59"/>
      <c r="F29" s="351"/>
      <c r="G29" s="351"/>
      <c r="H29" s="391" t="s">
        <v>264</v>
      </c>
      <c r="I29" s="391"/>
      <c r="J29" s="368">
        <v>52547943</v>
      </c>
      <c r="K29" s="368">
        <v>61486931</v>
      </c>
      <c r="L29" s="368">
        <v>79695102</v>
      </c>
      <c r="M29" s="551">
        <v>75472196</v>
      </c>
      <c r="N29" s="368"/>
      <c r="O29" s="368"/>
      <c r="P29" s="368"/>
      <c r="Q29" s="368"/>
      <c r="R29" s="368"/>
      <c r="S29" s="368"/>
      <c r="T29" s="368"/>
      <c r="U29" s="368"/>
      <c r="V29" s="368"/>
      <c r="W29" s="368"/>
    </row>
    <row r="30" spans="2:23">
      <c r="B30" s="233"/>
      <c r="C30" s="233"/>
      <c r="D30" s="352" t="s">
        <v>95</v>
      </c>
      <c r="E30" s="351"/>
      <c r="F30" s="351"/>
      <c r="G30" s="351"/>
      <c r="H30" s="391"/>
      <c r="I30" s="391"/>
      <c r="J30" s="368"/>
      <c r="K30" s="368"/>
      <c r="L30" s="368"/>
      <c r="M30" s="551"/>
      <c r="N30" s="368"/>
      <c r="O30" s="368"/>
      <c r="P30" s="368"/>
      <c r="Q30" s="368"/>
      <c r="R30" s="368"/>
      <c r="S30" s="368"/>
      <c r="T30" s="368"/>
      <c r="U30" s="368"/>
      <c r="V30" s="368"/>
      <c r="W30" s="368"/>
    </row>
    <row r="31" spans="2:23">
      <c r="B31" s="233"/>
      <c r="C31" s="233"/>
      <c r="D31" s="352" t="s">
        <v>96</v>
      </c>
      <c r="E31" s="351"/>
      <c r="F31" s="351"/>
      <c r="G31" s="351"/>
      <c r="H31" s="391"/>
      <c r="I31" s="391"/>
      <c r="J31" s="368"/>
      <c r="K31" s="368"/>
      <c r="L31" s="368"/>
      <c r="M31" s="551"/>
      <c r="N31" s="368"/>
      <c r="O31" s="368"/>
      <c r="P31" s="368"/>
      <c r="Q31" s="368"/>
      <c r="R31" s="368"/>
      <c r="S31" s="368"/>
      <c r="T31" s="368"/>
      <c r="U31" s="368"/>
      <c r="V31" s="368"/>
      <c r="W31" s="368"/>
    </row>
    <row r="32" spans="2:23">
      <c r="B32" s="233"/>
      <c r="C32" s="233"/>
      <c r="D32" s="352" t="s">
        <v>97</v>
      </c>
      <c r="E32" s="351"/>
      <c r="F32" s="351"/>
      <c r="G32" s="351"/>
      <c r="H32" s="391" t="s">
        <v>264</v>
      </c>
      <c r="I32" s="391"/>
      <c r="J32" s="368">
        <v>9398843</v>
      </c>
      <c r="K32" s="368">
        <v>8439611</v>
      </c>
      <c r="L32" s="368">
        <v>0</v>
      </c>
      <c r="M32" s="551">
        <v>6796150</v>
      </c>
      <c r="N32" s="368"/>
      <c r="O32" s="368"/>
      <c r="P32" s="368"/>
      <c r="Q32" s="368"/>
      <c r="R32" s="368"/>
      <c r="S32" s="368"/>
      <c r="T32" s="368"/>
      <c r="U32" s="368"/>
      <c r="V32" s="368"/>
      <c r="W32" s="368"/>
    </row>
    <row r="33" spans="2:23">
      <c r="B33" s="233"/>
      <c r="C33" s="233"/>
      <c r="D33" s="352" t="s">
        <v>98</v>
      </c>
      <c r="E33" s="351"/>
      <c r="F33" s="351"/>
      <c r="G33" s="351"/>
      <c r="H33" s="391" t="s">
        <v>264</v>
      </c>
      <c r="I33" s="391"/>
      <c r="J33" s="368"/>
      <c r="K33" s="368"/>
      <c r="L33" s="368"/>
      <c r="M33" s="551"/>
      <c r="N33" s="368"/>
      <c r="O33" s="368"/>
      <c r="P33" s="368"/>
      <c r="Q33" s="368"/>
      <c r="R33" s="368"/>
      <c r="S33" s="368"/>
      <c r="T33" s="368"/>
      <c r="U33" s="368"/>
      <c r="V33" s="368"/>
      <c r="W33" s="368"/>
    </row>
    <row r="34" spans="2:23" s="57" customFormat="1">
      <c r="B34" s="232"/>
      <c r="C34" s="232"/>
      <c r="D34" s="249"/>
      <c r="E34" s="249"/>
      <c r="F34" s="249"/>
      <c r="G34" s="250" t="s">
        <v>470</v>
      </c>
      <c r="H34" s="392"/>
      <c r="I34" s="348"/>
      <c r="J34" s="62">
        <f>SUM(J26:J33)</f>
        <v>329424148</v>
      </c>
      <c r="K34" s="62">
        <f>SUM(K26:K33)</f>
        <v>357014285</v>
      </c>
      <c r="L34" s="62">
        <f>SUM(L26:L33)</f>
        <v>384679887</v>
      </c>
      <c r="M34" s="62">
        <f t="shared" ref="M34:N34" si="3">SUM(M26:M33)</f>
        <v>392212604</v>
      </c>
      <c r="N34" s="62">
        <f t="shared" si="3"/>
        <v>0</v>
      </c>
      <c r="O34" s="62">
        <f t="shared" ref="O34" si="4">SUM(O26:O33)</f>
        <v>0</v>
      </c>
      <c r="P34" s="62">
        <f t="shared" ref="P34" si="5">SUM(P26:P33)</f>
        <v>0</v>
      </c>
      <c r="Q34" s="62">
        <f t="shared" ref="Q34" si="6">SUM(Q26:Q33)</f>
        <v>0</v>
      </c>
      <c r="R34" s="62">
        <f t="shared" ref="R34" si="7">SUM(R26:R33)</f>
        <v>0</v>
      </c>
      <c r="S34" s="62">
        <f t="shared" ref="S34" si="8">SUM(S26:S33)</f>
        <v>0</v>
      </c>
      <c r="T34" s="62">
        <f t="shared" ref="T34" si="9">SUM(T26:T33)</f>
        <v>0</v>
      </c>
      <c r="U34" s="62">
        <f t="shared" ref="U34:W34" si="10">SUM(U26:U33)</f>
        <v>0</v>
      </c>
      <c r="V34" s="62">
        <f t="shared" si="10"/>
        <v>0</v>
      </c>
      <c r="W34" s="62">
        <f t="shared" si="10"/>
        <v>0</v>
      </c>
    </row>
    <row r="35" spans="2:23">
      <c r="B35" s="233"/>
      <c r="C35" s="233"/>
      <c r="D35" s="352" t="s">
        <v>99</v>
      </c>
      <c r="E35" s="351"/>
      <c r="F35" s="351"/>
      <c r="G35" s="351"/>
      <c r="H35" s="391" t="s">
        <v>264</v>
      </c>
      <c r="I35" s="391"/>
      <c r="J35" s="368">
        <v>3142866</v>
      </c>
      <c r="K35" s="368">
        <v>11109117</v>
      </c>
      <c r="L35" s="368">
        <v>11713544</v>
      </c>
      <c r="M35" s="551">
        <v>13091017</v>
      </c>
      <c r="N35" s="368"/>
      <c r="O35" s="368"/>
      <c r="P35" s="368"/>
      <c r="Q35" s="368"/>
      <c r="R35" s="368"/>
      <c r="S35" s="368"/>
      <c r="T35" s="368"/>
      <c r="U35" s="368"/>
      <c r="V35" s="368"/>
      <c r="W35" s="368"/>
    </row>
    <row r="36" spans="2:23">
      <c r="B36" s="233"/>
      <c r="C36" s="233"/>
      <c r="D36" s="352" t="s">
        <v>100</v>
      </c>
      <c r="E36" s="351"/>
      <c r="F36" s="351"/>
      <c r="G36" s="351"/>
      <c r="H36" s="391" t="s">
        <v>264</v>
      </c>
      <c r="I36" s="391"/>
      <c r="J36" s="368">
        <v>1778895</v>
      </c>
      <c r="K36" s="368">
        <v>2198305</v>
      </c>
      <c r="L36" s="368">
        <v>1435432</v>
      </c>
      <c r="M36" s="551">
        <v>792260</v>
      </c>
      <c r="N36" s="368"/>
      <c r="O36" s="368"/>
      <c r="P36" s="368"/>
      <c r="Q36" s="368"/>
      <c r="R36" s="368"/>
      <c r="S36" s="368"/>
      <c r="T36" s="368"/>
      <c r="U36" s="368"/>
      <c r="V36" s="368"/>
      <c r="W36" s="368"/>
    </row>
    <row r="37" spans="2:23" s="57" customFormat="1">
      <c r="B37" s="232"/>
      <c r="C37" s="232"/>
      <c r="D37" s="249"/>
      <c r="E37" s="249"/>
      <c r="F37" s="249"/>
      <c r="G37" s="250" t="s">
        <v>498</v>
      </c>
      <c r="H37" s="392"/>
      <c r="I37" s="348"/>
      <c r="J37" s="62">
        <f>SUM(J35:J36)</f>
        <v>4921761</v>
      </c>
      <c r="K37" s="62">
        <f>SUM(K35:K36)</f>
        <v>13307422</v>
      </c>
      <c r="L37" s="62">
        <f t="shared" ref="L37:N37" si="11">SUM(L35:L36)</f>
        <v>13148976</v>
      </c>
      <c r="M37" s="62">
        <f t="shared" si="11"/>
        <v>13883277</v>
      </c>
      <c r="N37" s="62">
        <f t="shared" si="11"/>
        <v>0</v>
      </c>
      <c r="O37" s="62">
        <f t="shared" ref="O37" si="12">SUM(O35:O36)</f>
        <v>0</v>
      </c>
      <c r="P37" s="62">
        <f t="shared" ref="P37" si="13">SUM(P35:P36)</f>
        <v>0</v>
      </c>
      <c r="Q37" s="62">
        <f t="shared" ref="Q37" si="14">SUM(Q35:Q36)</f>
        <v>0</v>
      </c>
      <c r="R37" s="62">
        <f t="shared" ref="R37" si="15">SUM(R35:R36)</f>
        <v>0</v>
      </c>
      <c r="S37" s="62">
        <f t="shared" ref="S37" si="16">SUM(S35:S36)</f>
        <v>0</v>
      </c>
      <c r="T37" s="62">
        <f t="shared" ref="T37" si="17">SUM(T35:T36)</f>
        <v>0</v>
      </c>
      <c r="U37" s="62">
        <f t="shared" ref="U37:W37" si="18">SUM(U35:U36)</f>
        <v>0</v>
      </c>
      <c r="V37" s="62">
        <f t="shared" si="18"/>
        <v>0</v>
      </c>
      <c r="W37" s="62">
        <f t="shared" si="18"/>
        <v>0</v>
      </c>
    </row>
    <row r="38" spans="2:23">
      <c r="B38" s="251"/>
      <c r="C38" s="251"/>
      <c r="D38" s="252"/>
      <c r="E38" s="252"/>
      <c r="F38" s="252"/>
      <c r="G38" s="253"/>
      <c r="H38" s="358"/>
      <c r="I38" s="3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</row>
    <row r="39" spans="2:23" s="57" customFormat="1">
      <c r="B39" s="232"/>
      <c r="C39" s="267" t="s">
        <v>48</v>
      </c>
      <c r="D39" s="353"/>
      <c r="E39" s="353"/>
      <c r="F39" s="353"/>
      <c r="G39" s="353"/>
      <c r="H39" s="393" t="s">
        <v>264</v>
      </c>
      <c r="I39" s="393"/>
      <c r="J39" s="62">
        <f>J34+J37</f>
        <v>334345909</v>
      </c>
      <c r="K39" s="62">
        <f>K34+K37</f>
        <v>370321707</v>
      </c>
      <c r="L39" s="62">
        <f t="shared" ref="L39:N39" si="19">L34+L37</f>
        <v>397828863</v>
      </c>
      <c r="M39" s="62">
        <f t="shared" si="19"/>
        <v>406095881</v>
      </c>
      <c r="N39" s="62">
        <f t="shared" si="19"/>
        <v>0</v>
      </c>
      <c r="O39" s="62">
        <f t="shared" ref="O39:U39" si="20">O34+O37</f>
        <v>0</v>
      </c>
      <c r="P39" s="62">
        <f t="shared" si="20"/>
        <v>0</v>
      </c>
      <c r="Q39" s="62">
        <f t="shared" si="20"/>
        <v>0</v>
      </c>
      <c r="R39" s="62">
        <f t="shared" si="20"/>
        <v>0</v>
      </c>
      <c r="S39" s="62">
        <f t="shared" si="20"/>
        <v>0</v>
      </c>
      <c r="T39" s="62">
        <f t="shared" si="20"/>
        <v>0</v>
      </c>
      <c r="U39" s="62">
        <f t="shared" si="20"/>
        <v>0</v>
      </c>
      <c r="V39" s="62">
        <f t="shared" ref="V39:W39" si="21">V34+V37</f>
        <v>0</v>
      </c>
      <c r="W39" s="62">
        <f t="shared" si="21"/>
        <v>0</v>
      </c>
    </row>
    <row r="40" spans="2:23">
      <c r="B40" s="233"/>
      <c r="C40" s="278" t="s">
        <v>102</v>
      </c>
      <c r="D40" s="278"/>
      <c r="E40" s="278"/>
      <c r="F40" s="278"/>
      <c r="G40" s="27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</row>
    <row r="41" spans="2:23">
      <c r="B41" s="233"/>
      <c r="C41" s="233"/>
      <c r="D41" s="354" t="s">
        <v>421</v>
      </c>
      <c r="E41" s="355"/>
      <c r="F41" s="355"/>
      <c r="G41" s="355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</row>
    <row r="42" spans="2:23">
      <c r="B42" s="233"/>
      <c r="C42" s="233"/>
      <c r="D42" s="352" t="s">
        <v>103</v>
      </c>
      <c r="E42" s="351"/>
      <c r="F42" s="351"/>
      <c r="G42" s="351"/>
      <c r="H42" s="391" t="s">
        <v>265</v>
      </c>
      <c r="I42" s="391"/>
      <c r="J42" s="368">
        <v>23708949</v>
      </c>
      <c r="K42" s="368">
        <v>23708949</v>
      </c>
      <c r="L42" s="368">
        <v>23708949</v>
      </c>
      <c r="M42" s="551">
        <v>23708949</v>
      </c>
      <c r="N42" s="368"/>
      <c r="O42" s="368"/>
      <c r="P42" s="368"/>
      <c r="Q42" s="368"/>
      <c r="R42" s="368"/>
      <c r="S42" s="368"/>
      <c r="T42" s="368"/>
      <c r="U42" s="368"/>
      <c r="V42" s="368"/>
      <c r="W42" s="368"/>
    </row>
    <row r="43" spans="2:23">
      <c r="B43" s="233"/>
      <c r="C43" s="233"/>
      <c r="D43" s="352" t="s">
        <v>105</v>
      </c>
      <c r="E43" s="351"/>
      <c r="F43" s="351"/>
      <c r="G43" s="351"/>
      <c r="H43" s="391" t="s">
        <v>265</v>
      </c>
      <c r="I43" s="391"/>
      <c r="J43" s="368">
        <v>6140781</v>
      </c>
      <c r="K43" s="368">
        <v>6140781</v>
      </c>
      <c r="L43" s="368">
        <v>6187360</v>
      </c>
      <c r="M43" s="551">
        <v>6215252</v>
      </c>
      <c r="N43" s="368"/>
      <c r="O43" s="368"/>
      <c r="P43" s="368"/>
      <c r="Q43" s="368"/>
      <c r="R43" s="368"/>
      <c r="S43" s="368"/>
      <c r="T43" s="368"/>
      <c r="U43" s="368"/>
      <c r="V43" s="368"/>
      <c r="W43" s="368"/>
    </row>
    <row r="44" spans="2:23">
      <c r="B44" s="233"/>
      <c r="C44" s="233"/>
      <c r="D44" s="352" t="s">
        <v>106</v>
      </c>
      <c r="E44" s="351"/>
      <c r="F44" s="351"/>
      <c r="G44" s="351"/>
      <c r="H44" s="391" t="s">
        <v>265</v>
      </c>
      <c r="I44" s="391"/>
      <c r="J44" s="368">
        <v>5709610</v>
      </c>
      <c r="K44" s="368">
        <v>5832744</v>
      </c>
      <c r="L44" s="368">
        <v>5975391</v>
      </c>
      <c r="M44" s="551">
        <v>6233495</v>
      </c>
      <c r="N44" s="368"/>
      <c r="O44" s="368"/>
      <c r="P44" s="368"/>
      <c r="Q44" s="368"/>
      <c r="R44" s="368"/>
      <c r="S44" s="368"/>
      <c r="T44" s="368"/>
      <c r="U44" s="368"/>
      <c r="V44" s="368"/>
      <c r="W44" s="368"/>
    </row>
    <row r="45" spans="2:23">
      <c r="B45" s="233"/>
      <c r="C45" s="233"/>
      <c r="D45" s="374" t="s">
        <v>107</v>
      </c>
      <c r="E45" s="375"/>
      <c r="F45" s="375"/>
      <c r="G45" s="375"/>
      <c r="H45" s="391" t="s">
        <v>265</v>
      </c>
      <c r="I45" s="391"/>
      <c r="J45" s="368">
        <v>-11581988</v>
      </c>
      <c r="K45" s="368">
        <v>-13650057</v>
      </c>
      <c r="L45" s="368">
        <v>-15863772</v>
      </c>
      <c r="M45" s="551">
        <v>-17839962</v>
      </c>
      <c r="N45" s="368"/>
      <c r="O45" s="368"/>
      <c r="P45" s="368"/>
      <c r="Q45" s="368"/>
      <c r="R45" s="368"/>
      <c r="S45" s="368"/>
      <c r="T45" s="368"/>
      <c r="U45" s="368"/>
      <c r="V45" s="368"/>
      <c r="W45" s="368"/>
    </row>
    <row r="46" spans="2:23" s="57" customFormat="1">
      <c r="B46" s="232"/>
      <c r="C46" s="232"/>
      <c r="D46" s="232"/>
      <c r="E46" s="356"/>
      <c r="F46" s="356"/>
      <c r="G46" s="263" t="s">
        <v>108</v>
      </c>
      <c r="H46" s="392"/>
      <c r="I46" s="348"/>
      <c r="J46" s="62">
        <f>SUM(J42:J45)</f>
        <v>23977352</v>
      </c>
      <c r="K46" s="62">
        <f>SUM(K42:K45)</f>
        <v>22032417</v>
      </c>
      <c r="L46" s="62">
        <f t="shared" ref="L46:N46" si="22">SUM(L42:L45)</f>
        <v>20007928</v>
      </c>
      <c r="M46" s="62">
        <f t="shared" si="22"/>
        <v>18317734</v>
      </c>
      <c r="N46" s="62">
        <f t="shared" si="22"/>
        <v>0</v>
      </c>
      <c r="O46" s="62">
        <f t="shared" ref="O46" si="23">SUM(O42:O45)</f>
        <v>0</v>
      </c>
      <c r="P46" s="62">
        <f t="shared" ref="P46" si="24">SUM(P42:P45)</f>
        <v>0</v>
      </c>
      <c r="Q46" s="62">
        <f t="shared" ref="Q46" si="25">SUM(Q42:Q45)</f>
        <v>0</v>
      </c>
      <c r="R46" s="62">
        <f t="shared" ref="R46" si="26">SUM(R42:R45)</f>
        <v>0</v>
      </c>
      <c r="S46" s="62">
        <f t="shared" ref="S46" si="27">SUM(S42:S45)</f>
        <v>0</v>
      </c>
      <c r="T46" s="62">
        <f t="shared" ref="T46" si="28">SUM(T42:T45)</f>
        <v>0</v>
      </c>
      <c r="U46" s="62">
        <f t="shared" ref="U46:W46" si="29">SUM(U42:U45)</f>
        <v>0</v>
      </c>
      <c r="V46" s="62">
        <f t="shared" si="29"/>
        <v>0</v>
      </c>
      <c r="W46" s="62">
        <f t="shared" si="29"/>
        <v>0</v>
      </c>
    </row>
    <row r="47" spans="2:23">
      <c r="B47" s="233"/>
      <c r="C47" s="233"/>
      <c r="D47" s="263" t="s">
        <v>109</v>
      </c>
      <c r="E47" s="356"/>
      <c r="F47" s="356"/>
      <c r="G47" s="263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</row>
    <row r="48" spans="2:23">
      <c r="B48" s="233"/>
      <c r="C48" s="233"/>
      <c r="D48" s="263"/>
      <c r="E48" s="352" t="s">
        <v>460</v>
      </c>
      <c r="F48" s="356"/>
      <c r="G48" s="356"/>
      <c r="H48" s="391" t="s">
        <v>265</v>
      </c>
      <c r="I48" s="391"/>
      <c r="J48" s="368">
        <v>200000000</v>
      </c>
      <c r="K48" s="368">
        <v>200000000</v>
      </c>
      <c r="L48" s="368">
        <v>200000000</v>
      </c>
      <c r="M48" s="551">
        <v>200000000</v>
      </c>
      <c r="N48" s="368"/>
      <c r="O48" s="368"/>
      <c r="P48" s="368"/>
      <c r="Q48" s="368"/>
      <c r="R48" s="368"/>
      <c r="S48" s="368"/>
      <c r="T48" s="368"/>
      <c r="U48" s="368"/>
      <c r="V48" s="368"/>
      <c r="W48" s="368"/>
    </row>
    <row r="49" spans="2:23">
      <c r="B49" s="233"/>
      <c r="C49" s="233"/>
      <c r="D49" s="263"/>
      <c r="E49" s="263" t="s">
        <v>462</v>
      </c>
      <c r="F49" s="356"/>
      <c r="G49" s="356"/>
      <c r="J49" s="58"/>
      <c r="K49" s="58"/>
      <c r="L49" s="58"/>
      <c r="M49" s="553"/>
      <c r="N49" s="58"/>
      <c r="O49" s="58"/>
      <c r="P49" s="58"/>
      <c r="Q49" s="58"/>
      <c r="R49" s="58"/>
      <c r="S49" s="58"/>
      <c r="T49" s="58"/>
      <c r="U49" s="58"/>
      <c r="V49" s="58"/>
      <c r="W49" s="58"/>
    </row>
    <row r="50" spans="2:23" hidden="1" outlineLevel="1">
      <c r="B50" s="233"/>
      <c r="C50" s="233"/>
      <c r="D50" s="267"/>
      <c r="E50" s="268"/>
      <c r="F50" s="580"/>
      <c r="G50" s="353"/>
      <c r="J50" s="58"/>
      <c r="K50" s="58"/>
      <c r="L50" s="58"/>
      <c r="M50" s="553"/>
      <c r="N50" s="58"/>
      <c r="O50" s="58"/>
      <c r="P50" s="58"/>
      <c r="Q50" s="58"/>
      <c r="R50" s="58"/>
      <c r="S50" s="58"/>
      <c r="T50" s="58"/>
      <c r="U50" s="58"/>
      <c r="V50" s="58"/>
      <c r="W50" s="58"/>
    </row>
    <row r="51" spans="2:23" hidden="1" outlineLevel="1">
      <c r="B51" s="233"/>
      <c r="C51" s="233"/>
      <c r="D51" s="267"/>
      <c r="E51" s="268"/>
      <c r="F51" s="580"/>
      <c r="G51" s="353"/>
      <c r="J51" s="58"/>
      <c r="K51" s="58"/>
      <c r="L51" s="58"/>
      <c r="M51" s="553"/>
      <c r="N51" s="58"/>
      <c r="O51" s="58"/>
      <c r="P51" s="58"/>
      <c r="Q51" s="58"/>
      <c r="R51" s="58"/>
      <c r="S51" s="58"/>
      <c r="T51" s="58"/>
      <c r="U51" s="58"/>
      <c r="V51" s="58"/>
      <c r="W51" s="58"/>
    </row>
    <row r="52" spans="2:23" hidden="1" outlineLevel="1">
      <c r="B52" s="233"/>
      <c r="C52" s="233"/>
      <c r="D52" s="267"/>
      <c r="E52" s="268"/>
      <c r="F52" s="580"/>
      <c r="G52" s="353"/>
      <c r="J52" s="58"/>
      <c r="K52" s="58"/>
      <c r="L52" s="58"/>
      <c r="M52" s="553"/>
      <c r="N52" s="58"/>
      <c r="O52" s="58"/>
      <c r="P52" s="58"/>
      <c r="Q52" s="58"/>
      <c r="R52" s="58"/>
      <c r="S52" s="58"/>
      <c r="T52" s="58"/>
      <c r="U52" s="58"/>
      <c r="V52" s="58"/>
      <c r="W52" s="58"/>
    </row>
    <row r="53" spans="2:23" hidden="1" outlineLevel="1">
      <c r="B53" s="233"/>
      <c r="C53" s="233"/>
      <c r="D53" s="267"/>
      <c r="E53" s="268"/>
      <c r="F53" s="580"/>
      <c r="G53" s="353"/>
      <c r="J53" s="58"/>
      <c r="K53" s="58"/>
      <c r="L53" s="58"/>
      <c r="M53" s="553"/>
      <c r="N53" s="58"/>
      <c r="O53" s="58"/>
      <c r="P53" s="58"/>
      <c r="Q53" s="58"/>
      <c r="R53" s="58"/>
      <c r="S53" s="58"/>
      <c r="T53" s="58"/>
      <c r="U53" s="58"/>
      <c r="V53" s="58"/>
      <c r="W53" s="58"/>
    </row>
    <row r="54" spans="2:23" hidden="1" outlineLevel="1">
      <c r="B54" s="233"/>
      <c r="C54" s="233"/>
      <c r="D54" s="267"/>
      <c r="E54" s="268"/>
      <c r="F54" s="580"/>
      <c r="G54" s="353"/>
      <c r="J54" s="58"/>
      <c r="K54" s="58"/>
      <c r="L54" s="58"/>
      <c r="M54" s="553"/>
      <c r="N54" s="58"/>
      <c r="O54" s="58"/>
      <c r="P54" s="58"/>
      <c r="Q54" s="58"/>
      <c r="R54" s="58"/>
      <c r="S54" s="58"/>
      <c r="T54" s="58"/>
      <c r="U54" s="58"/>
      <c r="V54" s="58"/>
      <c r="W54" s="58"/>
    </row>
    <row r="55" spans="2:23" hidden="1" outlineLevel="1">
      <c r="B55" s="233"/>
      <c r="C55" s="233"/>
      <c r="D55" s="267"/>
      <c r="E55" s="268"/>
      <c r="F55" s="580"/>
      <c r="G55" s="353"/>
      <c r="J55" s="58"/>
      <c r="K55" s="58"/>
      <c r="L55" s="58"/>
      <c r="M55" s="553"/>
      <c r="N55" s="58"/>
      <c r="O55" s="58"/>
      <c r="P55" s="58"/>
      <c r="Q55" s="58"/>
      <c r="R55" s="58"/>
      <c r="S55" s="58"/>
      <c r="T55" s="58"/>
      <c r="U55" s="58"/>
      <c r="V55" s="58"/>
      <c r="W55" s="58"/>
    </row>
    <row r="56" spans="2:23" hidden="1" outlineLevel="1">
      <c r="B56" s="233"/>
      <c r="C56" s="233"/>
      <c r="D56" s="267"/>
      <c r="E56" s="268"/>
      <c r="F56" s="580"/>
      <c r="G56" s="353"/>
      <c r="J56" s="58"/>
      <c r="K56" s="58"/>
      <c r="L56" s="58"/>
      <c r="M56" s="553"/>
      <c r="N56" s="58"/>
      <c r="O56" s="58"/>
      <c r="P56" s="58"/>
      <c r="Q56" s="58"/>
      <c r="R56" s="58"/>
      <c r="S56" s="58"/>
      <c r="T56" s="58"/>
      <c r="U56" s="58"/>
      <c r="V56" s="58"/>
      <c r="W56" s="58"/>
    </row>
    <row r="57" spans="2:23" hidden="1" outlineLevel="1">
      <c r="B57" s="233"/>
      <c r="C57" s="233"/>
      <c r="D57" s="267"/>
      <c r="E57" s="268"/>
      <c r="F57" s="580"/>
      <c r="G57" s="353"/>
      <c r="J57" s="58"/>
      <c r="K57" s="58"/>
      <c r="L57" s="58"/>
      <c r="M57" s="553"/>
      <c r="N57" s="58"/>
      <c r="O57" s="58"/>
      <c r="P57" s="58"/>
      <c r="Q57" s="58"/>
      <c r="R57" s="58"/>
      <c r="S57" s="58"/>
      <c r="T57" s="58"/>
      <c r="U57" s="58"/>
      <c r="V57" s="58"/>
      <c r="W57" s="58"/>
    </row>
    <row r="58" spans="2:23" collapsed="1">
      <c r="B58" s="233"/>
      <c r="C58" s="233"/>
      <c r="D58" s="263"/>
      <c r="E58" s="263" t="s">
        <v>463</v>
      </c>
      <c r="F58" s="356"/>
      <c r="G58" s="356"/>
      <c r="H58" s="391" t="s">
        <v>265</v>
      </c>
      <c r="I58" s="391"/>
      <c r="J58" s="368">
        <v>13961981</v>
      </c>
      <c r="K58" s="368">
        <v>13961981</v>
      </c>
      <c r="L58" s="368">
        <v>13961981</v>
      </c>
      <c r="M58" s="551">
        <v>13961981</v>
      </c>
      <c r="N58" s="368"/>
      <c r="O58" s="368"/>
      <c r="P58" s="368"/>
      <c r="Q58" s="368"/>
      <c r="R58" s="368"/>
      <c r="S58" s="368"/>
      <c r="T58" s="368"/>
      <c r="U58" s="368"/>
      <c r="V58" s="368"/>
      <c r="W58" s="368"/>
    </row>
    <row r="59" spans="2:23">
      <c r="B59" s="233"/>
      <c r="C59" s="233"/>
      <c r="D59" s="263" t="s">
        <v>110</v>
      </c>
      <c r="E59" s="351"/>
      <c r="F59" s="351"/>
      <c r="G59" s="351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</row>
    <row r="60" spans="2:23">
      <c r="B60" s="233"/>
      <c r="C60" s="233"/>
      <c r="D60" s="374" t="s">
        <v>111</v>
      </c>
      <c r="E60" s="376"/>
      <c r="F60" s="377"/>
      <c r="G60" s="356"/>
      <c r="H60" s="391"/>
      <c r="I60" s="391"/>
      <c r="J60" s="551"/>
      <c r="K60" s="551"/>
      <c r="L60" s="551"/>
      <c r="M60" s="551">
        <v>21041</v>
      </c>
      <c r="N60" s="551"/>
      <c r="O60" s="551"/>
      <c r="P60" s="551"/>
      <c r="Q60" s="551"/>
      <c r="R60" s="551"/>
      <c r="S60" s="551"/>
      <c r="T60" s="551"/>
      <c r="U60" s="551"/>
      <c r="V60" s="551"/>
      <c r="W60" s="551"/>
    </row>
    <row r="61" spans="2:23" s="57" customFormat="1">
      <c r="B61" s="232"/>
      <c r="C61" s="232"/>
      <c r="D61" s="232"/>
      <c r="E61" s="356"/>
      <c r="F61" s="356"/>
      <c r="G61" s="250" t="s">
        <v>419</v>
      </c>
      <c r="H61" s="392"/>
      <c r="I61" s="348"/>
      <c r="J61" s="62">
        <f>SUM(J48:J60)</f>
        <v>213961981</v>
      </c>
      <c r="K61" s="62">
        <f>SUM(K48:K60)</f>
        <v>213961981</v>
      </c>
      <c r="L61" s="62">
        <f t="shared" ref="L61:N61" si="30">SUM(L48:L60)</f>
        <v>213961981</v>
      </c>
      <c r="M61" s="62">
        <f t="shared" si="30"/>
        <v>213983022</v>
      </c>
      <c r="N61" s="62">
        <f t="shared" si="30"/>
        <v>0</v>
      </c>
      <c r="O61" s="62">
        <f t="shared" ref="O61" si="31">SUM(O48:O60)</f>
        <v>0</v>
      </c>
      <c r="P61" s="62">
        <f t="shared" ref="P61" si="32">SUM(P48:P60)</f>
        <v>0</v>
      </c>
      <c r="Q61" s="62">
        <f t="shared" ref="Q61" si="33">SUM(Q48:Q60)</f>
        <v>0</v>
      </c>
      <c r="R61" s="62">
        <f t="shared" ref="R61" si="34">SUM(R48:R60)</f>
        <v>0</v>
      </c>
      <c r="S61" s="62">
        <f t="shared" ref="S61" si="35">SUM(S48:S60)</f>
        <v>0</v>
      </c>
      <c r="T61" s="62">
        <f t="shared" ref="T61" si="36">SUM(T48:T60)</f>
        <v>0</v>
      </c>
      <c r="U61" s="62">
        <f t="shared" ref="U61:W61" si="37">SUM(U48:U60)</f>
        <v>0</v>
      </c>
      <c r="V61" s="62">
        <f t="shared" si="37"/>
        <v>0</v>
      </c>
      <c r="W61" s="62">
        <f t="shared" si="37"/>
        <v>0</v>
      </c>
    </row>
    <row r="62" spans="2:23">
      <c r="B62" s="233"/>
      <c r="C62" s="233"/>
      <c r="D62" s="354" t="s">
        <v>517</v>
      </c>
      <c r="E62" s="355"/>
      <c r="F62" s="355"/>
      <c r="G62" s="355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</row>
    <row r="63" spans="2:23">
      <c r="B63" s="233"/>
      <c r="C63" s="233"/>
      <c r="D63" s="354"/>
      <c r="E63" s="355"/>
      <c r="F63" s="355"/>
      <c r="G63" s="355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</row>
    <row r="64" spans="2:23">
      <c r="B64" s="233"/>
      <c r="C64" s="233"/>
      <c r="D64" s="352" t="s">
        <v>103</v>
      </c>
      <c r="E64" s="351"/>
      <c r="F64" s="351"/>
      <c r="G64" s="351"/>
      <c r="H64" s="391" t="s">
        <v>265</v>
      </c>
      <c r="I64" s="641"/>
      <c r="J64" s="368">
        <v>968388</v>
      </c>
      <c r="K64" s="368">
        <v>1196598</v>
      </c>
      <c r="L64" s="368">
        <v>3104262</v>
      </c>
      <c r="M64" s="368">
        <v>3445360</v>
      </c>
      <c r="N64" s="368"/>
      <c r="O64" s="368"/>
      <c r="P64" s="368"/>
      <c r="Q64" s="368"/>
      <c r="R64" s="368"/>
      <c r="S64" s="368"/>
      <c r="T64" s="368"/>
      <c r="U64" s="368"/>
      <c r="V64" s="368"/>
      <c r="W64" s="368"/>
    </row>
    <row r="65" spans="2:23">
      <c r="B65" s="233"/>
      <c r="C65" s="233"/>
      <c r="D65" s="352" t="s">
        <v>105</v>
      </c>
      <c r="E65" s="351"/>
      <c r="F65" s="351"/>
      <c r="G65" s="351"/>
      <c r="H65" s="391" t="s">
        <v>265</v>
      </c>
      <c r="I65" s="641"/>
      <c r="J65" s="368">
        <v>1613512</v>
      </c>
      <c r="K65" s="368">
        <v>1651916</v>
      </c>
      <c r="L65" s="368">
        <v>0</v>
      </c>
      <c r="M65" s="368"/>
      <c r="N65" s="368"/>
      <c r="O65" s="368"/>
      <c r="P65" s="368"/>
      <c r="Q65" s="368"/>
      <c r="R65" s="368"/>
      <c r="S65" s="368"/>
      <c r="T65" s="368"/>
      <c r="U65" s="368"/>
      <c r="V65" s="368"/>
      <c r="W65" s="368"/>
    </row>
    <row r="66" spans="2:23">
      <c r="B66" s="233"/>
      <c r="C66" s="233"/>
      <c r="D66" s="352" t="s">
        <v>106</v>
      </c>
      <c r="E66" s="351"/>
      <c r="F66" s="351"/>
      <c r="G66" s="351"/>
      <c r="H66" s="391" t="s">
        <v>265</v>
      </c>
      <c r="I66" s="641"/>
      <c r="J66" s="368">
        <v>958173</v>
      </c>
      <c r="K66" s="368">
        <v>993982</v>
      </c>
      <c r="L66" s="368">
        <v>926734</v>
      </c>
      <c r="M66" s="368">
        <v>923806</v>
      </c>
      <c r="N66" s="368"/>
      <c r="O66" s="368"/>
      <c r="P66" s="368"/>
      <c r="Q66" s="368"/>
      <c r="R66" s="368"/>
      <c r="S66" s="368"/>
      <c r="T66" s="368"/>
      <c r="U66" s="368"/>
      <c r="V66" s="368"/>
      <c r="W66" s="368"/>
    </row>
    <row r="67" spans="2:23">
      <c r="B67" s="233"/>
      <c r="C67" s="233"/>
      <c r="D67" s="352" t="s">
        <v>516</v>
      </c>
      <c r="E67" s="351"/>
      <c r="F67" s="351"/>
      <c r="G67" s="351"/>
      <c r="H67" s="391" t="s">
        <v>265</v>
      </c>
      <c r="I67" s="641"/>
      <c r="J67" s="368">
        <v>0</v>
      </c>
      <c r="K67" s="368">
        <v>0</v>
      </c>
      <c r="L67" s="368">
        <v>244742</v>
      </c>
      <c r="M67" s="368">
        <v>227402</v>
      </c>
      <c r="N67" s="368"/>
      <c r="O67" s="368"/>
      <c r="P67" s="368"/>
      <c r="Q67" s="368"/>
      <c r="R67" s="368"/>
      <c r="S67" s="368"/>
      <c r="T67" s="368"/>
      <c r="U67" s="368"/>
      <c r="V67" s="368"/>
      <c r="W67" s="368"/>
    </row>
    <row r="68" spans="2:23">
      <c r="B68" s="233"/>
      <c r="C68" s="233"/>
      <c r="D68" s="374" t="s">
        <v>107</v>
      </c>
      <c r="E68" s="375"/>
      <c r="F68" s="375"/>
      <c r="G68" s="351"/>
      <c r="H68" s="391" t="s">
        <v>265</v>
      </c>
      <c r="I68" s="641"/>
      <c r="J68" s="368">
        <v>-1611697</v>
      </c>
      <c r="K68" s="368">
        <v>-1909242</v>
      </c>
      <c r="L68" s="368">
        <v>-2197309</v>
      </c>
      <c r="M68" s="368">
        <v>-2489934</v>
      </c>
      <c r="N68" s="368"/>
      <c r="O68" s="368"/>
      <c r="P68" s="368"/>
      <c r="Q68" s="368"/>
      <c r="R68" s="368"/>
      <c r="S68" s="368"/>
      <c r="T68" s="368"/>
      <c r="U68" s="368"/>
      <c r="V68" s="368"/>
      <c r="W68" s="368"/>
    </row>
    <row r="69" spans="2:23" s="57" customFormat="1">
      <c r="B69" s="232"/>
      <c r="C69" s="232"/>
      <c r="D69" s="232"/>
      <c r="E69" s="356"/>
      <c r="F69" s="356"/>
      <c r="G69" s="250" t="s">
        <v>108</v>
      </c>
      <c r="H69" s="392"/>
      <c r="I69" s="348"/>
      <c r="J69" s="62">
        <f t="shared" ref="J69:M69" si="38">SUM(J64:J68)</f>
        <v>1928376</v>
      </c>
      <c r="K69" s="62">
        <f t="shared" si="38"/>
        <v>1933254</v>
      </c>
      <c r="L69" s="62">
        <f t="shared" si="38"/>
        <v>2078429</v>
      </c>
      <c r="M69" s="62">
        <f t="shared" si="38"/>
        <v>2106634</v>
      </c>
      <c r="N69" s="62"/>
      <c r="O69" s="62"/>
      <c r="P69" s="62"/>
      <c r="Q69" s="62"/>
      <c r="R69" s="62"/>
      <c r="S69" s="62"/>
      <c r="T69" s="62"/>
      <c r="U69" s="62"/>
      <c r="V69" s="62"/>
      <c r="W69" s="62"/>
    </row>
    <row r="70" spans="2:23">
      <c r="B70" s="233"/>
      <c r="C70" s="233"/>
      <c r="D70" s="263" t="s">
        <v>109</v>
      </c>
      <c r="E70" s="351"/>
      <c r="F70" s="351"/>
      <c r="G70" s="351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</row>
    <row r="71" spans="2:23">
      <c r="B71" s="233"/>
      <c r="C71" s="233"/>
      <c r="D71" s="352"/>
      <c r="E71" s="351" t="s">
        <v>110</v>
      </c>
      <c r="F71" s="351"/>
      <c r="G71" s="351"/>
      <c r="H71" s="391" t="s">
        <v>265</v>
      </c>
      <c r="I71" s="641"/>
      <c r="J71" s="368">
        <v>13003821</v>
      </c>
      <c r="K71" s="368">
        <v>13003821</v>
      </c>
      <c r="L71" s="368">
        <v>13003821</v>
      </c>
      <c r="M71" s="368">
        <v>13072711</v>
      </c>
      <c r="N71" s="368"/>
      <c r="O71" s="368"/>
      <c r="P71" s="368"/>
      <c r="Q71" s="368"/>
      <c r="R71" s="368"/>
      <c r="S71" s="368"/>
      <c r="T71" s="368"/>
      <c r="U71" s="368"/>
      <c r="V71" s="368"/>
      <c r="W71" s="368"/>
    </row>
    <row r="72" spans="2:23">
      <c r="B72" s="233"/>
      <c r="C72" s="233"/>
      <c r="D72" s="378" t="s">
        <v>110</v>
      </c>
      <c r="E72" s="375"/>
      <c r="F72" s="375"/>
      <c r="G72" s="351"/>
      <c r="J72" s="282"/>
      <c r="K72" s="282"/>
      <c r="L72" s="282"/>
      <c r="M72" s="282"/>
      <c r="N72" s="282"/>
      <c r="O72" s="282"/>
      <c r="P72" s="282"/>
      <c r="Q72" s="282"/>
      <c r="R72" s="282"/>
      <c r="S72" s="282"/>
      <c r="T72" s="282"/>
      <c r="U72" s="282"/>
      <c r="V72" s="282"/>
      <c r="W72" s="282"/>
    </row>
    <row r="73" spans="2:23" s="57" customFormat="1">
      <c r="B73" s="232"/>
      <c r="C73" s="232"/>
      <c r="D73" s="232"/>
      <c r="E73" s="356"/>
      <c r="F73" s="356"/>
      <c r="G73" s="250" t="s">
        <v>518</v>
      </c>
      <c r="H73" s="392"/>
      <c r="I73" s="348"/>
      <c r="J73" s="62">
        <f>J69+J71</f>
        <v>14932197</v>
      </c>
      <c r="K73" s="62">
        <f>K69+K71</f>
        <v>14937075</v>
      </c>
      <c r="L73" s="62">
        <f t="shared" ref="L73:M73" si="39">L69+L71</f>
        <v>15082250</v>
      </c>
      <c r="M73" s="62">
        <f t="shared" si="39"/>
        <v>15179345</v>
      </c>
      <c r="N73" s="62"/>
      <c r="O73" s="62"/>
      <c r="P73" s="62"/>
      <c r="Q73" s="62"/>
      <c r="R73" s="62"/>
      <c r="S73" s="62"/>
      <c r="T73" s="62"/>
      <c r="U73" s="62"/>
      <c r="V73" s="62"/>
      <c r="W73" s="62"/>
    </row>
    <row r="74" spans="2:23">
      <c r="B74" s="251"/>
      <c r="C74" s="251"/>
      <c r="D74" s="251"/>
      <c r="E74" s="252"/>
      <c r="F74" s="252"/>
      <c r="G74" s="253"/>
      <c r="H74" s="358"/>
      <c r="I74" s="3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</row>
    <row r="75" spans="2:23" s="57" customFormat="1">
      <c r="B75" s="232"/>
      <c r="C75" s="267" t="s">
        <v>112</v>
      </c>
      <c r="D75" s="267"/>
      <c r="E75" s="267"/>
      <c r="F75" s="267"/>
      <c r="G75" s="267"/>
      <c r="H75" s="348"/>
      <c r="I75" s="348"/>
      <c r="J75" s="62">
        <f>J46+J61+J73</f>
        <v>252871530</v>
      </c>
      <c r="K75" s="62">
        <f t="shared" ref="K75:U75" si="40">K46+K61+K73</f>
        <v>250931473</v>
      </c>
      <c r="L75" s="62">
        <f t="shared" si="40"/>
        <v>249052159</v>
      </c>
      <c r="M75" s="62">
        <f t="shared" si="40"/>
        <v>247480101</v>
      </c>
      <c r="N75" s="62">
        <f t="shared" si="40"/>
        <v>0</v>
      </c>
      <c r="O75" s="62">
        <f t="shared" si="40"/>
        <v>0</v>
      </c>
      <c r="P75" s="62">
        <f t="shared" si="40"/>
        <v>0</v>
      </c>
      <c r="Q75" s="62">
        <f t="shared" si="40"/>
        <v>0</v>
      </c>
      <c r="R75" s="62">
        <f t="shared" si="40"/>
        <v>0</v>
      </c>
      <c r="S75" s="62">
        <f t="shared" si="40"/>
        <v>0</v>
      </c>
      <c r="T75" s="62">
        <f t="shared" si="40"/>
        <v>0</v>
      </c>
      <c r="U75" s="62">
        <f t="shared" si="40"/>
        <v>0</v>
      </c>
      <c r="V75" s="62">
        <f t="shared" ref="V75:W75" si="41">V46+V61+V73</f>
        <v>0</v>
      </c>
      <c r="W75" s="62">
        <f t="shared" si="41"/>
        <v>0</v>
      </c>
    </row>
    <row r="76" spans="2:23">
      <c r="B76" s="233"/>
      <c r="C76" s="233" t="s">
        <v>113</v>
      </c>
      <c r="D76" s="233"/>
      <c r="E76" s="233"/>
      <c r="F76" s="233"/>
      <c r="G76" s="233"/>
      <c r="H76" s="391" t="s">
        <v>263</v>
      </c>
      <c r="I76" s="391"/>
      <c r="J76" s="368">
        <v>184230</v>
      </c>
      <c r="K76" s="368">
        <v>365259</v>
      </c>
      <c r="L76" s="368">
        <v>294142</v>
      </c>
      <c r="M76" s="551">
        <v>284790</v>
      </c>
      <c r="N76" s="368"/>
      <c r="O76" s="368"/>
      <c r="P76" s="368"/>
      <c r="Q76" s="368"/>
      <c r="R76" s="368"/>
      <c r="S76" s="368"/>
      <c r="T76" s="368"/>
      <c r="U76" s="368"/>
      <c r="V76" s="368"/>
      <c r="W76" s="368"/>
    </row>
    <row r="77" spans="2:23" s="57" customFormat="1">
      <c r="B77" s="232"/>
      <c r="C77" s="269"/>
      <c r="D77" s="269"/>
      <c r="E77" s="269"/>
      <c r="F77" s="269"/>
      <c r="G77" s="270" t="s">
        <v>114</v>
      </c>
      <c r="H77" s="392"/>
      <c r="I77" s="348"/>
      <c r="J77" s="371">
        <f t="shared" ref="J77:U77" si="42">SUM(J17:J24,J39,J75,J76)</f>
        <v>612103905</v>
      </c>
      <c r="K77" s="371">
        <f t="shared" si="42"/>
        <v>633953231</v>
      </c>
      <c r="L77" s="371">
        <f t="shared" si="42"/>
        <v>660462926</v>
      </c>
      <c r="M77" s="371">
        <f t="shared" si="42"/>
        <v>667849307</v>
      </c>
      <c r="N77" s="371">
        <f t="shared" si="42"/>
        <v>0</v>
      </c>
      <c r="O77" s="371">
        <f t="shared" si="42"/>
        <v>0</v>
      </c>
      <c r="P77" s="371">
        <f t="shared" si="42"/>
        <v>0</v>
      </c>
      <c r="Q77" s="371">
        <f t="shared" si="42"/>
        <v>0</v>
      </c>
      <c r="R77" s="371">
        <f t="shared" si="42"/>
        <v>0</v>
      </c>
      <c r="S77" s="371">
        <f t="shared" si="42"/>
        <v>0</v>
      </c>
      <c r="T77" s="371">
        <f t="shared" si="42"/>
        <v>0</v>
      </c>
      <c r="U77" s="371">
        <f t="shared" si="42"/>
        <v>0</v>
      </c>
      <c r="V77" s="371">
        <f t="shared" ref="V77:W77" si="43">SUM(V17:V24,V39,V75,V76)</f>
        <v>0</v>
      </c>
      <c r="W77" s="371">
        <f t="shared" si="43"/>
        <v>0</v>
      </c>
    </row>
    <row r="78" spans="2:23">
      <c r="B78" s="233"/>
      <c r="C78" s="268" t="s">
        <v>266</v>
      </c>
      <c r="D78" s="241"/>
      <c r="E78" s="241"/>
      <c r="F78" s="241"/>
      <c r="G78" s="241"/>
      <c r="H78" s="391" t="s">
        <v>263</v>
      </c>
      <c r="I78" s="391"/>
      <c r="J78" s="368">
        <v>3070777</v>
      </c>
      <c r="K78" s="368">
        <v>10362562</v>
      </c>
      <c r="L78" s="368">
        <v>7089131</v>
      </c>
      <c r="M78" s="551">
        <v>5801500</v>
      </c>
      <c r="N78" s="368"/>
      <c r="O78" s="368"/>
      <c r="P78" s="368"/>
      <c r="Q78" s="368"/>
      <c r="R78" s="368"/>
      <c r="S78" s="368"/>
      <c r="T78" s="368"/>
      <c r="U78" s="368"/>
      <c r="V78" s="368"/>
      <c r="W78" s="368"/>
    </row>
    <row r="79" spans="2:23">
      <c r="B79" s="233"/>
      <c r="C79" s="268" t="s">
        <v>116</v>
      </c>
      <c r="D79" s="241"/>
      <c r="E79" s="241"/>
      <c r="F79" s="241"/>
      <c r="G79" s="241"/>
      <c r="H79" s="391"/>
      <c r="I79" s="391"/>
      <c r="J79" s="368"/>
      <c r="K79" s="368"/>
      <c r="L79" s="368">
        <v>1881695</v>
      </c>
      <c r="M79" s="551">
        <v>2418015</v>
      </c>
      <c r="N79" s="368"/>
      <c r="O79" s="368"/>
      <c r="P79" s="368"/>
      <c r="Q79" s="368"/>
      <c r="R79" s="368"/>
      <c r="S79" s="368"/>
      <c r="T79" s="368"/>
      <c r="U79" s="368"/>
      <c r="V79" s="368"/>
      <c r="W79" s="368"/>
    </row>
    <row r="80" spans="2:23" ht="15" thickBot="1">
      <c r="B80" s="233"/>
      <c r="C80" s="271"/>
      <c r="D80" s="271"/>
      <c r="E80" s="271"/>
      <c r="F80" s="271"/>
      <c r="G80" s="272" t="s">
        <v>117</v>
      </c>
      <c r="H80" s="394"/>
      <c r="I80" s="401"/>
      <c r="J80" s="366">
        <f>+J14+J77+J78+J79</f>
        <v>640866388</v>
      </c>
      <c r="K80" s="366">
        <f t="shared" ref="K80:W80" si="44">+K14+K77+K78+K79</f>
        <v>672865961</v>
      </c>
      <c r="L80" s="366">
        <f t="shared" si="44"/>
        <v>689525419</v>
      </c>
      <c r="M80" s="366">
        <f>+M14+M77+M78+M79</f>
        <v>698716700</v>
      </c>
      <c r="N80" s="366">
        <f t="shared" si="44"/>
        <v>0</v>
      </c>
      <c r="O80" s="366">
        <f t="shared" si="44"/>
        <v>0</v>
      </c>
      <c r="P80" s="366">
        <f t="shared" si="44"/>
        <v>0</v>
      </c>
      <c r="Q80" s="366">
        <f t="shared" si="44"/>
        <v>0</v>
      </c>
      <c r="R80" s="366">
        <f t="shared" si="44"/>
        <v>0</v>
      </c>
      <c r="S80" s="366">
        <f t="shared" si="44"/>
        <v>0</v>
      </c>
      <c r="T80" s="366">
        <f t="shared" si="44"/>
        <v>0</v>
      </c>
      <c r="U80" s="366">
        <f t="shared" si="44"/>
        <v>0</v>
      </c>
      <c r="V80" s="366">
        <f t="shared" si="44"/>
        <v>0</v>
      </c>
      <c r="W80" s="366">
        <f t="shared" si="44"/>
        <v>0</v>
      </c>
    </row>
    <row r="81" spans="2:23" ht="15" thickTop="1">
      <c r="B81" s="276"/>
      <c r="C81" s="233"/>
      <c r="D81" s="233"/>
      <c r="E81" s="233"/>
      <c r="F81" s="233"/>
      <c r="G81" s="285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</row>
    <row r="82" spans="2:23">
      <c r="B82" s="276"/>
      <c r="C82" s="233"/>
      <c r="D82" s="233"/>
      <c r="E82" s="233"/>
      <c r="F82" s="233"/>
      <c r="G82" s="251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</row>
    <row r="83" spans="2:23">
      <c r="B83" s="263" t="s">
        <v>119</v>
      </c>
      <c r="C83" s="278"/>
      <c r="D83" s="278"/>
      <c r="E83" s="278"/>
      <c r="F83" s="278"/>
      <c r="G83" s="27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</row>
    <row r="84" spans="2:23">
      <c r="B84" s="233"/>
      <c r="C84" s="276" t="s">
        <v>120</v>
      </c>
      <c r="D84" s="233"/>
      <c r="E84" s="233"/>
      <c r="F84" s="233"/>
      <c r="G84" s="233"/>
      <c r="H84" s="391" t="s">
        <v>263</v>
      </c>
      <c r="I84" s="391"/>
      <c r="J84" s="368">
        <v>-6653737</v>
      </c>
      <c r="K84" s="368">
        <v>-5386031</v>
      </c>
      <c r="L84" s="368">
        <v>-7225413</v>
      </c>
      <c r="M84" s="551">
        <v>-6730596</v>
      </c>
      <c r="N84" s="368"/>
      <c r="O84" s="368"/>
      <c r="P84" s="368"/>
      <c r="Q84" s="368"/>
      <c r="R84" s="368"/>
      <c r="S84" s="368"/>
      <c r="T84" s="368"/>
      <c r="U84" s="368"/>
      <c r="V84" s="368"/>
      <c r="W84" s="368"/>
    </row>
    <row r="85" spans="2:23">
      <c r="B85" s="233"/>
      <c r="C85" s="276" t="s">
        <v>473</v>
      </c>
      <c r="D85" s="233"/>
      <c r="E85" s="233"/>
      <c r="F85" s="233"/>
      <c r="G85" s="233"/>
      <c r="H85" s="391" t="s">
        <v>263</v>
      </c>
      <c r="I85" s="391"/>
      <c r="J85" s="368">
        <v>-3359468</v>
      </c>
      <c r="K85" s="368">
        <v>-1138542</v>
      </c>
      <c r="L85" s="368">
        <v>-332397</v>
      </c>
      <c r="M85" s="551">
        <v>-300000</v>
      </c>
      <c r="N85" s="368"/>
      <c r="O85" s="368"/>
      <c r="P85" s="368"/>
      <c r="Q85" s="368"/>
      <c r="R85" s="368"/>
      <c r="S85" s="368"/>
      <c r="T85" s="368"/>
      <c r="U85" s="368"/>
      <c r="V85" s="368"/>
      <c r="W85" s="368"/>
    </row>
    <row r="86" spans="2:23">
      <c r="B86" s="233"/>
      <c r="C86" s="276" t="s">
        <v>121</v>
      </c>
      <c r="D86" s="232"/>
      <c r="E86" s="232"/>
      <c r="F86" s="232"/>
      <c r="G86" s="232"/>
      <c r="H86" s="391"/>
      <c r="I86" s="391"/>
      <c r="J86" s="368">
        <v>0</v>
      </c>
      <c r="K86" s="368">
        <v>0</v>
      </c>
      <c r="L86" s="368">
        <v>0</v>
      </c>
      <c r="M86" s="551"/>
      <c r="N86" s="368"/>
      <c r="O86" s="368"/>
      <c r="P86" s="368"/>
      <c r="Q86" s="368"/>
      <c r="R86" s="368"/>
      <c r="S86" s="368"/>
      <c r="T86" s="368"/>
      <c r="U86" s="368"/>
      <c r="V86" s="368"/>
      <c r="W86" s="368"/>
    </row>
    <row r="87" spans="2:23">
      <c r="B87" s="233"/>
      <c r="C87" s="267" t="s">
        <v>122</v>
      </c>
      <c r="D87" s="240"/>
      <c r="E87" s="240"/>
      <c r="F87" s="240"/>
      <c r="G87" s="240"/>
      <c r="J87" s="58"/>
      <c r="K87" s="58"/>
      <c r="L87" s="58"/>
      <c r="M87" s="553"/>
      <c r="N87" s="58"/>
      <c r="O87" s="58"/>
      <c r="P87" s="58"/>
      <c r="Q87" s="58"/>
      <c r="R87" s="58"/>
      <c r="S87" s="58"/>
      <c r="T87" s="58"/>
      <c r="U87" s="58"/>
      <c r="V87" s="58"/>
      <c r="W87" s="58"/>
    </row>
    <row r="88" spans="2:23">
      <c r="B88" s="233"/>
      <c r="D88" s="279"/>
      <c r="E88" s="279"/>
      <c r="F88" s="279"/>
      <c r="G88" s="279"/>
      <c r="J88" s="58"/>
      <c r="K88" s="58"/>
      <c r="L88" s="58"/>
      <c r="M88" s="553"/>
      <c r="N88" s="58"/>
      <c r="O88" s="58"/>
      <c r="P88" s="58"/>
      <c r="Q88" s="58"/>
      <c r="R88" s="58"/>
      <c r="S88" s="58"/>
      <c r="T88" s="58"/>
      <c r="U88" s="58"/>
      <c r="V88" s="58"/>
      <c r="W88" s="58"/>
    </row>
    <row r="89" spans="2:23">
      <c r="B89" s="233"/>
      <c r="C89" s="281" t="s">
        <v>124</v>
      </c>
      <c r="D89" s="232"/>
      <c r="E89" s="232"/>
      <c r="F89" s="232"/>
      <c r="G89" s="232"/>
      <c r="J89" s="58"/>
      <c r="K89" s="58"/>
      <c r="L89" s="58"/>
      <c r="M89" s="553"/>
      <c r="N89" s="58"/>
      <c r="O89" s="58"/>
      <c r="P89" s="58"/>
      <c r="Q89" s="58"/>
      <c r="R89" s="58"/>
      <c r="S89" s="58"/>
      <c r="T89" s="58"/>
      <c r="U89" s="58"/>
      <c r="V89" s="58"/>
      <c r="W89" s="58"/>
    </row>
    <row r="90" spans="2:23">
      <c r="B90" s="233"/>
      <c r="C90" s="233"/>
      <c r="D90" s="276" t="s">
        <v>125</v>
      </c>
      <c r="E90" s="233"/>
      <c r="F90" s="233"/>
      <c r="G90" s="233"/>
      <c r="H90" s="391" t="s">
        <v>267</v>
      </c>
      <c r="I90" s="391"/>
      <c r="J90" s="368">
        <v>-958024</v>
      </c>
      <c r="K90" s="368">
        <v>-982476</v>
      </c>
      <c r="L90" s="368">
        <v>-1095736</v>
      </c>
      <c r="M90" s="551">
        <v>-1005458</v>
      </c>
      <c r="N90" s="368"/>
      <c r="O90" s="368"/>
      <c r="P90" s="368"/>
      <c r="Q90" s="368"/>
      <c r="R90" s="368"/>
      <c r="S90" s="368"/>
      <c r="T90" s="368"/>
      <c r="U90" s="368"/>
      <c r="V90" s="368"/>
      <c r="W90" s="368"/>
    </row>
    <row r="91" spans="2:23">
      <c r="B91" s="233"/>
      <c r="C91" s="233"/>
      <c r="D91" s="276" t="s">
        <v>127</v>
      </c>
      <c r="E91" s="233"/>
      <c r="F91" s="233"/>
      <c r="G91" s="233"/>
      <c r="H91" s="391" t="s">
        <v>267</v>
      </c>
      <c r="I91" s="391"/>
      <c r="J91" s="368"/>
      <c r="K91" s="368"/>
      <c r="L91" s="368"/>
      <c r="M91" s="551"/>
      <c r="N91" s="368"/>
      <c r="O91" s="368"/>
      <c r="P91" s="368"/>
      <c r="Q91" s="368"/>
      <c r="R91" s="368"/>
      <c r="S91" s="368"/>
      <c r="T91" s="368"/>
      <c r="U91" s="368"/>
      <c r="V91" s="368"/>
      <c r="W91" s="368"/>
    </row>
    <row r="92" spans="2:23">
      <c r="B92" s="233"/>
      <c r="C92" s="233"/>
      <c r="D92" s="7" t="s">
        <v>511</v>
      </c>
      <c r="E92" s="233"/>
      <c r="F92" s="233"/>
      <c r="G92" s="233"/>
      <c r="H92" s="391" t="s">
        <v>267</v>
      </c>
      <c r="I92" s="391"/>
      <c r="J92" s="368"/>
      <c r="K92" s="368"/>
      <c r="L92" s="368"/>
      <c r="M92" s="551"/>
      <c r="N92" s="368"/>
      <c r="O92" s="368"/>
      <c r="P92" s="368"/>
      <c r="Q92" s="368"/>
      <c r="R92" s="368"/>
      <c r="S92" s="368"/>
      <c r="T92" s="368"/>
      <c r="U92" s="368"/>
      <c r="V92" s="368"/>
      <c r="W92" s="368"/>
    </row>
    <row r="93" spans="2:23">
      <c r="B93" s="233"/>
      <c r="C93" s="233"/>
      <c r="D93" s="7" t="s">
        <v>128</v>
      </c>
      <c r="E93" s="233"/>
      <c r="F93" s="233"/>
      <c r="G93" s="233"/>
      <c r="H93" s="391" t="s">
        <v>267</v>
      </c>
      <c r="I93" s="391"/>
      <c r="J93" s="368"/>
      <c r="K93" s="368"/>
      <c r="L93" s="368"/>
      <c r="M93" s="551"/>
      <c r="N93" s="368"/>
      <c r="O93" s="368"/>
      <c r="P93" s="368"/>
      <c r="Q93" s="368"/>
      <c r="R93" s="368"/>
      <c r="S93" s="368"/>
      <c r="T93" s="368"/>
      <c r="U93" s="368"/>
      <c r="V93" s="368"/>
      <c r="W93" s="368"/>
    </row>
    <row r="94" spans="2:23">
      <c r="B94" s="233"/>
      <c r="C94" s="233"/>
      <c r="D94" s="276" t="s">
        <v>129</v>
      </c>
      <c r="E94" s="233"/>
      <c r="F94" s="233"/>
      <c r="G94" s="233"/>
      <c r="H94" s="391" t="s">
        <v>267</v>
      </c>
      <c r="I94" s="391"/>
      <c r="J94" s="368">
        <v>-41595</v>
      </c>
      <c r="K94" s="368">
        <v>-45277</v>
      </c>
      <c r="L94" s="368">
        <v>-48898</v>
      </c>
      <c r="M94" s="551">
        <v>-50461</v>
      </c>
      <c r="N94" s="368"/>
      <c r="O94" s="368"/>
      <c r="P94" s="368"/>
      <c r="Q94" s="368"/>
      <c r="R94" s="368"/>
      <c r="S94" s="368"/>
      <c r="T94" s="368"/>
      <c r="U94" s="368"/>
      <c r="V94" s="368"/>
      <c r="W94" s="368"/>
    </row>
    <row r="95" spans="2:23">
      <c r="B95" s="233"/>
      <c r="C95" s="233"/>
      <c r="D95" s="276" t="s">
        <v>514</v>
      </c>
      <c r="E95" s="233"/>
      <c r="F95" s="233"/>
      <c r="G95" s="233"/>
      <c r="H95" s="391" t="s">
        <v>267</v>
      </c>
      <c r="I95" s="640"/>
      <c r="J95" s="368">
        <v>-555069</v>
      </c>
      <c r="K95" s="368">
        <v>-575385</v>
      </c>
      <c r="L95" s="368">
        <v>-596444</v>
      </c>
      <c r="M95" s="368">
        <v>-618274</v>
      </c>
      <c r="N95" s="368"/>
      <c r="O95" s="368"/>
      <c r="P95" s="368"/>
      <c r="Q95" s="368"/>
      <c r="R95" s="368"/>
      <c r="S95" s="368"/>
      <c r="T95" s="368"/>
      <c r="U95" s="368"/>
      <c r="V95" s="368"/>
      <c r="W95" s="368"/>
    </row>
    <row r="96" spans="2:23">
      <c r="B96" s="233"/>
      <c r="C96" s="233"/>
      <c r="D96" s="276" t="s">
        <v>130</v>
      </c>
      <c r="E96" s="233"/>
      <c r="F96" s="233"/>
      <c r="G96" s="233"/>
      <c r="H96" s="391" t="s">
        <v>267</v>
      </c>
      <c r="I96" s="391"/>
      <c r="J96" s="368"/>
      <c r="K96" s="368"/>
      <c r="L96" s="368"/>
      <c r="M96" s="368"/>
      <c r="N96" s="368"/>
      <c r="O96" s="368"/>
      <c r="P96" s="368"/>
      <c r="Q96" s="368"/>
      <c r="R96" s="368"/>
      <c r="S96" s="368"/>
      <c r="T96" s="368"/>
      <c r="U96" s="368"/>
      <c r="V96" s="368"/>
      <c r="W96" s="368"/>
    </row>
    <row r="97" spans="2:23">
      <c r="B97" s="233"/>
      <c r="C97" s="233"/>
      <c r="D97" s="276" t="s">
        <v>268</v>
      </c>
      <c r="E97" s="233"/>
      <c r="F97" s="233"/>
      <c r="G97" s="233"/>
      <c r="H97" s="391"/>
      <c r="I97" s="391"/>
      <c r="J97" s="368"/>
      <c r="K97" s="368"/>
      <c r="L97" s="368"/>
      <c r="M97" s="368"/>
      <c r="N97" s="368"/>
      <c r="O97" s="368"/>
      <c r="P97" s="368"/>
      <c r="Q97" s="368"/>
      <c r="R97" s="368"/>
      <c r="S97" s="368"/>
      <c r="T97" s="368"/>
      <c r="U97" s="368"/>
      <c r="V97" s="368"/>
      <c r="W97" s="368"/>
    </row>
    <row r="98" spans="2:23">
      <c r="B98" s="233"/>
      <c r="C98" s="233"/>
      <c r="D98" s="281" t="s">
        <v>131</v>
      </c>
      <c r="E98" s="233"/>
      <c r="F98" s="233"/>
      <c r="G98" s="233"/>
      <c r="H98" s="395"/>
      <c r="I98" s="395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</row>
    <row r="99" spans="2:23">
      <c r="B99" s="233"/>
      <c r="C99" s="233"/>
      <c r="E99" s="276" t="s">
        <v>515</v>
      </c>
      <c r="F99" s="233"/>
      <c r="G99" s="233"/>
      <c r="H99" s="391" t="s">
        <v>267</v>
      </c>
      <c r="I99" s="640"/>
      <c r="J99" s="368">
        <v>-454379</v>
      </c>
      <c r="K99" s="368">
        <v>-1614774</v>
      </c>
      <c r="L99" s="368">
        <v>-1614666</v>
      </c>
      <c r="M99" s="368">
        <v>-1614666</v>
      </c>
      <c r="N99" s="368"/>
      <c r="O99" s="368"/>
      <c r="P99" s="368"/>
      <c r="Q99" s="368"/>
      <c r="R99" s="368"/>
      <c r="S99" s="368"/>
      <c r="T99" s="368"/>
      <c r="U99" s="368"/>
      <c r="V99" s="368"/>
      <c r="W99" s="368"/>
    </row>
    <row r="100" spans="2:23">
      <c r="B100" s="233"/>
      <c r="C100" s="233"/>
      <c r="E100" s="276" t="s">
        <v>428</v>
      </c>
      <c r="F100" s="233"/>
      <c r="G100" s="233"/>
      <c r="H100" s="391" t="s">
        <v>267</v>
      </c>
      <c r="I100" s="391"/>
      <c r="J100" s="368"/>
      <c r="K100" s="368"/>
      <c r="L100" s="368"/>
      <c r="M100" s="368"/>
      <c r="N100" s="368"/>
      <c r="O100" s="368"/>
      <c r="P100" s="368"/>
      <c r="Q100" s="368"/>
      <c r="R100" s="368"/>
      <c r="S100" s="368"/>
      <c r="T100" s="368"/>
      <c r="U100" s="368"/>
      <c r="V100" s="368"/>
      <c r="W100" s="368"/>
    </row>
    <row r="101" spans="2:23">
      <c r="B101" s="233"/>
      <c r="C101" s="233"/>
      <c r="D101" s="281" t="s">
        <v>131</v>
      </c>
      <c r="E101" s="233"/>
      <c r="F101" s="233"/>
      <c r="G101" s="233"/>
      <c r="H101" s="395"/>
      <c r="I101" s="395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</row>
    <row r="102" spans="2:23">
      <c r="B102" s="233"/>
      <c r="C102" s="233"/>
      <c r="D102" s="276" t="s">
        <v>497</v>
      </c>
      <c r="E102" s="233"/>
      <c r="F102" s="233"/>
      <c r="G102" s="233"/>
      <c r="H102" s="391"/>
      <c r="I102" s="391"/>
      <c r="J102" s="368"/>
      <c r="K102" s="368"/>
      <c r="L102" s="368"/>
      <c r="M102" s="368"/>
      <c r="N102" s="368"/>
      <c r="O102" s="368"/>
      <c r="P102" s="368"/>
      <c r="Q102" s="368"/>
      <c r="R102" s="368"/>
      <c r="S102" s="368"/>
      <c r="T102" s="368"/>
      <c r="U102" s="368"/>
      <c r="V102" s="368"/>
      <c r="W102" s="368"/>
    </row>
    <row r="103" spans="2:23">
      <c r="B103" s="251"/>
      <c r="C103" s="251"/>
      <c r="D103" s="276"/>
      <c r="E103" s="233"/>
      <c r="F103" s="233"/>
      <c r="G103" s="232"/>
      <c r="H103" s="396"/>
      <c r="I103" s="396"/>
      <c r="J103" s="282"/>
      <c r="K103" s="282"/>
      <c r="L103" s="282"/>
      <c r="M103" s="282"/>
      <c r="N103" s="282"/>
      <c r="O103" s="282"/>
      <c r="P103" s="282"/>
      <c r="Q103" s="282"/>
      <c r="R103" s="282"/>
      <c r="S103" s="282"/>
      <c r="T103" s="282"/>
      <c r="U103" s="282"/>
      <c r="V103" s="282"/>
      <c r="W103" s="282"/>
    </row>
    <row r="104" spans="2:23" s="57" customFormat="1">
      <c r="B104" s="232"/>
      <c r="C104" s="281" t="s">
        <v>134</v>
      </c>
      <c r="D104" s="232"/>
      <c r="E104" s="232"/>
      <c r="F104" s="232"/>
      <c r="G104" s="232"/>
      <c r="H104" s="348"/>
      <c r="I104" s="348"/>
      <c r="J104" s="371">
        <f t="shared" ref="J104:U104" si="45">SUM(J90:J102)</f>
        <v>-2009067</v>
      </c>
      <c r="K104" s="371">
        <f t="shared" si="45"/>
        <v>-3217912</v>
      </c>
      <c r="L104" s="371">
        <f t="shared" si="45"/>
        <v>-3355744</v>
      </c>
      <c r="M104" s="371">
        <f t="shared" si="45"/>
        <v>-3288859</v>
      </c>
      <c r="N104" s="371">
        <f t="shared" si="45"/>
        <v>0</v>
      </c>
      <c r="O104" s="371">
        <f t="shared" si="45"/>
        <v>0</v>
      </c>
      <c r="P104" s="371">
        <f t="shared" si="45"/>
        <v>0</v>
      </c>
      <c r="Q104" s="371">
        <f t="shared" si="45"/>
        <v>0</v>
      </c>
      <c r="R104" s="371">
        <f t="shared" si="45"/>
        <v>0</v>
      </c>
      <c r="S104" s="371">
        <f t="shared" si="45"/>
        <v>0</v>
      </c>
      <c r="T104" s="371">
        <f t="shared" si="45"/>
        <v>0</v>
      </c>
      <c r="U104" s="371">
        <f t="shared" si="45"/>
        <v>0</v>
      </c>
      <c r="V104" s="371">
        <f t="shared" ref="V104:W104" si="46">SUM(V90:V102)</f>
        <v>0</v>
      </c>
      <c r="W104" s="371">
        <f t="shared" si="46"/>
        <v>0</v>
      </c>
    </row>
    <row r="105" spans="2:23">
      <c r="B105" s="233"/>
      <c r="C105" s="281" t="s">
        <v>135</v>
      </c>
      <c r="D105" s="232"/>
      <c r="E105" s="232"/>
      <c r="F105" s="232"/>
      <c r="G105" s="232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</row>
    <row r="106" spans="2:23">
      <c r="B106" s="233"/>
      <c r="C106" s="233"/>
      <c r="D106" s="276" t="s">
        <v>125</v>
      </c>
      <c r="E106" s="233"/>
      <c r="F106" s="233"/>
      <c r="G106" s="233"/>
      <c r="H106" s="391" t="s">
        <v>267</v>
      </c>
      <c r="I106" s="391"/>
      <c r="J106" s="368">
        <v>-773416</v>
      </c>
      <c r="K106" s="368">
        <v>-678289</v>
      </c>
      <c r="L106" s="368">
        <v>-494627</v>
      </c>
      <c r="M106" s="368">
        <v>-417670</v>
      </c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</row>
    <row r="107" spans="2:23">
      <c r="B107" s="233"/>
      <c r="C107" s="233"/>
      <c r="D107" s="276" t="s">
        <v>127</v>
      </c>
      <c r="E107" s="233"/>
      <c r="F107" s="233"/>
      <c r="G107" s="233"/>
      <c r="H107" s="391" t="s">
        <v>267</v>
      </c>
      <c r="I107" s="391"/>
      <c r="J107" s="368"/>
      <c r="K107" s="368"/>
      <c r="L107" s="368"/>
      <c r="M107" s="368"/>
      <c r="N107" s="368"/>
      <c r="O107" s="368"/>
      <c r="P107" s="368"/>
      <c r="Q107" s="368"/>
      <c r="R107" s="368"/>
      <c r="S107" s="368"/>
      <c r="T107" s="368"/>
      <c r="U107" s="368"/>
      <c r="V107" s="368"/>
      <c r="W107" s="368"/>
    </row>
    <row r="108" spans="2:23">
      <c r="B108" s="233"/>
      <c r="C108" s="233"/>
      <c r="D108" s="7" t="s">
        <v>511</v>
      </c>
      <c r="E108" s="233"/>
      <c r="F108" s="233"/>
      <c r="G108" s="233"/>
      <c r="H108" s="391" t="s">
        <v>267</v>
      </c>
      <c r="I108" s="391"/>
      <c r="J108" s="368"/>
      <c r="K108" s="368"/>
      <c r="L108" s="368"/>
      <c r="M108" s="368"/>
      <c r="N108" s="368"/>
      <c r="O108" s="368"/>
      <c r="P108" s="368"/>
      <c r="Q108" s="368"/>
      <c r="R108" s="368"/>
      <c r="S108" s="368"/>
      <c r="T108" s="368"/>
      <c r="U108" s="368"/>
      <c r="V108" s="368"/>
      <c r="W108" s="368"/>
    </row>
    <row r="109" spans="2:23">
      <c r="B109" s="233"/>
      <c r="C109" s="233"/>
      <c r="D109" s="7" t="s">
        <v>128</v>
      </c>
      <c r="E109" s="233"/>
      <c r="F109" s="233"/>
      <c r="G109" s="233"/>
      <c r="H109" s="391" t="s">
        <v>267</v>
      </c>
      <c r="I109" s="391"/>
      <c r="J109" s="368"/>
      <c r="K109" s="368"/>
      <c r="L109" s="368"/>
      <c r="M109" s="368"/>
      <c r="N109" s="368"/>
      <c r="O109" s="368"/>
      <c r="P109" s="368"/>
      <c r="Q109" s="368"/>
      <c r="R109" s="368"/>
      <c r="S109" s="368"/>
      <c r="T109" s="368"/>
      <c r="U109" s="368"/>
      <c r="V109" s="368"/>
      <c r="W109" s="368"/>
    </row>
    <row r="110" spans="2:23">
      <c r="B110" s="233"/>
      <c r="C110" s="233"/>
      <c r="D110" s="276" t="s">
        <v>129</v>
      </c>
      <c r="E110" s="233"/>
      <c r="F110" s="233"/>
      <c r="G110" s="233"/>
      <c r="H110" s="391" t="s">
        <v>267</v>
      </c>
      <c r="I110" s="391"/>
      <c r="J110" s="368">
        <v>-688</v>
      </c>
      <c r="K110" s="368">
        <v>-167694</v>
      </c>
      <c r="L110" s="368">
        <v>-131617</v>
      </c>
      <c r="M110" s="368">
        <v>-81808</v>
      </c>
      <c r="N110" s="368"/>
      <c r="O110" s="368"/>
      <c r="P110" s="368"/>
      <c r="Q110" s="368"/>
      <c r="R110" s="368"/>
      <c r="S110" s="368"/>
      <c r="T110" s="368"/>
      <c r="U110" s="368"/>
      <c r="V110" s="368"/>
      <c r="W110" s="368"/>
    </row>
    <row r="111" spans="2:23">
      <c r="B111" s="233"/>
      <c r="C111" s="233"/>
      <c r="D111" s="276" t="s">
        <v>514</v>
      </c>
      <c r="E111" s="233"/>
      <c r="F111" s="233"/>
      <c r="G111" s="233"/>
      <c r="H111" s="391" t="s">
        <v>267</v>
      </c>
      <c r="I111" s="640"/>
      <c r="J111" s="368">
        <v>-20336417</v>
      </c>
      <c r="K111" s="368">
        <v>-19725001</v>
      </c>
      <c r="L111" s="368">
        <v>-19137923</v>
      </c>
      <c r="M111" s="368">
        <v>-18518211</v>
      </c>
      <c r="N111" s="368"/>
      <c r="O111" s="368"/>
      <c r="P111" s="368"/>
      <c r="Q111" s="368"/>
      <c r="R111" s="368"/>
      <c r="S111" s="368"/>
      <c r="T111" s="368"/>
      <c r="U111" s="368"/>
      <c r="V111" s="368"/>
      <c r="W111" s="368"/>
    </row>
    <row r="112" spans="2:23">
      <c r="B112" s="233"/>
      <c r="C112" s="233"/>
      <c r="D112" s="276" t="s">
        <v>130</v>
      </c>
      <c r="E112" s="233"/>
      <c r="F112" s="233"/>
      <c r="G112" s="233"/>
      <c r="H112" s="391" t="s">
        <v>267</v>
      </c>
      <c r="I112" s="391"/>
      <c r="J112" s="368">
        <v>-21773504</v>
      </c>
      <c r="K112" s="368">
        <v>-32669717</v>
      </c>
      <c r="L112" s="368">
        <v>-31892391</v>
      </c>
      <c r="M112" s="368">
        <v>-32698545</v>
      </c>
      <c r="N112" s="368"/>
      <c r="O112" s="368"/>
      <c r="P112" s="368"/>
      <c r="Q112" s="368"/>
      <c r="R112" s="368"/>
      <c r="S112" s="368"/>
      <c r="T112" s="368"/>
      <c r="U112" s="368"/>
      <c r="V112" s="368"/>
      <c r="W112" s="368"/>
    </row>
    <row r="113" spans="2:23">
      <c r="B113" s="233"/>
      <c r="C113" s="233"/>
      <c r="D113" s="276" t="s">
        <v>268</v>
      </c>
      <c r="E113" s="233"/>
      <c r="F113" s="233"/>
      <c r="G113" s="233"/>
      <c r="H113" s="391"/>
      <c r="I113" s="391"/>
      <c r="J113" s="368">
        <v>0</v>
      </c>
      <c r="K113" s="368">
        <v>0</v>
      </c>
      <c r="L113" s="368">
        <v>-33325299</v>
      </c>
      <c r="M113" s="368">
        <v>-33586793</v>
      </c>
      <c r="N113" s="368"/>
      <c r="O113" s="368"/>
      <c r="P113" s="368"/>
      <c r="Q113" s="368"/>
      <c r="R113" s="368"/>
      <c r="S113" s="368"/>
      <c r="T113" s="368"/>
      <c r="U113" s="368"/>
      <c r="V113" s="368"/>
      <c r="W113" s="368"/>
    </row>
    <row r="114" spans="2:23">
      <c r="B114" s="233"/>
      <c r="C114" s="233"/>
      <c r="D114" s="281" t="s">
        <v>131</v>
      </c>
      <c r="E114" s="233"/>
      <c r="F114" s="233"/>
      <c r="G114" s="233"/>
      <c r="H114" s="391"/>
      <c r="I114" s="391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</row>
    <row r="115" spans="2:23">
      <c r="B115" s="233"/>
      <c r="C115" s="233"/>
      <c r="E115" s="276" t="s">
        <v>515</v>
      </c>
      <c r="F115" s="233"/>
      <c r="G115" s="233"/>
      <c r="H115" s="391" t="s">
        <v>267</v>
      </c>
      <c r="I115" s="640"/>
      <c r="J115" s="368">
        <v>-9741121</v>
      </c>
      <c r="K115" s="368">
        <v>-8580726</v>
      </c>
      <c r="L115" s="368">
        <v>-6711039</v>
      </c>
      <c r="M115" s="368">
        <v>-5096373</v>
      </c>
      <c r="N115" s="368"/>
      <c r="O115" s="368"/>
      <c r="P115" s="368"/>
      <c r="Q115" s="368"/>
      <c r="R115" s="368"/>
      <c r="S115" s="368"/>
      <c r="T115" s="368"/>
      <c r="U115" s="368"/>
      <c r="V115" s="368"/>
      <c r="W115" s="368"/>
    </row>
    <row r="116" spans="2:23">
      <c r="B116" s="233"/>
      <c r="C116" s="233"/>
      <c r="E116" s="276" t="s">
        <v>428</v>
      </c>
      <c r="F116" s="233"/>
      <c r="G116" s="233"/>
      <c r="H116" s="391" t="s">
        <v>267</v>
      </c>
      <c r="I116" s="391"/>
      <c r="J116" s="368"/>
      <c r="K116" s="368"/>
      <c r="L116" s="368"/>
      <c r="M116" s="551"/>
      <c r="N116" s="368"/>
      <c r="O116" s="368"/>
      <c r="P116" s="368"/>
      <c r="Q116" s="368"/>
      <c r="R116" s="368"/>
      <c r="S116" s="368"/>
      <c r="T116" s="368"/>
      <c r="U116" s="368"/>
      <c r="V116" s="368"/>
      <c r="W116" s="368"/>
    </row>
    <row r="117" spans="2:23">
      <c r="B117" s="233"/>
      <c r="C117" s="233"/>
      <c r="D117" s="281" t="s">
        <v>131</v>
      </c>
      <c r="E117" s="233"/>
      <c r="F117" s="233"/>
      <c r="G117" s="233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</row>
    <row r="118" spans="2:23">
      <c r="B118" s="233"/>
      <c r="C118" s="233"/>
      <c r="D118" s="276" t="s">
        <v>497</v>
      </c>
      <c r="E118" s="233"/>
      <c r="F118" s="233"/>
      <c r="G118" s="233"/>
      <c r="H118" s="397"/>
      <c r="I118" s="397"/>
      <c r="J118" s="368"/>
      <c r="K118" s="368"/>
      <c r="L118" s="368"/>
      <c r="M118" s="368"/>
      <c r="N118" s="368"/>
      <c r="O118" s="368"/>
      <c r="P118" s="368"/>
      <c r="Q118" s="368"/>
      <c r="R118" s="368"/>
      <c r="S118" s="368"/>
      <c r="T118" s="368"/>
      <c r="U118" s="368"/>
      <c r="V118" s="368"/>
      <c r="W118" s="368"/>
    </row>
    <row r="119" spans="2:23">
      <c r="B119" s="251"/>
      <c r="C119" s="251"/>
      <c r="D119" s="284"/>
      <c r="E119" s="251"/>
      <c r="F119" s="251"/>
      <c r="G119" s="285"/>
      <c r="H119" s="396"/>
      <c r="I119" s="396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</row>
    <row r="120" spans="2:23" s="57" customFormat="1">
      <c r="B120" s="232"/>
      <c r="C120" s="281" t="s">
        <v>137</v>
      </c>
      <c r="D120" s="232"/>
      <c r="E120" s="232"/>
      <c r="F120" s="232"/>
      <c r="G120" s="232"/>
      <c r="H120" s="348"/>
      <c r="I120" s="348"/>
      <c r="J120" s="372">
        <f>SUM(J106:J118)</f>
        <v>-52625146</v>
      </c>
      <c r="K120" s="372">
        <f>SUM(K106:K118)</f>
        <v>-61821427</v>
      </c>
      <c r="L120" s="372">
        <f>SUM(L106:L118)</f>
        <v>-91692896</v>
      </c>
      <c r="M120" s="372">
        <f t="shared" ref="M120:U120" si="47">SUM(M106:M118)</f>
        <v>-90399400</v>
      </c>
      <c r="N120" s="372">
        <f t="shared" si="47"/>
        <v>0</v>
      </c>
      <c r="O120" s="372">
        <f t="shared" si="47"/>
        <v>0</v>
      </c>
      <c r="P120" s="372">
        <f t="shared" si="47"/>
        <v>0</v>
      </c>
      <c r="Q120" s="372">
        <f t="shared" si="47"/>
        <v>0</v>
      </c>
      <c r="R120" s="372">
        <f t="shared" si="47"/>
        <v>0</v>
      </c>
      <c r="S120" s="372">
        <f t="shared" si="47"/>
        <v>0</v>
      </c>
      <c r="T120" s="372">
        <f t="shared" si="47"/>
        <v>0</v>
      </c>
      <c r="U120" s="372">
        <f t="shared" si="47"/>
        <v>0</v>
      </c>
      <c r="V120" s="372">
        <f t="shared" ref="V120:W120" si="48">SUM(V106:V118)</f>
        <v>0</v>
      </c>
      <c r="W120" s="372">
        <f t="shared" si="48"/>
        <v>0</v>
      </c>
    </row>
    <row r="121" spans="2:23" s="57" customFormat="1">
      <c r="B121" s="232"/>
      <c r="C121" s="235"/>
      <c r="D121" s="249"/>
      <c r="E121" s="249"/>
      <c r="F121" s="249"/>
      <c r="G121" s="250" t="s">
        <v>138</v>
      </c>
      <c r="H121" s="392"/>
      <c r="I121" s="348"/>
      <c r="J121" s="371">
        <f>+J84+J85+J86+J104+J120</f>
        <v>-64647418</v>
      </c>
      <c r="K121" s="371">
        <f>+K84+K85+K86+K104+K120</f>
        <v>-71563912</v>
      </c>
      <c r="L121" s="371">
        <f t="shared" ref="L121:U121" si="49">+L84+L85+L86+L104+L120</f>
        <v>-102606450</v>
      </c>
      <c r="M121" s="371">
        <f t="shared" si="49"/>
        <v>-100718855</v>
      </c>
      <c r="N121" s="371">
        <f t="shared" si="49"/>
        <v>0</v>
      </c>
      <c r="O121" s="371">
        <f t="shared" si="49"/>
        <v>0</v>
      </c>
      <c r="P121" s="371">
        <f t="shared" si="49"/>
        <v>0</v>
      </c>
      <c r="Q121" s="371">
        <f t="shared" si="49"/>
        <v>0</v>
      </c>
      <c r="R121" s="371">
        <f t="shared" si="49"/>
        <v>0</v>
      </c>
      <c r="S121" s="371">
        <f t="shared" si="49"/>
        <v>0</v>
      </c>
      <c r="T121" s="371">
        <f t="shared" si="49"/>
        <v>0</v>
      </c>
      <c r="U121" s="371">
        <f t="shared" si="49"/>
        <v>0</v>
      </c>
      <c r="V121" s="371">
        <f t="shared" ref="V121:W121" si="50">+V84+V85+V86+V104+V120</f>
        <v>0</v>
      </c>
      <c r="W121" s="371">
        <f t="shared" si="50"/>
        <v>0</v>
      </c>
    </row>
    <row r="122" spans="2:23">
      <c r="B122" s="263"/>
      <c r="C122" s="278"/>
      <c r="D122" s="278"/>
      <c r="E122" s="278"/>
      <c r="F122" s="278"/>
      <c r="G122" s="27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</row>
    <row r="123" spans="2:23">
      <c r="B123" s="233"/>
      <c r="C123" s="276" t="s">
        <v>139</v>
      </c>
      <c r="D123" s="233"/>
      <c r="E123" s="233"/>
      <c r="F123" s="233"/>
      <c r="G123" s="233"/>
      <c r="J123" s="368">
        <v>-1413791</v>
      </c>
      <c r="K123" s="368">
        <v>-575904</v>
      </c>
      <c r="L123" s="368">
        <v>-420848</v>
      </c>
      <c r="M123" s="551">
        <v>-528581</v>
      </c>
      <c r="N123" s="368"/>
      <c r="O123" s="368"/>
      <c r="P123" s="368"/>
      <c r="Q123" s="368"/>
      <c r="R123" s="368"/>
      <c r="S123" s="368"/>
      <c r="T123" s="368"/>
      <c r="U123" s="368"/>
      <c r="V123" s="368"/>
      <c r="W123" s="368"/>
    </row>
    <row r="124" spans="2:23">
      <c r="B124" s="233"/>
      <c r="C124" s="276" t="s">
        <v>140</v>
      </c>
      <c r="D124" s="233"/>
      <c r="E124" s="233"/>
      <c r="F124" s="233"/>
      <c r="G124" s="233"/>
      <c r="J124" s="368">
        <v>0</v>
      </c>
      <c r="K124" s="368">
        <v>0</v>
      </c>
      <c r="L124" s="368">
        <v>-38288</v>
      </c>
      <c r="M124" s="551">
        <v>-521102</v>
      </c>
      <c r="N124" s="368"/>
      <c r="O124" s="368"/>
      <c r="P124" s="368"/>
      <c r="Q124" s="368"/>
      <c r="R124" s="368"/>
      <c r="S124" s="368"/>
      <c r="T124" s="368"/>
      <c r="U124" s="368"/>
      <c r="V124" s="368"/>
      <c r="W124" s="368"/>
    </row>
    <row r="125" spans="2:23" s="57" customFormat="1">
      <c r="B125" s="232"/>
      <c r="C125" s="294"/>
      <c r="D125" s="294"/>
      <c r="E125" s="294"/>
      <c r="F125" s="294"/>
      <c r="G125" s="357" t="s">
        <v>141</v>
      </c>
      <c r="H125" s="398"/>
      <c r="I125" s="402"/>
      <c r="J125" s="373">
        <f>+J121+J123+J124</f>
        <v>-66061209</v>
      </c>
      <c r="K125" s="373">
        <f t="shared" ref="K125:U125" si="51">+K121+K123+K124</f>
        <v>-72139816</v>
      </c>
      <c r="L125" s="373">
        <f t="shared" si="51"/>
        <v>-103065586</v>
      </c>
      <c r="M125" s="373">
        <f t="shared" si="51"/>
        <v>-101768538</v>
      </c>
      <c r="N125" s="373">
        <f t="shared" si="51"/>
        <v>0</v>
      </c>
      <c r="O125" s="373">
        <f t="shared" si="51"/>
        <v>0</v>
      </c>
      <c r="P125" s="373">
        <f t="shared" si="51"/>
        <v>0</v>
      </c>
      <c r="Q125" s="373">
        <f t="shared" si="51"/>
        <v>0</v>
      </c>
      <c r="R125" s="373">
        <f t="shared" si="51"/>
        <v>0</v>
      </c>
      <c r="S125" s="373">
        <f t="shared" si="51"/>
        <v>0</v>
      </c>
      <c r="T125" s="373">
        <f t="shared" si="51"/>
        <v>0</v>
      </c>
      <c r="U125" s="373">
        <f t="shared" si="51"/>
        <v>0</v>
      </c>
      <c r="V125" s="373">
        <f t="shared" ref="V125:W125" si="52">+V121+V123+V124</f>
        <v>0</v>
      </c>
      <c r="W125" s="373">
        <f t="shared" si="52"/>
        <v>0</v>
      </c>
    </row>
    <row r="126" spans="2:23">
      <c r="B126" s="290"/>
      <c r="C126" s="291"/>
      <c r="D126" s="291"/>
      <c r="E126" s="291"/>
      <c r="F126" s="291"/>
      <c r="G126" s="285"/>
      <c r="H126" s="358"/>
      <c r="I126" s="3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</row>
    <row r="127" spans="2:23">
      <c r="B127" s="281" t="s">
        <v>269</v>
      </c>
      <c r="C127" s="293"/>
      <c r="D127" s="293"/>
      <c r="E127" s="293"/>
      <c r="F127" s="293"/>
      <c r="G127" s="293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</row>
    <row r="128" spans="2:23">
      <c r="B128" s="281" t="s">
        <v>270</v>
      </c>
      <c r="C128" s="281"/>
      <c r="D128" s="281"/>
      <c r="E128" s="281"/>
      <c r="F128" s="281"/>
      <c r="G128" s="281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</row>
    <row r="129" spans="2:23">
      <c r="B129" s="233"/>
      <c r="C129" s="276" t="s">
        <v>143</v>
      </c>
      <c r="D129" s="233"/>
      <c r="E129" s="233"/>
      <c r="F129" s="233"/>
      <c r="G129" s="233"/>
      <c r="H129" s="391" t="s">
        <v>263</v>
      </c>
      <c r="I129" s="391"/>
      <c r="J129" s="368">
        <v>-225290261</v>
      </c>
      <c r="K129" s="368">
        <v>-220222616</v>
      </c>
      <c r="L129" s="368">
        <v>-220811572</v>
      </c>
      <c r="M129" s="551">
        <v>-221500308</v>
      </c>
      <c r="N129" s="368"/>
      <c r="O129" s="368"/>
      <c r="P129" s="368"/>
      <c r="Q129" s="368"/>
      <c r="R129" s="368"/>
      <c r="S129" s="368"/>
      <c r="T129" s="368"/>
      <c r="U129" s="368"/>
      <c r="V129" s="368"/>
      <c r="W129" s="368"/>
    </row>
    <row r="130" spans="2:23" s="52" customFormat="1">
      <c r="B130" s="251"/>
      <c r="C130" s="276" t="s">
        <v>144</v>
      </c>
      <c r="D130" s="233"/>
      <c r="E130" s="233"/>
      <c r="F130" s="233"/>
      <c r="G130" s="233"/>
      <c r="H130" s="391" t="s">
        <v>263</v>
      </c>
      <c r="I130" s="396"/>
      <c r="J130" s="368">
        <v>-26690007</v>
      </c>
      <c r="K130" s="368">
        <v>-25498353</v>
      </c>
      <c r="L130" s="368">
        <v>-25326992</v>
      </c>
      <c r="M130" s="368">
        <v>-25335251</v>
      </c>
      <c r="N130" s="368"/>
      <c r="O130" s="368"/>
      <c r="P130" s="368"/>
      <c r="Q130" s="368"/>
      <c r="R130" s="368"/>
      <c r="S130" s="368"/>
      <c r="T130" s="368"/>
      <c r="U130" s="368"/>
      <c r="V130" s="368"/>
      <c r="W130" s="368"/>
    </row>
    <row r="131" spans="2:23">
      <c r="B131" s="233"/>
      <c r="C131" s="276" t="s">
        <v>145</v>
      </c>
      <c r="D131" s="233"/>
      <c r="E131" s="233"/>
      <c r="F131" s="233"/>
      <c r="G131" s="233"/>
      <c r="H131" s="391" t="s">
        <v>263</v>
      </c>
      <c r="I131" s="391"/>
      <c r="J131" s="368">
        <v>-322824911</v>
      </c>
      <c r="K131" s="368">
        <v>-355005176</v>
      </c>
      <c r="L131" s="368">
        <v>-340321269</v>
      </c>
      <c r="M131" s="551">
        <v>-350112603</v>
      </c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</row>
    <row r="132" spans="2:23" s="57" customFormat="1">
      <c r="B132" s="232"/>
      <c r="C132" s="294"/>
      <c r="D132" s="249"/>
      <c r="E132" s="249"/>
      <c r="F132" s="249"/>
      <c r="G132" s="250" t="s">
        <v>271</v>
      </c>
      <c r="H132" s="392"/>
      <c r="I132" s="348"/>
      <c r="J132" s="373">
        <f>SUM(J129:J131)</f>
        <v>-574805179</v>
      </c>
      <c r="K132" s="373">
        <f>SUM(K129:K131)</f>
        <v>-600726145</v>
      </c>
      <c r="L132" s="373">
        <f t="shared" ref="L132:U132" si="53">SUM(L129:L131)</f>
        <v>-586459833</v>
      </c>
      <c r="M132" s="373">
        <f t="shared" si="53"/>
        <v>-596948162</v>
      </c>
      <c r="N132" s="373">
        <f t="shared" si="53"/>
        <v>0</v>
      </c>
      <c r="O132" s="373">
        <f t="shared" si="53"/>
        <v>0</v>
      </c>
      <c r="P132" s="373">
        <f t="shared" si="53"/>
        <v>0</v>
      </c>
      <c r="Q132" s="373">
        <f t="shared" si="53"/>
        <v>0</v>
      </c>
      <c r="R132" s="373">
        <f t="shared" si="53"/>
        <v>0</v>
      </c>
      <c r="S132" s="373">
        <f t="shared" si="53"/>
        <v>0</v>
      </c>
      <c r="T132" s="373">
        <f t="shared" si="53"/>
        <v>0</v>
      </c>
      <c r="U132" s="373">
        <f t="shared" si="53"/>
        <v>0</v>
      </c>
      <c r="V132" s="373">
        <f t="shared" ref="V132:W132" si="54">SUM(V129:V131)</f>
        <v>0</v>
      </c>
      <c r="W132" s="373">
        <f t="shared" si="54"/>
        <v>0</v>
      </c>
    </row>
    <row r="133" spans="2:23" s="57" customFormat="1" ht="15" thickBot="1">
      <c r="B133" s="232"/>
      <c r="C133" s="271"/>
      <c r="D133" s="271"/>
      <c r="E133" s="271"/>
      <c r="F133" s="271"/>
      <c r="G133" s="272" t="s">
        <v>531</v>
      </c>
      <c r="H133" s="399"/>
      <c r="I133" s="399"/>
      <c r="J133" s="367">
        <f>J125+J132</f>
        <v>-640866388</v>
      </c>
      <c r="K133" s="367">
        <f>K125+K132</f>
        <v>-672865961</v>
      </c>
      <c r="L133" s="367">
        <f t="shared" ref="L133:U133" si="55">L125+L132</f>
        <v>-689525419</v>
      </c>
      <c r="M133" s="367">
        <f t="shared" si="55"/>
        <v>-698716700</v>
      </c>
      <c r="N133" s="367">
        <f t="shared" si="55"/>
        <v>0</v>
      </c>
      <c r="O133" s="367">
        <f t="shared" si="55"/>
        <v>0</v>
      </c>
      <c r="P133" s="367">
        <f t="shared" si="55"/>
        <v>0</v>
      </c>
      <c r="Q133" s="367">
        <f t="shared" si="55"/>
        <v>0</v>
      </c>
      <c r="R133" s="367">
        <f t="shared" si="55"/>
        <v>0</v>
      </c>
      <c r="S133" s="367">
        <f t="shared" si="55"/>
        <v>0</v>
      </c>
      <c r="T133" s="367">
        <f t="shared" si="55"/>
        <v>0</v>
      </c>
      <c r="U133" s="367">
        <f t="shared" si="55"/>
        <v>0</v>
      </c>
      <c r="V133" s="367">
        <f t="shared" ref="V133:W133" si="56">V125+V132</f>
        <v>0</v>
      </c>
      <c r="W133" s="367">
        <f t="shared" si="56"/>
        <v>0</v>
      </c>
    </row>
    <row r="134" spans="2:23" ht="15" thickTop="1">
      <c r="B134" s="251"/>
      <c r="C134" s="252"/>
      <c r="D134" s="252"/>
      <c r="E134" s="252"/>
      <c r="F134" s="252"/>
      <c r="G134" s="253"/>
      <c r="H134" s="358"/>
      <c r="I134" s="358"/>
    </row>
    <row r="135" spans="2:23">
      <c r="B135" s="251"/>
      <c r="C135" s="252"/>
      <c r="D135" s="252"/>
      <c r="E135" s="252"/>
      <c r="F135" s="252"/>
      <c r="G135" s="253"/>
      <c r="H135" s="358"/>
      <c r="I135" s="358"/>
    </row>
    <row r="136" spans="2:23" s="365" customFormat="1">
      <c r="B136" s="381"/>
      <c r="G136" s="383" t="s">
        <v>118</v>
      </c>
      <c r="H136" s="338" t="s">
        <v>272</v>
      </c>
      <c r="I136" s="338"/>
      <c r="J136" s="379">
        <f>J80+J133</f>
        <v>0</v>
      </c>
      <c r="K136" s="379">
        <f t="shared" ref="K136:U136" si="57">K80+K133</f>
        <v>0</v>
      </c>
      <c r="L136" s="379">
        <f t="shared" si="57"/>
        <v>0</v>
      </c>
      <c r="M136" s="379">
        <f t="shared" si="57"/>
        <v>0</v>
      </c>
      <c r="N136" s="379">
        <f t="shared" si="57"/>
        <v>0</v>
      </c>
      <c r="O136" s="379">
        <f t="shared" si="57"/>
        <v>0</v>
      </c>
      <c r="P136" s="379">
        <f t="shared" si="57"/>
        <v>0</v>
      </c>
      <c r="Q136" s="379">
        <f t="shared" si="57"/>
        <v>0</v>
      </c>
      <c r="R136" s="379">
        <f t="shared" si="57"/>
        <v>0</v>
      </c>
      <c r="S136" s="379">
        <f t="shared" si="57"/>
        <v>0</v>
      </c>
      <c r="T136" s="379">
        <f t="shared" si="57"/>
        <v>0</v>
      </c>
      <c r="U136" s="379">
        <f t="shared" si="57"/>
        <v>0</v>
      </c>
      <c r="V136" s="379">
        <f t="shared" ref="V136:W136" si="58">V80+V133</f>
        <v>0</v>
      </c>
      <c r="W136" s="379">
        <f t="shared" si="58"/>
        <v>0</v>
      </c>
    </row>
    <row r="137" spans="2:23">
      <c r="L137" s="94"/>
    </row>
  </sheetData>
  <phoneticPr fontId="73" type="noConversion"/>
  <hyperlinks>
    <hyperlink ref="H235:H239" location="'4001'!A1" display="'4001'!A1" xr:uid="{00000000-0004-0000-0500-000000000000}"/>
    <hyperlink ref="H187" location="'1004'!A1" display="'1004'!A1" xr:uid="{00000000-0004-0000-0500-000001000000}"/>
    <hyperlink ref="H217" location="'2502'!A1" display="'2502'!A1" xr:uid="{00000000-0004-0000-0500-000002000000}"/>
    <hyperlink ref="H204" location="'2502'!A1" display="'2502'!A1" xr:uid="{00000000-0004-0000-0500-000003000000}"/>
    <hyperlink ref="H246" location="'4001'!A1" display="'4001'!A1" xr:uid="{00000000-0004-0000-0500-000004000000}"/>
    <hyperlink ref="H248" location="'1007'!A1" display="'1007'!A1" xr:uid="{00000000-0004-0000-0500-000005000000}"/>
    <hyperlink ref="H247" location="'4001'!A1" display="'4001'!A1" xr:uid="{00000000-0004-0000-0500-000006000000}"/>
    <hyperlink ref="H221" location="'4002'!A1" display="'4002'!A1" xr:uid="{00000000-0004-0000-0500-000007000000}"/>
    <hyperlink ref="H147" location="'2001'!A1" display="'2001'!A1" xr:uid="{00000000-0004-0000-0500-000008000000}"/>
    <hyperlink ref="H293" location="'2002'!A1" display="'2002'!A1" xr:uid="{00000000-0004-0000-0500-000009000000}"/>
    <hyperlink ref="H294" location="'2550'!A1" display="'2550'!A1" xr:uid="{00000000-0004-0000-0500-00000A000000}"/>
    <hyperlink ref="H277" location="'2551'!A1" display="'2551'!A1" xr:uid="{00000000-0004-0000-0500-00000B000000}"/>
  </hyperlinks>
  <pageMargins left="0.7" right="0.7" top="0.75" bottom="0.75" header="0.3" footer="0.3"/>
  <pageSetup orientation="portrait" horizontalDpi="1200" verticalDpi="1200" r:id="rId1"/>
  <customProperties>
    <customPr name="OrphanNamesChecke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theme="6" tint="0.39997558519241921"/>
    <pageSetUpPr fitToPage="1"/>
  </sheetPr>
  <dimension ref="B1:Y471"/>
  <sheetViews>
    <sheetView showGridLines="0" zoomScale="90" zoomScaleNormal="90" workbookViewId="0">
      <pane xSplit="4" ySplit="6" topLeftCell="E7" activePane="bottomRight" state="frozen"/>
      <selection pane="topRight"/>
      <selection pane="bottomLeft"/>
      <selection pane="bottomRight" activeCell="P5" sqref="P5:Y5"/>
    </sheetView>
  </sheetViews>
  <sheetFormatPr defaultRowHeight="14.5" outlineLevelRow="1" outlineLevelCol="1"/>
  <cols>
    <col min="1" max="1" width="2.54296875" style="112" customWidth="1"/>
    <col min="2" max="2" width="5.81640625" style="114" customWidth="1"/>
    <col min="3" max="3" width="41.7265625" style="112" bestFit="1" customWidth="1"/>
    <col min="4" max="4" width="34.26953125" style="386" hidden="1" customWidth="1" outlineLevel="1"/>
    <col min="5" max="5" width="5" style="386" customWidth="1" collapsed="1"/>
    <col min="6" max="11" width="15.81640625" style="113" hidden="1" customWidth="1" outlineLevel="1"/>
    <col min="12" max="12" width="15.81640625" style="113" customWidth="1" collapsed="1"/>
    <col min="13" max="22" width="15.81640625" style="113" customWidth="1"/>
    <col min="23" max="23" width="15.7265625" style="113" customWidth="1"/>
    <col min="24" max="25" width="15.7265625" style="112" customWidth="1"/>
    <col min="26" max="245" width="9.1796875" style="112"/>
    <col min="246" max="246" width="5.81640625" style="112" customWidth="1"/>
    <col min="247" max="247" width="10.26953125" style="112" customWidth="1"/>
    <col min="248" max="248" width="30" style="112" customWidth="1"/>
    <col min="249" max="252" width="13.7265625" style="112" customWidth="1"/>
    <col min="253" max="256" width="0" style="112" hidden="1" customWidth="1"/>
    <col min="257" max="501" width="9.1796875" style="112"/>
    <col min="502" max="502" width="5.81640625" style="112" customWidth="1"/>
    <col min="503" max="503" width="10.26953125" style="112" customWidth="1"/>
    <col min="504" max="504" width="30" style="112" customWidth="1"/>
    <col min="505" max="508" width="13.7265625" style="112" customWidth="1"/>
    <col min="509" max="512" width="0" style="112" hidden="1" customWidth="1"/>
    <col min="513" max="757" width="9.1796875" style="112"/>
    <col min="758" max="758" width="5.81640625" style="112" customWidth="1"/>
    <col min="759" max="759" width="10.26953125" style="112" customWidth="1"/>
    <col min="760" max="760" width="30" style="112" customWidth="1"/>
    <col min="761" max="764" width="13.7265625" style="112" customWidth="1"/>
    <col min="765" max="768" width="0" style="112" hidden="1" customWidth="1"/>
    <col min="769" max="1013" width="9.1796875" style="112"/>
    <col min="1014" max="1014" width="5.81640625" style="112" customWidth="1"/>
    <col min="1015" max="1015" width="10.26953125" style="112" customWidth="1"/>
    <col min="1016" max="1016" width="30" style="112" customWidth="1"/>
    <col min="1017" max="1020" width="13.7265625" style="112" customWidth="1"/>
    <col min="1021" max="1024" width="0" style="112" hidden="1" customWidth="1"/>
    <col min="1025" max="1269" width="9.1796875" style="112"/>
    <col min="1270" max="1270" width="5.81640625" style="112" customWidth="1"/>
    <col min="1271" max="1271" width="10.26953125" style="112" customWidth="1"/>
    <col min="1272" max="1272" width="30" style="112" customWidth="1"/>
    <col min="1273" max="1276" width="13.7265625" style="112" customWidth="1"/>
    <col min="1277" max="1280" width="0" style="112" hidden="1" customWidth="1"/>
    <col min="1281" max="1525" width="9.1796875" style="112"/>
    <col min="1526" max="1526" width="5.81640625" style="112" customWidth="1"/>
    <col min="1527" max="1527" width="10.26953125" style="112" customWidth="1"/>
    <col min="1528" max="1528" width="30" style="112" customWidth="1"/>
    <col min="1529" max="1532" width="13.7265625" style="112" customWidth="1"/>
    <col min="1533" max="1536" width="0" style="112" hidden="1" customWidth="1"/>
    <col min="1537" max="1781" width="9.1796875" style="112"/>
    <col min="1782" max="1782" width="5.81640625" style="112" customWidth="1"/>
    <col min="1783" max="1783" width="10.26953125" style="112" customWidth="1"/>
    <col min="1784" max="1784" width="30" style="112" customWidth="1"/>
    <col min="1785" max="1788" width="13.7265625" style="112" customWidth="1"/>
    <col min="1789" max="1792" width="0" style="112" hidden="1" customWidth="1"/>
    <col min="1793" max="2037" width="9.1796875" style="112"/>
    <col min="2038" max="2038" width="5.81640625" style="112" customWidth="1"/>
    <col min="2039" max="2039" width="10.26953125" style="112" customWidth="1"/>
    <col min="2040" max="2040" width="30" style="112" customWidth="1"/>
    <col min="2041" max="2044" width="13.7265625" style="112" customWidth="1"/>
    <col min="2045" max="2048" width="0" style="112" hidden="1" customWidth="1"/>
    <col min="2049" max="2293" width="9.1796875" style="112"/>
    <col min="2294" max="2294" width="5.81640625" style="112" customWidth="1"/>
    <col min="2295" max="2295" width="10.26953125" style="112" customWidth="1"/>
    <col min="2296" max="2296" width="30" style="112" customWidth="1"/>
    <col min="2297" max="2300" width="13.7265625" style="112" customWidth="1"/>
    <col min="2301" max="2304" width="0" style="112" hidden="1" customWidth="1"/>
    <col min="2305" max="2549" width="9.1796875" style="112"/>
    <col min="2550" max="2550" width="5.81640625" style="112" customWidth="1"/>
    <col min="2551" max="2551" width="10.26953125" style="112" customWidth="1"/>
    <col min="2552" max="2552" width="30" style="112" customWidth="1"/>
    <col min="2553" max="2556" width="13.7265625" style="112" customWidth="1"/>
    <col min="2557" max="2560" width="0" style="112" hidden="1" customWidth="1"/>
    <col min="2561" max="2805" width="9.1796875" style="112"/>
    <col min="2806" max="2806" width="5.81640625" style="112" customWidth="1"/>
    <col min="2807" max="2807" width="10.26953125" style="112" customWidth="1"/>
    <col min="2808" max="2808" width="30" style="112" customWidth="1"/>
    <col min="2809" max="2812" width="13.7265625" style="112" customWidth="1"/>
    <col min="2813" max="2816" width="0" style="112" hidden="1" customWidth="1"/>
    <col min="2817" max="3061" width="9.1796875" style="112"/>
    <col min="3062" max="3062" width="5.81640625" style="112" customWidth="1"/>
    <col min="3063" max="3063" width="10.26953125" style="112" customWidth="1"/>
    <col min="3064" max="3064" width="30" style="112" customWidth="1"/>
    <col min="3065" max="3068" width="13.7265625" style="112" customWidth="1"/>
    <col min="3069" max="3072" width="0" style="112" hidden="1" customWidth="1"/>
    <col min="3073" max="3317" width="9.1796875" style="112"/>
    <col min="3318" max="3318" width="5.81640625" style="112" customWidth="1"/>
    <col min="3319" max="3319" width="10.26953125" style="112" customWidth="1"/>
    <col min="3320" max="3320" width="30" style="112" customWidth="1"/>
    <col min="3321" max="3324" width="13.7265625" style="112" customWidth="1"/>
    <col min="3325" max="3328" width="0" style="112" hidden="1" customWidth="1"/>
    <col min="3329" max="3573" width="9.1796875" style="112"/>
    <col min="3574" max="3574" width="5.81640625" style="112" customWidth="1"/>
    <col min="3575" max="3575" width="10.26953125" style="112" customWidth="1"/>
    <col min="3576" max="3576" width="30" style="112" customWidth="1"/>
    <col min="3577" max="3580" width="13.7265625" style="112" customWidth="1"/>
    <col min="3581" max="3584" width="0" style="112" hidden="1" customWidth="1"/>
    <col min="3585" max="3829" width="9.1796875" style="112"/>
    <col min="3830" max="3830" width="5.81640625" style="112" customWidth="1"/>
    <col min="3831" max="3831" width="10.26953125" style="112" customWidth="1"/>
    <col min="3832" max="3832" width="30" style="112" customWidth="1"/>
    <col min="3833" max="3836" width="13.7265625" style="112" customWidth="1"/>
    <col min="3837" max="3840" width="0" style="112" hidden="1" customWidth="1"/>
    <col min="3841" max="4085" width="9.1796875" style="112"/>
    <col min="4086" max="4086" width="5.81640625" style="112" customWidth="1"/>
    <col min="4087" max="4087" width="10.26953125" style="112" customWidth="1"/>
    <col min="4088" max="4088" width="30" style="112" customWidth="1"/>
    <col min="4089" max="4092" width="13.7265625" style="112" customWidth="1"/>
    <col min="4093" max="4096" width="0" style="112" hidden="1" customWidth="1"/>
    <col min="4097" max="4341" width="9.1796875" style="112"/>
    <col min="4342" max="4342" width="5.81640625" style="112" customWidth="1"/>
    <col min="4343" max="4343" width="10.26953125" style="112" customWidth="1"/>
    <col min="4344" max="4344" width="30" style="112" customWidth="1"/>
    <col min="4345" max="4348" width="13.7265625" style="112" customWidth="1"/>
    <col min="4349" max="4352" width="0" style="112" hidden="1" customWidth="1"/>
    <col min="4353" max="4597" width="9.1796875" style="112"/>
    <col min="4598" max="4598" width="5.81640625" style="112" customWidth="1"/>
    <col min="4599" max="4599" width="10.26953125" style="112" customWidth="1"/>
    <col min="4600" max="4600" width="30" style="112" customWidth="1"/>
    <col min="4601" max="4604" width="13.7265625" style="112" customWidth="1"/>
    <col min="4605" max="4608" width="0" style="112" hidden="1" customWidth="1"/>
    <col min="4609" max="4853" width="9.1796875" style="112"/>
    <col min="4854" max="4854" width="5.81640625" style="112" customWidth="1"/>
    <col min="4855" max="4855" width="10.26953125" style="112" customWidth="1"/>
    <col min="4856" max="4856" width="30" style="112" customWidth="1"/>
    <col min="4857" max="4860" width="13.7265625" style="112" customWidth="1"/>
    <col min="4861" max="4864" width="0" style="112" hidden="1" customWidth="1"/>
    <col min="4865" max="5109" width="9.1796875" style="112"/>
    <col min="5110" max="5110" width="5.81640625" style="112" customWidth="1"/>
    <col min="5111" max="5111" width="10.26953125" style="112" customWidth="1"/>
    <col min="5112" max="5112" width="30" style="112" customWidth="1"/>
    <col min="5113" max="5116" width="13.7265625" style="112" customWidth="1"/>
    <col min="5117" max="5120" width="0" style="112" hidden="1" customWidth="1"/>
    <col min="5121" max="5365" width="9.1796875" style="112"/>
    <col min="5366" max="5366" width="5.81640625" style="112" customWidth="1"/>
    <col min="5367" max="5367" width="10.26953125" style="112" customWidth="1"/>
    <col min="5368" max="5368" width="30" style="112" customWidth="1"/>
    <col min="5369" max="5372" width="13.7265625" style="112" customWidth="1"/>
    <col min="5373" max="5376" width="0" style="112" hidden="1" customWidth="1"/>
    <col min="5377" max="5621" width="9.1796875" style="112"/>
    <col min="5622" max="5622" width="5.81640625" style="112" customWidth="1"/>
    <col min="5623" max="5623" width="10.26953125" style="112" customWidth="1"/>
    <col min="5624" max="5624" width="30" style="112" customWidth="1"/>
    <col min="5625" max="5628" width="13.7265625" style="112" customWidth="1"/>
    <col min="5629" max="5632" width="0" style="112" hidden="1" customWidth="1"/>
    <col min="5633" max="5877" width="9.1796875" style="112"/>
    <col min="5878" max="5878" width="5.81640625" style="112" customWidth="1"/>
    <col min="5879" max="5879" width="10.26953125" style="112" customWidth="1"/>
    <col min="5880" max="5880" width="30" style="112" customWidth="1"/>
    <col min="5881" max="5884" width="13.7265625" style="112" customWidth="1"/>
    <col min="5885" max="5888" width="0" style="112" hidden="1" customWidth="1"/>
    <col min="5889" max="6133" width="9.1796875" style="112"/>
    <col min="6134" max="6134" width="5.81640625" style="112" customWidth="1"/>
    <col min="6135" max="6135" width="10.26953125" style="112" customWidth="1"/>
    <col min="6136" max="6136" width="30" style="112" customWidth="1"/>
    <col min="6137" max="6140" width="13.7265625" style="112" customWidth="1"/>
    <col min="6141" max="6144" width="0" style="112" hidden="1" customWidth="1"/>
    <col min="6145" max="6389" width="9.1796875" style="112"/>
    <col min="6390" max="6390" width="5.81640625" style="112" customWidth="1"/>
    <col min="6391" max="6391" width="10.26953125" style="112" customWidth="1"/>
    <col min="6392" max="6392" width="30" style="112" customWidth="1"/>
    <col min="6393" max="6396" width="13.7265625" style="112" customWidth="1"/>
    <col min="6397" max="6400" width="0" style="112" hidden="1" customWidth="1"/>
    <col min="6401" max="6645" width="9.1796875" style="112"/>
    <col min="6646" max="6646" width="5.81640625" style="112" customWidth="1"/>
    <col min="6647" max="6647" width="10.26953125" style="112" customWidth="1"/>
    <col min="6648" max="6648" width="30" style="112" customWidth="1"/>
    <col min="6649" max="6652" width="13.7265625" style="112" customWidth="1"/>
    <col min="6653" max="6656" width="0" style="112" hidden="1" customWidth="1"/>
    <col min="6657" max="6901" width="9.1796875" style="112"/>
    <col min="6902" max="6902" width="5.81640625" style="112" customWidth="1"/>
    <col min="6903" max="6903" width="10.26953125" style="112" customWidth="1"/>
    <col min="6904" max="6904" width="30" style="112" customWidth="1"/>
    <col min="6905" max="6908" width="13.7265625" style="112" customWidth="1"/>
    <col min="6909" max="6912" width="0" style="112" hidden="1" customWidth="1"/>
    <col min="6913" max="7157" width="9.1796875" style="112"/>
    <col min="7158" max="7158" width="5.81640625" style="112" customWidth="1"/>
    <col min="7159" max="7159" width="10.26953125" style="112" customWidth="1"/>
    <col min="7160" max="7160" width="30" style="112" customWidth="1"/>
    <col min="7161" max="7164" width="13.7265625" style="112" customWidth="1"/>
    <col min="7165" max="7168" width="0" style="112" hidden="1" customWidth="1"/>
    <col min="7169" max="7413" width="9.1796875" style="112"/>
    <col min="7414" max="7414" width="5.81640625" style="112" customWidth="1"/>
    <col min="7415" max="7415" width="10.26953125" style="112" customWidth="1"/>
    <col min="7416" max="7416" width="30" style="112" customWidth="1"/>
    <col min="7417" max="7420" width="13.7265625" style="112" customWidth="1"/>
    <col min="7421" max="7424" width="0" style="112" hidden="1" customWidth="1"/>
    <col min="7425" max="7669" width="9.1796875" style="112"/>
    <col min="7670" max="7670" width="5.81640625" style="112" customWidth="1"/>
    <col min="7671" max="7671" width="10.26953125" style="112" customWidth="1"/>
    <col min="7672" max="7672" width="30" style="112" customWidth="1"/>
    <col min="7673" max="7676" width="13.7265625" style="112" customWidth="1"/>
    <col min="7677" max="7680" width="0" style="112" hidden="1" customWidth="1"/>
    <col min="7681" max="7925" width="9.1796875" style="112"/>
    <col min="7926" max="7926" width="5.81640625" style="112" customWidth="1"/>
    <col min="7927" max="7927" width="10.26953125" style="112" customWidth="1"/>
    <col min="7928" max="7928" width="30" style="112" customWidth="1"/>
    <col min="7929" max="7932" width="13.7265625" style="112" customWidth="1"/>
    <col min="7933" max="7936" width="0" style="112" hidden="1" customWidth="1"/>
    <col min="7937" max="8181" width="9.1796875" style="112"/>
    <col min="8182" max="8182" width="5.81640625" style="112" customWidth="1"/>
    <col min="8183" max="8183" width="10.26953125" style="112" customWidth="1"/>
    <col min="8184" max="8184" width="30" style="112" customWidth="1"/>
    <col min="8185" max="8188" width="13.7265625" style="112" customWidth="1"/>
    <col min="8189" max="8192" width="0" style="112" hidden="1" customWidth="1"/>
    <col min="8193" max="8437" width="9.1796875" style="112"/>
    <col min="8438" max="8438" width="5.81640625" style="112" customWidth="1"/>
    <col min="8439" max="8439" width="10.26953125" style="112" customWidth="1"/>
    <col min="8440" max="8440" width="30" style="112" customWidth="1"/>
    <col min="8441" max="8444" width="13.7265625" style="112" customWidth="1"/>
    <col min="8445" max="8448" width="0" style="112" hidden="1" customWidth="1"/>
    <col min="8449" max="8693" width="9.1796875" style="112"/>
    <col min="8694" max="8694" width="5.81640625" style="112" customWidth="1"/>
    <col min="8695" max="8695" width="10.26953125" style="112" customWidth="1"/>
    <col min="8696" max="8696" width="30" style="112" customWidth="1"/>
    <col min="8697" max="8700" width="13.7265625" style="112" customWidth="1"/>
    <col min="8701" max="8704" width="0" style="112" hidden="1" customWidth="1"/>
    <col min="8705" max="8949" width="9.1796875" style="112"/>
    <col min="8950" max="8950" width="5.81640625" style="112" customWidth="1"/>
    <col min="8951" max="8951" width="10.26953125" style="112" customWidth="1"/>
    <col min="8952" max="8952" width="30" style="112" customWidth="1"/>
    <col min="8953" max="8956" width="13.7265625" style="112" customWidth="1"/>
    <col min="8957" max="8960" width="0" style="112" hidden="1" customWidth="1"/>
    <col min="8961" max="9205" width="9.1796875" style="112"/>
    <col min="9206" max="9206" width="5.81640625" style="112" customWidth="1"/>
    <col min="9207" max="9207" width="10.26953125" style="112" customWidth="1"/>
    <col min="9208" max="9208" width="30" style="112" customWidth="1"/>
    <col min="9209" max="9212" width="13.7265625" style="112" customWidth="1"/>
    <col min="9213" max="9216" width="0" style="112" hidden="1" customWidth="1"/>
    <col min="9217" max="9461" width="9.1796875" style="112"/>
    <col min="9462" max="9462" width="5.81640625" style="112" customWidth="1"/>
    <col min="9463" max="9463" width="10.26953125" style="112" customWidth="1"/>
    <col min="9464" max="9464" width="30" style="112" customWidth="1"/>
    <col min="9465" max="9468" width="13.7265625" style="112" customWidth="1"/>
    <col min="9469" max="9472" width="0" style="112" hidden="1" customWidth="1"/>
    <col min="9473" max="9717" width="9.1796875" style="112"/>
    <col min="9718" max="9718" width="5.81640625" style="112" customWidth="1"/>
    <col min="9719" max="9719" width="10.26953125" style="112" customWidth="1"/>
    <col min="9720" max="9720" width="30" style="112" customWidth="1"/>
    <col min="9721" max="9724" width="13.7265625" style="112" customWidth="1"/>
    <col min="9725" max="9728" width="0" style="112" hidden="1" customWidth="1"/>
    <col min="9729" max="9973" width="9.1796875" style="112"/>
    <col min="9974" max="9974" width="5.81640625" style="112" customWidth="1"/>
    <col min="9975" max="9975" width="10.26953125" style="112" customWidth="1"/>
    <col min="9976" max="9976" width="30" style="112" customWidth="1"/>
    <col min="9977" max="9980" width="13.7265625" style="112" customWidth="1"/>
    <col min="9981" max="9984" width="0" style="112" hidden="1" customWidth="1"/>
    <col min="9985" max="10229" width="9.1796875" style="112"/>
    <col min="10230" max="10230" width="5.81640625" style="112" customWidth="1"/>
    <col min="10231" max="10231" width="10.26953125" style="112" customWidth="1"/>
    <col min="10232" max="10232" width="30" style="112" customWidth="1"/>
    <col min="10233" max="10236" width="13.7265625" style="112" customWidth="1"/>
    <col min="10237" max="10240" width="0" style="112" hidden="1" customWidth="1"/>
    <col min="10241" max="10485" width="9.1796875" style="112"/>
    <col min="10486" max="10486" width="5.81640625" style="112" customWidth="1"/>
    <col min="10487" max="10487" width="10.26953125" style="112" customWidth="1"/>
    <col min="10488" max="10488" width="30" style="112" customWidth="1"/>
    <col min="10489" max="10492" width="13.7265625" style="112" customWidth="1"/>
    <col min="10493" max="10496" width="0" style="112" hidden="1" customWidth="1"/>
    <col min="10497" max="10741" width="9.1796875" style="112"/>
    <col min="10742" max="10742" width="5.81640625" style="112" customWidth="1"/>
    <col min="10743" max="10743" width="10.26953125" style="112" customWidth="1"/>
    <col min="10744" max="10744" width="30" style="112" customWidth="1"/>
    <col min="10745" max="10748" width="13.7265625" style="112" customWidth="1"/>
    <col min="10749" max="10752" width="0" style="112" hidden="1" customWidth="1"/>
    <col min="10753" max="10997" width="9.1796875" style="112"/>
    <col min="10998" max="10998" width="5.81640625" style="112" customWidth="1"/>
    <col min="10999" max="10999" width="10.26953125" style="112" customWidth="1"/>
    <col min="11000" max="11000" width="30" style="112" customWidth="1"/>
    <col min="11001" max="11004" width="13.7265625" style="112" customWidth="1"/>
    <col min="11005" max="11008" width="0" style="112" hidden="1" customWidth="1"/>
    <col min="11009" max="11253" width="9.1796875" style="112"/>
    <col min="11254" max="11254" width="5.81640625" style="112" customWidth="1"/>
    <col min="11255" max="11255" width="10.26953125" style="112" customWidth="1"/>
    <col min="11256" max="11256" width="30" style="112" customWidth="1"/>
    <col min="11257" max="11260" width="13.7265625" style="112" customWidth="1"/>
    <col min="11261" max="11264" width="0" style="112" hidden="1" customWidth="1"/>
    <col min="11265" max="11509" width="9.1796875" style="112"/>
    <col min="11510" max="11510" width="5.81640625" style="112" customWidth="1"/>
    <col min="11511" max="11511" width="10.26953125" style="112" customWidth="1"/>
    <col min="11512" max="11512" width="30" style="112" customWidth="1"/>
    <col min="11513" max="11516" width="13.7265625" style="112" customWidth="1"/>
    <col min="11517" max="11520" width="0" style="112" hidden="1" customWidth="1"/>
    <col min="11521" max="11765" width="9.1796875" style="112"/>
    <col min="11766" max="11766" width="5.81640625" style="112" customWidth="1"/>
    <col min="11767" max="11767" width="10.26953125" style="112" customWidth="1"/>
    <col min="11768" max="11768" width="30" style="112" customWidth="1"/>
    <col min="11769" max="11772" width="13.7265625" style="112" customWidth="1"/>
    <col min="11773" max="11776" width="0" style="112" hidden="1" customWidth="1"/>
    <col min="11777" max="12021" width="9.1796875" style="112"/>
    <col min="12022" max="12022" width="5.81640625" style="112" customWidth="1"/>
    <col min="12023" max="12023" width="10.26953125" style="112" customWidth="1"/>
    <col min="12024" max="12024" width="30" style="112" customWidth="1"/>
    <col min="12025" max="12028" width="13.7265625" style="112" customWidth="1"/>
    <col min="12029" max="12032" width="0" style="112" hidden="1" customWidth="1"/>
    <col min="12033" max="12277" width="9.1796875" style="112"/>
    <col min="12278" max="12278" width="5.81640625" style="112" customWidth="1"/>
    <col min="12279" max="12279" width="10.26953125" style="112" customWidth="1"/>
    <col min="12280" max="12280" width="30" style="112" customWidth="1"/>
    <col min="12281" max="12284" width="13.7265625" style="112" customWidth="1"/>
    <col min="12285" max="12288" width="0" style="112" hidden="1" customWidth="1"/>
    <col min="12289" max="12533" width="9.1796875" style="112"/>
    <col min="12534" max="12534" width="5.81640625" style="112" customWidth="1"/>
    <col min="12535" max="12535" width="10.26953125" style="112" customWidth="1"/>
    <col min="12536" max="12536" width="30" style="112" customWidth="1"/>
    <col min="12537" max="12540" width="13.7265625" style="112" customWidth="1"/>
    <col min="12541" max="12544" width="0" style="112" hidden="1" customWidth="1"/>
    <col min="12545" max="12789" width="9.1796875" style="112"/>
    <col min="12790" max="12790" width="5.81640625" style="112" customWidth="1"/>
    <col min="12791" max="12791" width="10.26953125" style="112" customWidth="1"/>
    <col min="12792" max="12792" width="30" style="112" customWidth="1"/>
    <col min="12793" max="12796" width="13.7265625" style="112" customWidth="1"/>
    <col min="12797" max="12800" width="0" style="112" hidden="1" customWidth="1"/>
    <col min="12801" max="13045" width="9.1796875" style="112"/>
    <col min="13046" max="13046" width="5.81640625" style="112" customWidth="1"/>
    <col min="13047" max="13047" width="10.26953125" style="112" customWidth="1"/>
    <col min="13048" max="13048" width="30" style="112" customWidth="1"/>
    <col min="13049" max="13052" width="13.7265625" style="112" customWidth="1"/>
    <col min="13053" max="13056" width="0" style="112" hidden="1" customWidth="1"/>
    <col min="13057" max="13301" width="9.1796875" style="112"/>
    <col min="13302" max="13302" width="5.81640625" style="112" customWidth="1"/>
    <col min="13303" max="13303" width="10.26953125" style="112" customWidth="1"/>
    <col min="13304" max="13304" width="30" style="112" customWidth="1"/>
    <col min="13305" max="13308" width="13.7265625" style="112" customWidth="1"/>
    <col min="13309" max="13312" width="0" style="112" hidden="1" customWidth="1"/>
    <col min="13313" max="13557" width="9.1796875" style="112"/>
    <col min="13558" max="13558" width="5.81640625" style="112" customWidth="1"/>
    <col min="13559" max="13559" width="10.26953125" style="112" customWidth="1"/>
    <col min="13560" max="13560" width="30" style="112" customWidth="1"/>
    <col min="13561" max="13564" width="13.7265625" style="112" customWidth="1"/>
    <col min="13565" max="13568" width="0" style="112" hidden="1" customWidth="1"/>
    <col min="13569" max="13813" width="9.1796875" style="112"/>
    <col min="13814" max="13814" width="5.81640625" style="112" customWidth="1"/>
    <col min="13815" max="13815" width="10.26953125" style="112" customWidth="1"/>
    <col min="13816" max="13816" width="30" style="112" customWidth="1"/>
    <col min="13817" max="13820" width="13.7265625" style="112" customWidth="1"/>
    <col min="13821" max="13824" width="0" style="112" hidden="1" customWidth="1"/>
    <col min="13825" max="14069" width="9.1796875" style="112"/>
    <col min="14070" max="14070" width="5.81640625" style="112" customWidth="1"/>
    <col min="14071" max="14071" width="10.26953125" style="112" customWidth="1"/>
    <col min="14072" max="14072" width="30" style="112" customWidth="1"/>
    <col min="14073" max="14076" width="13.7265625" style="112" customWidth="1"/>
    <col min="14077" max="14080" width="0" style="112" hidden="1" customWidth="1"/>
    <col min="14081" max="14325" width="9.1796875" style="112"/>
    <col min="14326" max="14326" width="5.81640625" style="112" customWidth="1"/>
    <col min="14327" max="14327" width="10.26953125" style="112" customWidth="1"/>
    <col min="14328" max="14328" width="30" style="112" customWidth="1"/>
    <col min="14329" max="14332" width="13.7265625" style="112" customWidth="1"/>
    <col min="14333" max="14336" width="0" style="112" hidden="1" customWidth="1"/>
    <col min="14337" max="14581" width="9.1796875" style="112"/>
    <col min="14582" max="14582" width="5.81640625" style="112" customWidth="1"/>
    <col min="14583" max="14583" width="10.26953125" style="112" customWidth="1"/>
    <col min="14584" max="14584" width="30" style="112" customWidth="1"/>
    <col min="14585" max="14588" width="13.7265625" style="112" customWidth="1"/>
    <col min="14589" max="14592" width="0" style="112" hidden="1" customWidth="1"/>
    <col min="14593" max="14837" width="9.1796875" style="112"/>
    <col min="14838" max="14838" width="5.81640625" style="112" customWidth="1"/>
    <col min="14839" max="14839" width="10.26953125" style="112" customWidth="1"/>
    <col min="14840" max="14840" width="30" style="112" customWidth="1"/>
    <col min="14841" max="14844" width="13.7265625" style="112" customWidth="1"/>
    <col min="14845" max="14848" width="0" style="112" hidden="1" customWidth="1"/>
    <col min="14849" max="15093" width="9.1796875" style="112"/>
    <col min="15094" max="15094" width="5.81640625" style="112" customWidth="1"/>
    <col min="15095" max="15095" width="10.26953125" style="112" customWidth="1"/>
    <col min="15096" max="15096" width="30" style="112" customWidth="1"/>
    <col min="15097" max="15100" width="13.7265625" style="112" customWidth="1"/>
    <col min="15101" max="15104" width="0" style="112" hidden="1" customWidth="1"/>
    <col min="15105" max="15349" width="9.1796875" style="112"/>
    <col min="15350" max="15350" width="5.81640625" style="112" customWidth="1"/>
    <col min="15351" max="15351" width="10.26953125" style="112" customWidth="1"/>
    <col min="15352" max="15352" width="30" style="112" customWidth="1"/>
    <col min="15353" max="15356" width="13.7265625" style="112" customWidth="1"/>
    <col min="15357" max="15360" width="0" style="112" hidden="1" customWidth="1"/>
    <col min="15361" max="15605" width="9.1796875" style="112"/>
    <col min="15606" max="15606" width="5.81640625" style="112" customWidth="1"/>
    <col min="15607" max="15607" width="10.26953125" style="112" customWidth="1"/>
    <col min="15608" max="15608" width="30" style="112" customWidth="1"/>
    <col min="15609" max="15612" width="13.7265625" style="112" customWidth="1"/>
    <col min="15613" max="15616" width="0" style="112" hidden="1" customWidth="1"/>
    <col min="15617" max="15861" width="9.1796875" style="112"/>
    <col min="15862" max="15862" width="5.81640625" style="112" customWidth="1"/>
    <col min="15863" max="15863" width="10.26953125" style="112" customWidth="1"/>
    <col min="15864" max="15864" width="30" style="112" customWidth="1"/>
    <col min="15865" max="15868" width="13.7265625" style="112" customWidth="1"/>
    <col min="15869" max="15872" width="0" style="112" hidden="1" customWidth="1"/>
    <col min="15873" max="16117" width="9.1796875" style="112"/>
    <col min="16118" max="16118" width="5.81640625" style="112" customWidth="1"/>
    <col min="16119" max="16119" width="10.26953125" style="112" customWidth="1"/>
    <col min="16120" max="16120" width="30" style="112" customWidth="1"/>
    <col min="16121" max="16124" width="13.7265625" style="112" customWidth="1"/>
    <col min="16125" max="16128" width="0" style="112" hidden="1" customWidth="1"/>
    <col min="16129" max="16384" width="9.1796875" style="112"/>
  </cols>
  <sheetData>
    <row r="1" spans="2:25">
      <c r="B1" s="114" t="str">
        <f>Summary!A1</f>
        <v>{COMPANY NAME}</v>
      </c>
      <c r="L1" s="369"/>
      <c r="M1" s="370" t="s">
        <v>260</v>
      </c>
      <c r="N1" s="405"/>
      <c r="O1" s="405"/>
    </row>
    <row r="2" spans="2:25">
      <c r="B2" s="111" t="s">
        <v>273</v>
      </c>
      <c r="L2" s="405"/>
      <c r="M2" s="405"/>
      <c r="N2" s="405"/>
      <c r="O2" s="405"/>
    </row>
    <row r="3" spans="2:25">
      <c r="B3" s="512"/>
      <c r="L3" s="405"/>
      <c r="M3" s="405"/>
      <c r="N3" s="405"/>
      <c r="O3" s="405"/>
      <c r="P3" s="504"/>
      <c r="Q3" s="504"/>
    </row>
    <row r="4" spans="2:25" ht="15" thickBot="1">
      <c r="B4" s="424"/>
      <c r="F4" s="115"/>
      <c r="G4" s="115"/>
      <c r="H4" s="115"/>
      <c r="I4" s="115"/>
      <c r="J4" s="115"/>
      <c r="K4" s="115"/>
      <c r="L4" s="406"/>
      <c r="M4" s="406"/>
      <c r="N4" s="406"/>
      <c r="O4" s="504"/>
      <c r="P4" s="503"/>
      <c r="Q4" s="503"/>
      <c r="R4" s="115"/>
      <c r="S4" s="115"/>
      <c r="T4" s="115"/>
      <c r="U4" s="115"/>
      <c r="V4" s="115"/>
      <c r="W4" s="115"/>
    </row>
    <row r="5" spans="2:25" ht="15" thickBot="1">
      <c r="B5" s="424"/>
      <c r="D5" s="388"/>
      <c r="E5" s="388"/>
      <c r="F5" s="149" t="s">
        <v>51</v>
      </c>
      <c r="G5" s="149" t="s">
        <v>51</v>
      </c>
      <c r="H5" s="149" t="s">
        <v>51</v>
      </c>
      <c r="I5" s="149" t="s">
        <v>51</v>
      </c>
      <c r="J5" s="149" t="s">
        <v>51</v>
      </c>
      <c r="K5" s="149" t="s">
        <v>51</v>
      </c>
      <c r="L5" s="149" t="s">
        <v>51</v>
      </c>
      <c r="M5" s="149" t="s">
        <v>51</v>
      </c>
      <c r="N5" s="149" t="s">
        <v>51</v>
      </c>
      <c r="O5" s="149" t="s">
        <v>51</v>
      </c>
      <c r="P5" s="98" t="s">
        <v>51</v>
      </c>
      <c r="Q5" s="98" t="s">
        <v>51</v>
      </c>
      <c r="R5" s="98" t="s">
        <v>51</v>
      </c>
      <c r="S5" s="98" t="s">
        <v>51</v>
      </c>
      <c r="T5" s="98" t="s">
        <v>51</v>
      </c>
      <c r="U5" s="98" t="s">
        <v>51</v>
      </c>
      <c r="V5" s="98" t="s">
        <v>51</v>
      </c>
      <c r="W5" s="98" t="s">
        <v>51</v>
      </c>
      <c r="X5" s="98" t="s">
        <v>51</v>
      </c>
      <c r="Y5" s="98" t="s">
        <v>51</v>
      </c>
    </row>
    <row r="6" spans="2:25">
      <c r="C6" s="116" t="s">
        <v>274</v>
      </c>
      <c r="D6" s="404" t="s">
        <v>262</v>
      </c>
      <c r="E6" s="404"/>
      <c r="F6" s="228" t="s">
        <v>490</v>
      </c>
      <c r="G6" s="228" t="s">
        <v>434</v>
      </c>
      <c r="H6" s="228" t="s">
        <v>435</v>
      </c>
      <c r="I6" s="228" t="s">
        <v>436</v>
      </c>
      <c r="J6" s="228" t="s">
        <v>437</v>
      </c>
      <c r="K6" s="228" t="s">
        <v>438</v>
      </c>
      <c r="L6" s="228" t="s">
        <v>439</v>
      </c>
      <c r="M6" s="228" t="s">
        <v>440</v>
      </c>
      <c r="N6" s="228" t="s">
        <v>441</v>
      </c>
      <c r="O6" s="228" t="s">
        <v>442</v>
      </c>
      <c r="P6" s="228" t="s">
        <v>434</v>
      </c>
      <c r="Q6" s="228" t="s">
        <v>435</v>
      </c>
      <c r="R6" s="228" t="s">
        <v>436</v>
      </c>
      <c r="S6" s="228" t="s">
        <v>437</v>
      </c>
      <c r="T6" s="228" t="s">
        <v>438</v>
      </c>
      <c r="U6" s="228" t="s">
        <v>439</v>
      </c>
      <c r="V6" s="228" t="s">
        <v>440</v>
      </c>
      <c r="W6" s="228" t="s">
        <v>441</v>
      </c>
      <c r="X6" s="228" t="s">
        <v>442</v>
      </c>
      <c r="Y6" s="228" t="s">
        <v>443</v>
      </c>
    </row>
    <row r="7" spans="2:25">
      <c r="C7" s="116"/>
      <c r="D7" s="404"/>
      <c r="E7" s="404"/>
      <c r="F7" s="403"/>
      <c r="G7" s="403"/>
      <c r="H7" s="403"/>
      <c r="I7" s="403"/>
      <c r="J7" s="403"/>
      <c r="K7" s="403"/>
      <c r="L7" s="403"/>
      <c r="M7" s="403"/>
      <c r="N7" s="403"/>
      <c r="O7" s="403"/>
      <c r="P7" s="403"/>
      <c r="Q7" s="403"/>
      <c r="R7" s="403"/>
      <c r="S7" s="403"/>
      <c r="T7" s="403"/>
      <c r="U7" s="403"/>
      <c r="V7" s="403"/>
      <c r="W7" s="403"/>
      <c r="X7" s="403"/>
      <c r="Y7" s="403"/>
    </row>
    <row r="8" spans="2:25">
      <c r="B8" s="412" t="s">
        <v>277</v>
      </c>
      <c r="C8" s="117"/>
      <c r="D8" s="407"/>
      <c r="E8" s="407"/>
      <c r="F8" s="408"/>
      <c r="G8" s="408"/>
      <c r="H8" s="408"/>
      <c r="I8" s="408"/>
      <c r="J8" s="408"/>
      <c r="K8" s="408"/>
      <c r="L8" s="408"/>
      <c r="M8" s="408"/>
      <c r="N8" s="408"/>
      <c r="O8" s="408"/>
      <c r="P8" s="408"/>
      <c r="Q8" s="408"/>
      <c r="R8" s="408"/>
      <c r="S8" s="408"/>
      <c r="T8" s="408"/>
      <c r="U8" s="408"/>
      <c r="V8" s="408"/>
      <c r="W8" s="408"/>
      <c r="X8" s="408"/>
      <c r="Y8" s="408"/>
    </row>
    <row r="9" spans="2:25">
      <c r="B9" s="117"/>
      <c r="C9" s="117" t="s">
        <v>469</v>
      </c>
      <c r="D9" s="407" t="s">
        <v>278</v>
      </c>
      <c r="E9" s="407"/>
      <c r="F9" s="416">
        <v>18526078</v>
      </c>
      <c r="G9" s="416">
        <v>18821801</v>
      </c>
      <c r="H9" s="416">
        <v>18706586</v>
      </c>
      <c r="I9" s="416">
        <v>18530773</v>
      </c>
      <c r="J9" s="416">
        <v>17956175</v>
      </c>
      <c r="K9" s="416">
        <v>17110928</v>
      </c>
      <c r="L9" s="416">
        <v>17298636</v>
      </c>
      <c r="M9" s="416">
        <v>17745949</v>
      </c>
      <c r="N9" s="416">
        <v>17555826</v>
      </c>
      <c r="O9" s="368">
        <v>17448120</v>
      </c>
      <c r="P9" s="416"/>
      <c r="Q9" s="416"/>
      <c r="R9" s="416"/>
      <c r="S9" s="416"/>
      <c r="T9" s="416"/>
      <c r="U9" s="416"/>
      <c r="V9" s="416"/>
      <c r="W9" s="416"/>
      <c r="X9" s="416"/>
      <c r="Y9" s="416"/>
    </row>
    <row r="10" spans="2:25">
      <c r="B10" s="117"/>
      <c r="C10" s="117" t="s">
        <v>508</v>
      </c>
      <c r="D10" s="407" t="s">
        <v>278</v>
      </c>
      <c r="E10" s="407"/>
      <c r="F10" s="416">
        <v>15100000</v>
      </c>
      <c r="G10" s="416">
        <v>15100000</v>
      </c>
      <c r="H10" s="416">
        <v>15100000</v>
      </c>
      <c r="I10" s="416">
        <v>15100000</v>
      </c>
      <c r="J10" s="416">
        <v>15100000</v>
      </c>
      <c r="K10" s="416">
        <v>15100000</v>
      </c>
      <c r="L10" s="416">
        <v>15100000</v>
      </c>
      <c r="M10" s="416">
        <v>15100000</v>
      </c>
      <c r="N10" s="416">
        <v>15100000</v>
      </c>
      <c r="O10" s="551">
        <v>15100000</v>
      </c>
      <c r="P10" s="416"/>
      <c r="Q10" s="416"/>
      <c r="R10" s="416"/>
      <c r="S10" s="416"/>
      <c r="T10" s="416"/>
      <c r="U10" s="416"/>
      <c r="V10" s="416"/>
      <c r="W10" s="416"/>
      <c r="X10" s="416"/>
      <c r="Y10" s="416"/>
    </row>
    <row r="11" spans="2:25">
      <c r="B11" s="117"/>
      <c r="C11" s="117" t="s">
        <v>472</v>
      </c>
      <c r="D11" s="407" t="s">
        <v>278</v>
      </c>
      <c r="E11" s="407"/>
      <c r="F11" s="416">
        <v>2469659</v>
      </c>
      <c r="G11" s="416">
        <v>2469659</v>
      </c>
      <c r="H11" s="416">
        <v>2370872</v>
      </c>
      <c r="I11" s="416">
        <v>2370872</v>
      </c>
      <c r="J11" s="416">
        <v>3141574</v>
      </c>
      <c r="K11" s="416">
        <v>2741574</v>
      </c>
      <c r="L11" s="416">
        <v>3741574</v>
      </c>
      <c r="M11" s="416">
        <v>3741574</v>
      </c>
      <c r="N11" s="416">
        <v>3037879</v>
      </c>
      <c r="O11" s="551">
        <v>3018899</v>
      </c>
      <c r="P11" s="416"/>
      <c r="Q11" s="416"/>
      <c r="R11" s="416"/>
      <c r="S11" s="416"/>
      <c r="T11" s="416"/>
      <c r="U11" s="416"/>
      <c r="V11" s="416"/>
      <c r="W11" s="416"/>
      <c r="X11" s="416"/>
      <c r="Y11" s="416"/>
    </row>
    <row r="12" spans="2:25">
      <c r="B12" s="117"/>
      <c r="C12" s="578"/>
      <c r="D12" s="407"/>
      <c r="E12" s="407"/>
      <c r="F12" s="416"/>
      <c r="G12" s="416"/>
      <c r="H12" s="416"/>
      <c r="I12" s="416"/>
      <c r="J12" s="416"/>
      <c r="K12" s="416"/>
      <c r="L12" s="416"/>
      <c r="M12" s="416"/>
      <c r="N12" s="416"/>
      <c r="O12" s="368"/>
      <c r="P12" s="416"/>
      <c r="Q12" s="416"/>
      <c r="R12" s="416"/>
      <c r="S12" s="416"/>
      <c r="T12" s="416"/>
      <c r="U12" s="416"/>
      <c r="V12" s="416"/>
      <c r="W12" s="416"/>
      <c r="X12" s="416"/>
      <c r="Y12" s="416"/>
    </row>
    <row r="13" spans="2:25">
      <c r="B13" s="117"/>
      <c r="C13" s="117" t="s">
        <v>155</v>
      </c>
      <c r="D13" s="407" t="s">
        <v>278</v>
      </c>
      <c r="E13" s="407"/>
      <c r="F13" s="416">
        <v>0</v>
      </c>
      <c r="G13" s="416">
        <v>0</v>
      </c>
      <c r="H13" s="416">
        <v>0</v>
      </c>
      <c r="I13" s="416">
        <v>-63480</v>
      </c>
      <c r="J13" s="416">
        <v>0</v>
      </c>
      <c r="K13" s="416">
        <v>0</v>
      </c>
      <c r="L13" s="416"/>
      <c r="M13" s="416"/>
      <c r="N13" s="416"/>
      <c r="O13" s="416"/>
      <c r="P13" s="416"/>
      <c r="Q13" s="416"/>
      <c r="R13" s="416"/>
      <c r="S13" s="416"/>
      <c r="T13" s="416"/>
      <c r="U13" s="416"/>
      <c r="V13" s="416"/>
      <c r="W13" s="416"/>
      <c r="X13" s="416"/>
      <c r="Y13" s="416"/>
    </row>
    <row r="14" spans="2:25">
      <c r="B14" s="117"/>
      <c r="C14" s="117"/>
      <c r="D14" s="407"/>
      <c r="E14" s="407"/>
      <c r="F14" s="416"/>
      <c r="G14" s="416"/>
      <c r="H14" s="416"/>
      <c r="I14" s="416"/>
      <c r="J14" s="416"/>
      <c r="K14" s="416"/>
      <c r="L14" s="416"/>
      <c r="M14" s="416"/>
      <c r="N14" s="416"/>
      <c r="O14" s="416"/>
      <c r="P14" s="416"/>
      <c r="Q14" s="416"/>
      <c r="R14" s="416"/>
      <c r="S14" s="416"/>
      <c r="T14" s="416"/>
      <c r="U14" s="416"/>
      <c r="V14" s="416"/>
      <c r="W14" s="416"/>
      <c r="X14" s="416"/>
      <c r="Y14" s="416"/>
    </row>
    <row r="15" spans="2:25">
      <c r="B15" s="412" t="s">
        <v>279</v>
      </c>
      <c r="C15" s="117"/>
      <c r="D15" s="407"/>
      <c r="E15" s="407"/>
      <c r="F15" s="413">
        <f>SUM(F9:F14)</f>
        <v>36095737</v>
      </c>
      <c r="G15" s="413">
        <f t="shared" ref="G15:W15" si="0">SUM(G9:G14)</f>
        <v>36391460</v>
      </c>
      <c r="H15" s="413">
        <f t="shared" si="0"/>
        <v>36177458</v>
      </c>
      <c r="I15" s="413">
        <f t="shared" si="0"/>
        <v>35938165</v>
      </c>
      <c r="J15" s="413">
        <f t="shared" si="0"/>
        <v>36197749</v>
      </c>
      <c r="K15" s="413">
        <f t="shared" si="0"/>
        <v>34952502</v>
      </c>
      <c r="L15" s="413">
        <f t="shared" si="0"/>
        <v>36140210</v>
      </c>
      <c r="M15" s="413">
        <f t="shared" si="0"/>
        <v>36587523</v>
      </c>
      <c r="N15" s="413">
        <f t="shared" si="0"/>
        <v>35693705</v>
      </c>
      <c r="O15" s="413">
        <f t="shared" si="0"/>
        <v>35567019</v>
      </c>
      <c r="P15" s="413">
        <f t="shared" si="0"/>
        <v>0</v>
      </c>
      <c r="Q15" s="413">
        <f t="shared" si="0"/>
        <v>0</v>
      </c>
      <c r="R15" s="413">
        <f t="shared" si="0"/>
        <v>0</v>
      </c>
      <c r="S15" s="413">
        <f t="shared" si="0"/>
        <v>0</v>
      </c>
      <c r="T15" s="413">
        <f t="shared" si="0"/>
        <v>0</v>
      </c>
      <c r="U15" s="413">
        <f t="shared" si="0"/>
        <v>0</v>
      </c>
      <c r="V15" s="413">
        <f t="shared" si="0"/>
        <v>0</v>
      </c>
      <c r="W15" s="413">
        <f t="shared" si="0"/>
        <v>0</v>
      </c>
      <c r="X15" s="413">
        <f t="shared" ref="X15:Y15" si="1">SUM(X9:X14)</f>
        <v>0</v>
      </c>
      <c r="Y15" s="413">
        <f t="shared" si="1"/>
        <v>0</v>
      </c>
    </row>
    <row r="16" spans="2:25">
      <c r="B16" s="412"/>
      <c r="C16" s="117"/>
      <c r="D16" s="407"/>
      <c r="E16" s="40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</row>
    <row r="17" spans="2:25">
      <c r="B17" s="412" t="s">
        <v>280</v>
      </c>
      <c r="C17" s="117"/>
      <c r="D17" s="407"/>
      <c r="E17" s="40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</row>
    <row r="18" spans="2:25">
      <c r="B18" s="412"/>
      <c r="C18" s="117" t="s">
        <v>281</v>
      </c>
      <c r="D18" s="407"/>
      <c r="E18" s="407"/>
      <c r="F18" s="416">
        <v>11586302</v>
      </c>
      <c r="G18" s="416">
        <v>11746618</v>
      </c>
      <c r="H18" s="416">
        <v>12550451</v>
      </c>
      <c r="I18" s="416">
        <v>12508114</v>
      </c>
      <c r="J18" s="416">
        <v>13309816</v>
      </c>
      <c r="K18" s="416">
        <v>13877170</v>
      </c>
      <c r="L18" s="416">
        <v>14758898</v>
      </c>
      <c r="M18" s="416">
        <v>14295872.68</v>
      </c>
      <c r="N18" s="416">
        <v>14739767</v>
      </c>
      <c r="O18" s="416">
        <v>15382787</v>
      </c>
      <c r="P18" s="416"/>
      <c r="Q18" s="416"/>
      <c r="R18" s="416"/>
      <c r="S18" s="416"/>
      <c r="T18" s="416"/>
      <c r="U18" s="416"/>
      <c r="V18" s="416"/>
      <c r="W18" s="416"/>
      <c r="X18" s="416"/>
      <c r="Y18" s="416"/>
    </row>
    <row r="19" spans="2:25">
      <c r="B19" s="412"/>
      <c r="C19" s="57" t="s">
        <v>174</v>
      </c>
      <c r="D19" s="389"/>
      <c r="E19" s="389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</row>
    <row r="20" spans="2:25">
      <c r="B20" s="412"/>
      <c r="C20" s="409" t="s">
        <v>175</v>
      </c>
      <c r="D20" s="407">
        <v>2503</v>
      </c>
      <c r="E20" s="407"/>
      <c r="F20" s="59"/>
      <c r="G20" s="59">
        <f>G33/(1+'2503'!B27)</f>
        <v>-7152683.1711505437</v>
      </c>
      <c r="H20" s="59">
        <f>IF(H$5="Actual",H33/(1+'2503'!B27),0)</f>
        <v>-7578698.4831139101</v>
      </c>
      <c r="I20" s="59">
        <f>IF(I$5="Actual",I33/(1+'2503'!C27),0)</f>
        <v>-7363505.0162498234</v>
      </c>
      <c r="J20" s="59">
        <f>IF(J$5="Actual",J33/(1+'2503'!D27),0)</f>
        <v>-7780091.5557433628</v>
      </c>
      <c r="K20" s="59">
        <f>IF(K$5="Actual",K33/(1+'2503'!E27),0)</f>
        <v>-7998039.8624464869</v>
      </c>
      <c r="L20" s="59">
        <f>IF(L$5="Actual",L33/(1+'2503'!F27),0)</f>
        <v>-8049691.0525611872</v>
      </c>
      <c r="M20" s="59">
        <f>IF(M$5="Actual",M33/(1+'2503'!G27),0)</f>
        <v>-7415403.5065152226</v>
      </c>
      <c r="N20" s="59">
        <f>IF(N$5="Actual",N33/(1+'2503'!H27),0)</f>
        <v>-7449810.7870253967</v>
      </c>
      <c r="O20" s="59">
        <f>IF(O$5="Actual",O33/(1+'2503'!I27),0)</f>
        <v>-7846105.4382183915</v>
      </c>
      <c r="P20" s="59">
        <f>IF(P$5="Actual",P33/(1+'2503'!J27),0)</f>
        <v>0</v>
      </c>
      <c r="Q20" s="59">
        <f>IF(Q$5="Actual",Q33/(1+'2503'!K27),0)</f>
        <v>0</v>
      </c>
      <c r="R20" s="59">
        <f>IF(R$5="Actual",R33/(1+'2503'!L27),0)</f>
        <v>0</v>
      </c>
      <c r="S20" s="59">
        <f>IF(S$5="Actual",S33/(1+'2503'!M27),0)</f>
        <v>0</v>
      </c>
      <c r="T20" s="59">
        <f>IF(T$5="Actual",T33/(1+'2503'!N27),0)</f>
        <v>0</v>
      </c>
      <c r="U20" s="59">
        <f>IF(U$5="Actual",U33/(1+'2503'!O27),0)</f>
        <v>0</v>
      </c>
      <c r="V20" s="59">
        <f>IF(V$5="Actual",V33/(1+'2503'!P27),0)</f>
        <v>0</v>
      </c>
      <c r="W20" s="59">
        <f>IF(W$5="Actual",W33/(1+'2503'!Q27),0)</f>
        <v>0</v>
      </c>
      <c r="X20" s="59">
        <f>IF(X$5="Actual",X33/(1+'2503'!R27),0)</f>
        <v>0</v>
      </c>
      <c r="Y20" s="59">
        <f>IF(Y$5="Actual",Y33/(1+'2503'!S27),0)</f>
        <v>0</v>
      </c>
    </row>
    <row r="21" spans="2:25">
      <c r="B21" s="412"/>
      <c r="C21" s="336" t="s">
        <v>177</v>
      </c>
      <c r="D21" s="407"/>
      <c r="E21" s="407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 spans="2:25" outlineLevel="1">
      <c r="B22" s="412"/>
      <c r="C22" s="410" t="s">
        <v>178</v>
      </c>
      <c r="D22" s="407">
        <v>2503</v>
      </c>
      <c r="E22" s="411"/>
      <c r="F22" s="59"/>
      <c r="G22" s="59">
        <f>((G$33/((1/'2503'!B$27)+1))*('2503'!B18/'2503'!B$27))</f>
        <v>-1072902.4756725815</v>
      </c>
      <c r="H22" s="59">
        <f>IF(H$5="Actual",((H$33/((1/'2503'!B$27)+1))*('2503'!B18/'2503'!B$27)),0)</f>
        <v>-1136804.7724670863</v>
      </c>
      <c r="I22" s="59">
        <f>IF(I$5="Actual",((I$33/((1/'2503'!C$27)+1))*('2503'!C18/'2503'!C$27)),0)</f>
        <v>-1141343.2775187227</v>
      </c>
      <c r="J22" s="59">
        <f>IF(J$5="Actual",((J$33/((1/'2503'!D$27)+1))*('2503'!D18/'2503'!D$27)),0)</f>
        <v>-1244814.6489189379</v>
      </c>
      <c r="K22" s="59">
        <f>IF(K$5="Actual",((K$33/((1/'2503'!E$27)+1))*('2503'!E18/'2503'!E$27)),0)</f>
        <v>-1319676.5773036706</v>
      </c>
      <c r="L22" s="59">
        <f>IF(L$5="Actual",((L$33/((1/'2503'!F$27)+1))*('2503'!F18/'2503'!F$27)),0)</f>
        <v>-1368447.4789354019</v>
      </c>
      <c r="M22" s="59">
        <f>IF(M$5="Actual",((M$33/((1/'2503'!G$27)+1))*('2503'!G18/'2503'!G$27)),0)</f>
        <v>-1260618.5961075879</v>
      </c>
      <c r="N22" s="59">
        <f>IF(N$5="Actual",((N$33/((1/'2503'!H$27)+1))*('2503'!H18/'2503'!H$27)),0)</f>
        <v>-1340965.9416645714</v>
      </c>
      <c r="O22" s="59">
        <f>IF(O$5="Actual",((O$33/((1/'2503'!I$27)+1))*('2503'!I18/'2503'!I$27)),0)</f>
        <v>-1490760.0332614942</v>
      </c>
      <c r="P22" s="59">
        <f>IF(P$5="Actual",((P$33/((1/'2503'!J$27)+1))*('2503'!J18/'2503'!J$27)),0)</f>
        <v>0</v>
      </c>
      <c r="Q22" s="59">
        <f>IF(Q$5="Actual",((Q$33/((1/'2503'!K$27)+1))*('2503'!K18/'2503'!K$27)),0)</f>
        <v>0</v>
      </c>
      <c r="R22" s="59">
        <f>IF(R$5="Actual",((R$33/((1/'2503'!L$27)+1))*('2503'!L18/'2503'!L$27)),0)</f>
        <v>0</v>
      </c>
      <c r="S22" s="59">
        <f>IF(S$5="Actual",((S$33/((1/'2503'!M$27)+1))*('2503'!M18/'2503'!M$27)),0)</f>
        <v>0</v>
      </c>
      <c r="T22" s="59">
        <f>IF(T$5="Actual",((T$33/((1/'2503'!N$27)+1))*('2503'!N18/'2503'!N$27)),0)</f>
        <v>0</v>
      </c>
      <c r="U22" s="59">
        <f>IF(U$5="Actual",((U$33/((1/'2503'!O$27)+1))*('2503'!O18/'2503'!O$27)),0)</f>
        <v>0</v>
      </c>
      <c r="V22" s="59">
        <f>IF(V$5="Actual",((V$33/((1/'2503'!P$27)+1))*('2503'!P18/'2503'!P$27)),0)</f>
        <v>0</v>
      </c>
      <c r="W22" s="59">
        <f>IF(W$5="Actual",((W$33/((1/'2503'!Q$27)+1))*('2503'!Q18/'2503'!Q$27)),0)</f>
        <v>0</v>
      </c>
      <c r="X22" s="59">
        <f>IF(X$5="Actual",((X$33/((1/'2503'!R$27)+1))*('2503'!R18/'2503'!R$27)),0)</f>
        <v>0</v>
      </c>
      <c r="Y22" s="59">
        <f>IF(Y$5="Actual",((Y$33/((1/'2503'!S$27)+1))*('2503'!S18/'2503'!S$27)),0)</f>
        <v>0</v>
      </c>
    </row>
    <row r="23" spans="2:25" outlineLevel="1">
      <c r="B23" s="412"/>
      <c r="C23" s="410" t="s">
        <v>180</v>
      </c>
      <c r="D23" s="407">
        <v>2503</v>
      </c>
      <c r="E23" s="411"/>
      <c r="F23" s="59"/>
      <c r="G23" s="59">
        <f>((G$33/((1/'2503'!B$27)+1))*('2503'!B19/'2503'!B$27))</f>
        <v>-569353.58042358328</v>
      </c>
      <c r="H23" s="59">
        <f>IF(H$5="Actual",((H$33/((1/'2503'!B$27)+1))*('2503'!B19/'2503'!B$27)),0)</f>
        <v>-603264.39925586723</v>
      </c>
      <c r="I23" s="59">
        <f>IF(I$5="Actual",((I$33/((1/'2503'!C$27)+1))*('2503'!C19/'2503'!C$27)),0)</f>
        <v>-762122.76918185665</v>
      </c>
      <c r="J23" s="59">
        <f>IF(J$5="Actual",((J$33/((1/'2503'!D$27)+1))*('2503'!D19/'2503'!D$27)),0)</f>
        <v>-787345.26544122829</v>
      </c>
      <c r="K23" s="59">
        <f>IF(K$5="Actual",((K$33/((1/'2503'!E$27)+1))*('2503'!E19/'2503'!E$27)),0)</f>
        <v>-809401.6340795845</v>
      </c>
      <c r="L23" s="59">
        <f>IF(L$5="Actual",((L$33/((1/'2503'!F$27)+1))*('2503'!F19/'2503'!F$27)),0)</f>
        <v>-649610.06794168777</v>
      </c>
      <c r="M23" s="59">
        <f>IF(M$5="Actual",((M$33/((1/'2503'!G$27)+1))*('2503'!G19/'2503'!G$27)),0)</f>
        <v>-696306.38926177949</v>
      </c>
      <c r="N23" s="59">
        <f>IF(N$5="Actual",((N$33/((1/'2503'!H$27)+1))*('2503'!H19/'2503'!H$27)),0)</f>
        <v>-755410.81380437524</v>
      </c>
      <c r="O23" s="59">
        <f>IF(O$5="Actual",((O$33/((1/'2503'!I$27)+1))*('2503'!I19/'2503'!I$27)),0)</f>
        <v>-795595.09143534489</v>
      </c>
      <c r="P23" s="59">
        <f>IF(P$5="Actual",((P$33/((1/'2503'!J$27)+1))*('2503'!J19/'2503'!J$27)),0)</f>
        <v>0</v>
      </c>
      <c r="Q23" s="59">
        <f>IF(Q$5="Actual",((Q$33/((1/'2503'!K$27)+1))*('2503'!K19/'2503'!K$27)),0)</f>
        <v>0</v>
      </c>
      <c r="R23" s="59">
        <f>IF(R$5="Actual",((R$33/((1/'2503'!L$27)+1))*('2503'!L19/'2503'!L$27)),0)</f>
        <v>0</v>
      </c>
      <c r="S23" s="59">
        <f>IF(S$5="Actual",((S$33/((1/'2503'!M$27)+1))*('2503'!M19/'2503'!M$27)),0)</f>
        <v>0</v>
      </c>
      <c r="T23" s="59">
        <f>IF(T$5="Actual",((T$33/((1/'2503'!N$27)+1))*('2503'!N19/'2503'!N$27)),0)</f>
        <v>0</v>
      </c>
      <c r="U23" s="59">
        <f>IF(U$5="Actual",((U$33/((1/'2503'!O$27)+1))*('2503'!O19/'2503'!O$27)),0)</f>
        <v>0</v>
      </c>
      <c r="V23" s="59">
        <f>IF(V$5="Actual",((V$33/((1/'2503'!P$27)+1))*('2503'!P19/'2503'!P$27)),0)</f>
        <v>0</v>
      </c>
      <c r="W23" s="59">
        <f>IF(W$5="Actual",((W$33/((1/'2503'!Q$27)+1))*('2503'!Q19/'2503'!Q$27)),0)</f>
        <v>0</v>
      </c>
      <c r="X23" s="59">
        <f>IF(X$5="Actual",((X$33/((1/'2503'!R$27)+1))*('2503'!R19/'2503'!R$27)),0)</f>
        <v>0</v>
      </c>
      <c r="Y23" s="59">
        <f>IF(Y$5="Actual",((Y$33/((1/'2503'!S$27)+1))*('2503'!S19/'2503'!S$27)),0)</f>
        <v>0</v>
      </c>
    </row>
    <row r="24" spans="2:25" outlineLevel="1">
      <c r="B24" s="412"/>
      <c r="C24" s="410" t="s">
        <v>181</v>
      </c>
      <c r="D24" s="407">
        <v>2503</v>
      </c>
      <c r="E24" s="411"/>
      <c r="F24" s="59"/>
      <c r="G24" s="59">
        <f>((G$33/((1/'2503'!B$27)+1))*('2503'!B20/'2503'!B$27))</f>
        <v>0</v>
      </c>
      <c r="H24" s="59">
        <f>IF(H$5="Actual",((H$33/((1/'2503'!B$27)+1))*('2503'!B20/'2503'!B$27)),0)</f>
        <v>0</v>
      </c>
      <c r="I24" s="59">
        <f>IF(I$5="Actual",((I$33/((1/'2503'!C$27)+1))*('2503'!C20/'2503'!C$27)),0)</f>
        <v>0</v>
      </c>
      <c r="J24" s="59">
        <f>IF(J$5="Actual",((J$33/((1/'2503'!D$27)+1))*('2503'!D20/'2503'!D$27)),0)</f>
        <v>0</v>
      </c>
      <c r="K24" s="59">
        <f>IF(K$5="Actual",((K$33/((1/'2503'!E$27)+1))*('2503'!E20/'2503'!E$27)),0)</f>
        <v>0</v>
      </c>
      <c r="L24" s="59">
        <f>IF(L$5="Actual",((L$33/((1/'2503'!F$27)+1))*('2503'!F20/'2503'!F$27)),0)</f>
        <v>-626265.96388926019</v>
      </c>
      <c r="M24" s="59">
        <f>IF(M$5="Actual",((M$33/((1/'2503'!G$27)+1))*('2503'!G20/'2503'!G$27)),0)</f>
        <v>-941014.70497678197</v>
      </c>
      <c r="N24" s="59">
        <f>IF(N$5="Actual",((N$33/((1/'2503'!H$27)+1))*('2503'!H20/'2503'!H$27)),0)</f>
        <v>-1067557.8857807394</v>
      </c>
      <c r="O24" s="59">
        <f>IF(O$5="Actual",((O$33/((1/'2503'!I$27)+1))*('2503'!I20/'2503'!I$27)),0)</f>
        <v>-1124346.9092966954</v>
      </c>
      <c r="P24" s="59">
        <f>IF(P$5="Actual",((P$33/((1/'2503'!J$27)+1))*('2503'!J20/'2503'!J$27)),0)</f>
        <v>0</v>
      </c>
      <c r="Q24" s="59">
        <f>IF(Q$5="Actual",((Q$33/((1/'2503'!K$27)+1))*('2503'!K20/'2503'!K$27)),0)</f>
        <v>0</v>
      </c>
      <c r="R24" s="59">
        <f>IF(R$5="Actual",((R$33/((1/'2503'!L$27)+1))*('2503'!L20/'2503'!L$27)),0)</f>
        <v>0</v>
      </c>
      <c r="S24" s="59">
        <f>IF(S$5="Actual",((S$33/((1/'2503'!M$27)+1))*('2503'!M20/'2503'!M$27)),0)</f>
        <v>0</v>
      </c>
      <c r="T24" s="59">
        <f>IF(T$5="Actual",((T$33/((1/'2503'!N$27)+1))*('2503'!N20/'2503'!N$27)),0)</f>
        <v>0</v>
      </c>
      <c r="U24" s="59">
        <f>IF(U$5="Actual",((U$33/((1/'2503'!O$27)+1))*('2503'!O20/'2503'!O$27)),0)</f>
        <v>0</v>
      </c>
      <c r="V24" s="59">
        <f>IF(V$5="Actual",((V$33/((1/'2503'!P$27)+1))*('2503'!P20/'2503'!P$27)),0)</f>
        <v>0</v>
      </c>
      <c r="W24" s="59">
        <f>IF(W$5="Actual",((W$33/((1/'2503'!Q$27)+1))*('2503'!Q20/'2503'!Q$27)),0)</f>
        <v>0</v>
      </c>
      <c r="X24" s="59">
        <f>IF(X$5="Actual",((X$33/((1/'2503'!R$27)+1))*('2503'!R20/'2503'!R$27)),0)</f>
        <v>0</v>
      </c>
      <c r="Y24" s="59">
        <f>IF(Y$5="Actual",((Y$33/((1/'2503'!S$27)+1))*('2503'!S20/'2503'!S$27)),0)</f>
        <v>0</v>
      </c>
    </row>
    <row r="25" spans="2:25" outlineLevel="1">
      <c r="B25" s="412"/>
      <c r="C25" s="410" t="s">
        <v>182</v>
      </c>
      <c r="D25" s="407">
        <v>2503</v>
      </c>
      <c r="E25" s="411"/>
      <c r="F25" s="59"/>
      <c r="G25" s="59">
        <f>((G$33/((1/'2503'!B$27)+1))*('2503'!B21/'2503'!B$27))</f>
        <v>-502118.35861476813</v>
      </c>
      <c r="H25" s="59">
        <f>IF(H$5="Actual",((H$33/((1/'2503'!B$27)+1))*('2503'!B21/'2503'!B$27)),0)</f>
        <v>-532024.63351459638</v>
      </c>
      <c r="I25" s="59">
        <f>IF(I$5="Actual",((I$33/((1/'2503'!C$27)+1))*('2503'!C21/'2503'!C$27)),0)</f>
        <v>-503663.74311148794</v>
      </c>
      <c r="J25" s="59">
        <f>IF(J$5="Actual",((J$33/((1/'2503'!D$27)+1))*('2503'!D21/'2503'!D$27)),0)</f>
        <v>-529824.23494612286</v>
      </c>
      <c r="K25" s="59">
        <f>IF(K$5="Actual",((K$33/((1/'2503'!E$27)+1))*('2503'!E21/'2503'!E$27)),0)</f>
        <v>-544666.51463260571</v>
      </c>
      <c r="L25" s="59">
        <f>IF(L$5="Actual",((L$33/((1/'2503'!F$27)+1))*('2503'!F21/'2503'!F$27)),0)</f>
        <v>-613386.45820516243</v>
      </c>
      <c r="M25" s="59">
        <f>IF(M$5="Actual",((M$33/((1/'2503'!G$27)+1))*('2503'!G21/'2503'!G$27)),0)</f>
        <v>-563570.66649515694</v>
      </c>
      <c r="N25" s="59">
        <f>IF(N$5="Actual",((N$33/((1/'2503'!H$27)+1))*('2503'!H21/'2503'!H$27)),0)</f>
        <v>-572890.44952225289</v>
      </c>
      <c r="O25" s="59">
        <f>IF(O$5="Actual",((O$33/((1/'2503'!I$27)+1))*('2503'!I21/'2503'!I$27)),0)</f>
        <v>-603365.50819899421</v>
      </c>
      <c r="P25" s="59">
        <f>IF(P$5="Actual",((P$33/((1/'2503'!J$27)+1))*('2503'!J21/'2503'!J$27)),0)</f>
        <v>0</v>
      </c>
      <c r="Q25" s="59">
        <f>IF(Q$5="Actual",((Q$33/((1/'2503'!K$27)+1))*('2503'!K21/'2503'!K$27)),0)</f>
        <v>0</v>
      </c>
      <c r="R25" s="59">
        <f>IF(R$5="Actual",((R$33/((1/'2503'!L$27)+1))*('2503'!L21/'2503'!L$27)),0)</f>
        <v>0</v>
      </c>
      <c r="S25" s="59">
        <f>IF(S$5="Actual",((S$33/((1/'2503'!M$27)+1))*('2503'!M21/'2503'!M$27)),0)</f>
        <v>0</v>
      </c>
      <c r="T25" s="59">
        <f>IF(T$5="Actual",((T$33/((1/'2503'!N$27)+1))*('2503'!N21/'2503'!N$27)),0)</f>
        <v>0</v>
      </c>
      <c r="U25" s="59">
        <f>IF(U$5="Actual",((U$33/((1/'2503'!O$27)+1))*('2503'!O21/'2503'!O$27)),0)</f>
        <v>0</v>
      </c>
      <c r="V25" s="59">
        <f>IF(V$5="Actual",((V$33/((1/'2503'!P$27)+1))*('2503'!P21/'2503'!P$27)),0)</f>
        <v>0</v>
      </c>
      <c r="W25" s="59">
        <f>IF(W$5="Actual",((W$33/((1/'2503'!Q$27)+1))*('2503'!Q21/'2503'!Q$27)),0)</f>
        <v>0</v>
      </c>
      <c r="X25" s="59">
        <f>IF(X$5="Actual",((X$33/((1/'2503'!R$27)+1))*('2503'!R21/'2503'!R$27)),0)</f>
        <v>0</v>
      </c>
      <c r="Y25" s="59">
        <f>IF(Y$5="Actual",((Y$33/((1/'2503'!S$27)+1))*('2503'!S21/'2503'!S$27)),0)</f>
        <v>0</v>
      </c>
    </row>
    <row r="26" spans="2:25" outlineLevel="1">
      <c r="B26" s="412"/>
      <c r="C26" s="410" t="s">
        <v>183</v>
      </c>
      <c r="D26" s="407">
        <v>2503</v>
      </c>
      <c r="E26" s="411"/>
      <c r="F26" s="59"/>
      <c r="G26" s="59">
        <f>((G$33/((1/'2503'!B$27)+1))*('2503'!B22/'2503'!B$27))</f>
        <v>-443466.35661133373</v>
      </c>
      <c r="H26" s="59">
        <f>IF(H$5="Actual",((H$33/((1/'2503'!B$27)+1))*('2503'!B22/'2503'!B$27)),0)</f>
        <v>-469879.30595306237</v>
      </c>
      <c r="I26" s="59">
        <f>IF(I$5="Actual",((I$33/((1/'2503'!C$27)+1))*('2503'!C22/'2503'!C$27)),0)</f>
        <v>-456537.3110074891</v>
      </c>
      <c r="J26" s="59">
        <f>IF(J$5="Actual",((J$33/((1/'2503'!D$27)+1))*('2503'!D22/'2503'!D$27)),0)</f>
        <v>-482365.67645608843</v>
      </c>
      <c r="K26" s="59">
        <f>IF(K$5="Actual",((K$33/((1/'2503'!E$27)+1))*('2503'!E22/'2503'!E$27)),0)</f>
        <v>-495878.47147168219</v>
      </c>
      <c r="L26" s="59">
        <f>IF(L$5="Actual",((L$33/((1/'2503'!F$27)+1))*('2503'!F22/'2503'!F$27)),0)</f>
        <v>-499080.84525879356</v>
      </c>
      <c r="M26" s="59">
        <f>IF(M$5="Actual",((M$33/((1/'2503'!G$27)+1))*('2503'!G22/'2503'!G$27)),0)</f>
        <v>-459755.01740394381</v>
      </c>
      <c r="N26" s="59">
        <f>IF(N$5="Actual",((N$33/((1/'2503'!H$27)+1))*('2503'!H22/'2503'!H$27)),0)</f>
        <v>-461888.26879557461</v>
      </c>
      <c r="O26" s="59">
        <f>IF(O$5="Actual",((O$33/((1/'2503'!I$27)+1))*('2503'!I22/'2503'!I$27)),0)</f>
        <v>-486458.5371695403</v>
      </c>
      <c r="P26" s="59">
        <f>IF(P$5="Actual",((P$33/((1/'2503'!J$27)+1))*('2503'!J22/'2503'!J$27)),0)</f>
        <v>0</v>
      </c>
      <c r="Q26" s="59">
        <f>IF(Q$5="Actual",((Q$33/((1/'2503'!K$27)+1))*('2503'!K22/'2503'!K$27)),0)</f>
        <v>0</v>
      </c>
      <c r="R26" s="59">
        <f>IF(R$5="Actual",((R$33/((1/'2503'!L$27)+1))*('2503'!L22/'2503'!L$27)),0)</f>
        <v>0</v>
      </c>
      <c r="S26" s="59">
        <f>IF(S$5="Actual",((S$33/((1/'2503'!M$27)+1))*('2503'!M22/'2503'!M$27)),0)</f>
        <v>0</v>
      </c>
      <c r="T26" s="59">
        <f>IF(T$5="Actual",((T$33/((1/'2503'!N$27)+1))*('2503'!N22/'2503'!N$27)),0)</f>
        <v>0</v>
      </c>
      <c r="U26" s="59">
        <f>IF(U$5="Actual",((U$33/((1/'2503'!O$27)+1))*('2503'!O22/'2503'!O$27)),0)</f>
        <v>0</v>
      </c>
      <c r="V26" s="59">
        <f>IF(V$5="Actual",((V$33/((1/'2503'!P$27)+1))*('2503'!P22/'2503'!P$27)),0)</f>
        <v>0</v>
      </c>
      <c r="W26" s="59">
        <f>IF(W$5="Actual",((W$33/((1/'2503'!Q$27)+1))*('2503'!Q22/'2503'!Q$27)),0)</f>
        <v>0</v>
      </c>
      <c r="X26" s="59">
        <f>IF(X$5="Actual",((X$33/((1/'2503'!R$27)+1))*('2503'!R22/'2503'!R$27)),0)</f>
        <v>0</v>
      </c>
      <c r="Y26" s="59">
        <f>IF(Y$5="Actual",((Y$33/((1/'2503'!S$27)+1))*('2503'!S22/'2503'!S$27)),0)</f>
        <v>0</v>
      </c>
    </row>
    <row r="27" spans="2:25" outlineLevel="1">
      <c r="B27" s="412"/>
      <c r="C27" s="410" t="s">
        <v>184</v>
      </c>
      <c r="D27" s="407">
        <v>2503</v>
      </c>
      <c r="E27" s="411"/>
      <c r="F27" s="59"/>
      <c r="G27" s="59">
        <f>((G$33/((1/'2503'!B$27)+1))*('2503'!B23/'2503'!B$27))</f>
        <v>-103713.9059816829</v>
      </c>
      <c r="H27" s="59">
        <f>IF(H$5="Actual",((H$33/((1/'2503'!B$27)+1))*('2503'!B23/'2503'!B$27)),0)</f>
        <v>-109891.1280051517</v>
      </c>
      <c r="I27" s="59">
        <f>IF(I$5="Actual",((I$33/((1/'2503'!C$27)+1))*('2503'!C23/'2503'!C$27)),0)</f>
        <v>-106770.82273562244</v>
      </c>
      <c r="J27" s="59">
        <f>IF(J$5="Actual",((J$33/((1/'2503'!D$27)+1))*('2503'!D23/'2503'!D$27)),0)</f>
        <v>-112811.32755827875</v>
      </c>
      <c r="K27" s="59">
        <f>IF(K$5="Actual",((K$33/((1/'2503'!E$27)+1))*('2503'!E23/'2503'!E$27)),0)</f>
        <v>-115971.57800547406</v>
      </c>
      <c r="L27" s="59">
        <f>IF(L$5="Actual",((L$33/((1/'2503'!F$27)+1))*('2503'!F23/'2503'!F$27)),0)</f>
        <v>-116720.52026213722</v>
      </c>
      <c r="M27" s="59">
        <f>IF(M$5="Actual",((M$33/((1/'2503'!G$27)+1))*('2503'!G23/'2503'!G$27)),0)</f>
        <v>-107523.35084447074</v>
      </c>
      <c r="N27" s="59">
        <f>IF(N$5="Actual",((N$33/((1/'2503'!H$27)+1))*('2503'!H23/'2503'!H$27)),0)</f>
        <v>-108022.25641186825</v>
      </c>
      <c r="O27" s="59">
        <f>IF(O$5="Actual",((O$33/((1/'2503'!I$27)+1))*('2503'!I23/'2503'!I$27)),0)</f>
        <v>-113768.5288541667</v>
      </c>
      <c r="P27" s="59">
        <f>IF(P$5="Actual",((P$33/((1/'2503'!J$27)+1))*('2503'!J23/'2503'!J$27)),0)</f>
        <v>0</v>
      </c>
      <c r="Q27" s="59">
        <f>IF(Q$5="Actual",((Q$33/((1/'2503'!K$27)+1))*('2503'!K23/'2503'!K$27)),0)</f>
        <v>0</v>
      </c>
      <c r="R27" s="59">
        <f>IF(R$5="Actual",((R$33/((1/'2503'!L$27)+1))*('2503'!L23/'2503'!L$27)),0)</f>
        <v>0</v>
      </c>
      <c r="S27" s="59">
        <f>IF(S$5="Actual",((S$33/((1/'2503'!M$27)+1))*('2503'!M23/'2503'!M$27)),0)</f>
        <v>0</v>
      </c>
      <c r="T27" s="59">
        <f>IF(T$5="Actual",((T$33/((1/'2503'!N$27)+1))*('2503'!N23/'2503'!N$27)),0)</f>
        <v>0</v>
      </c>
      <c r="U27" s="59">
        <f>IF(U$5="Actual",((U$33/((1/'2503'!O$27)+1))*('2503'!O23/'2503'!O$27)),0)</f>
        <v>0</v>
      </c>
      <c r="V27" s="59">
        <f>IF(V$5="Actual",((V$33/((1/'2503'!P$27)+1))*('2503'!P23/'2503'!P$27)),0)</f>
        <v>0</v>
      </c>
      <c r="W27" s="59">
        <f>IF(W$5="Actual",((W$33/((1/'2503'!Q$27)+1))*('2503'!Q23/'2503'!Q$27)),0)</f>
        <v>0</v>
      </c>
      <c r="X27" s="59">
        <f>IF(X$5="Actual",((X$33/((1/'2503'!R$27)+1))*('2503'!R23/'2503'!R$27)),0)</f>
        <v>0</v>
      </c>
      <c r="Y27" s="59">
        <f>IF(Y$5="Actual",((Y$33/((1/'2503'!S$27)+1))*('2503'!S23/'2503'!S$27)),0)</f>
        <v>0</v>
      </c>
    </row>
    <row r="28" spans="2:25" outlineLevel="1">
      <c r="B28" s="412"/>
      <c r="C28" s="410" t="s">
        <v>185</v>
      </c>
      <c r="D28" s="407">
        <v>2503</v>
      </c>
      <c r="E28" s="411"/>
      <c r="F28" s="59"/>
      <c r="G28" s="59">
        <f>((G$33/((1/'2503'!B$27)+1))*('2503'!B24/'2503'!B$27))</f>
        <v>-87262.734688036639</v>
      </c>
      <c r="H28" s="59">
        <f>IF(H$5="Actual",((H$33/((1/'2503'!B$27)+1))*('2503'!B24/'2503'!B$27)),0)</f>
        <v>-92460.121493989689</v>
      </c>
      <c r="I28" s="59">
        <f>IF(I$5="Actual",((I$33/((1/'2503'!C$27)+1))*('2503'!C24/'2503'!C$27)),0)</f>
        <v>-64798.844142998445</v>
      </c>
      <c r="J28" s="59">
        <f>IF(J$5="Actual",((J$33/((1/'2503'!D$27)+1))*('2503'!D24/'2503'!D$27)),0)</f>
        <v>-90249.062046622988</v>
      </c>
      <c r="K28" s="59">
        <f>IF(K$5="Actual",((K$33/((1/'2503'!E$27)+1))*('2503'!E24/'2503'!E$27)),0)</f>
        <v>-92777.262404379246</v>
      </c>
      <c r="L28" s="59">
        <f>IF(L$5="Actual",((L$33/((1/'2503'!F$27)+1))*('2503'!F24/'2503'!F$27)),0)</f>
        <v>-102231.07636752707</v>
      </c>
      <c r="M28" s="59">
        <f>IF(M$5="Actual",((M$33/((1/'2503'!G$27)+1))*('2503'!G24/'2503'!G$27)),0)</f>
        <v>-78603.277169061374</v>
      </c>
      <c r="N28" s="59">
        <f>IF(N$5="Actual",((N$33/((1/'2503'!H$27)+1))*('2503'!H24/'2503'!H$27)),0)</f>
        <v>-92377.65375911491</v>
      </c>
      <c r="O28" s="59">
        <f>IF(O$5="Actual",((O$33/((1/'2503'!I$27)+1))*('2503'!I24/'2503'!I$27)),0)</f>
        <v>-97291.707433908043</v>
      </c>
      <c r="P28" s="59">
        <f>IF(P$5="Actual",((P$33/((1/'2503'!J$27)+1))*('2503'!J24/'2503'!J$27)),0)</f>
        <v>0</v>
      </c>
      <c r="Q28" s="59">
        <f>IF(Q$5="Actual",((Q$33/((1/'2503'!K$27)+1))*('2503'!K24/'2503'!K$27)),0)</f>
        <v>0</v>
      </c>
      <c r="R28" s="59">
        <f>IF(R$5="Actual",((R$33/((1/'2503'!L$27)+1))*('2503'!L24/'2503'!L$27)),0)</f>
        <v>0</v>
      </c>
      <c r="S28" s="59">
        <f>IF(S$5="Actual",((S$33/((1/'2503'!M$27)+1))*('2503'!M24/'2503'!M$27)),0)</f>
        <v>0</v>
      </c>
      <c r="T28" s="59">
        <f>IF(T$5="Actual",((T$33/((1/'2503'!N$27)+1))*('2503'!N24/'2503'!N$27)),0)</f>
        <v>0</v>
      </c>
      <c r="U28" s="59">
        <f>IF(U$5="Actual",((U$33/((1/'2503'!O$27)+1))*('2503'!O24/'2503'!O$27)),0)</f>
        <v>0</v>
      </c>
      <c r="V28" s="59">
        <f>IF(V$5="Actual",((V$33/((1/'2503'!P$27)+1))*('2503'!P24/'2503'!P$27)),0)</f>
        <v>0</v>
      </c>
      <c r="W28" s="59">
        <f>IF(W$5="Actual",((W$33/((1/'2503'!Q$27)+1))*('2503'!Q24/'2503'!Q$27)),0)</f>
        <v>0</v>
      </c>
      <c r="X28" s="59">
        <f>IF(X$5="Actual",((X$33/((1/'2503'!R$27)+1))*('2503'!R24/'2503'!R$27)),0)</f>
        <v>0</v>
      </c>
      <c r="Y28" s="59">
        <f>IF(Y$5="Actual",((Y$33/((1/'2503'!S$27)+1))*('2503'!S24/'2503'!S$27)),0)</f>
        <v>0</v>
      </c>
    </row>
    <row r="29" spans="2:25" outlineLevel="1">
      <c r="B29" s="412"/>
      <c r="C29" s="410" t="s">
        <v>186</v>
      </c>
      <c r="D29" s="407">
        <v>2503</v>
      </c>
      <c r="E29" s="411"/>
      <c r="F29" s="59"/>
      <c r="G29" s="59">
        <f>((G$33/((1/'2503'!B$27)+1))*('2503'!B25/'2503'!B$27))</f>
        <v>-65089.416857469951</v>
      </c>
      <c r="H29" s="59">
        <f>IF(H$5="Actual",((H$33/((1/'2503'!B$27)+1))*('2503'!B25/'2503'!B$27)),0)</f>
        <v>-68966.156196336582</v>
      </c>
      <c r="I29" s="59">
        <f>IF(I$5="Actual",((I$33/((1/'2503'!C$27)+1))*('2503'!C25/'2503'!C$27)),0)</f>
        <v>-22826.865550374452</v>
      </c>
      <c r="J29" s="59">
        <f>IF(J$5="Actual",((J$33/((1/'2503'!D$27)+1))*('2503'!D25/'2503'!D$27)),0)</f>
        <v>-19450.228889358405</v>
      </c>
      <c r="K29" s="59">
        <f>IF(K$5="Actual",((K$33/((1/'2503'!E$27)+1))*('2503'!E25/'2503'!E$27)),0)</f>
        <v>-19995.099656116221</v>
      </c>
      <c r="L29" s="59">
        <f>IF(L$5="Actual",((L$33/((1/'2503'!F$27)+1))*('2503'!F25/'2503'!F$27)),0)</f>
        <v>-12074.53657884178</v>
      </c>
      <c r="M29" s="59">
        <f>IF(M$5="Actual",((M$33/((1/'2503'!G$27)+1))*('2503'!G25/'2503'!G$27)),0)</f>
        <v>-6673.8631558637007</v>
      </c>
      <c r="N29" s="59">
        <f>IF(N$5="Actual",((N$33/((1/'2503'!H$27)+1))*('2503'!H25/'2503'!H$27)),0)</f>
        <v>-1489.9621574050793</v>
      </c>
      <c r="O29" s="59">
        <f>IF(O$5="Actual",((O$33/((1/'2503'!I$27)+1))*('2503'!I25/'2503'!I$27)),0)</f>
        <v>-1569.2210876436782</v>
      </c>
      <c r="P29" s="59">
        <f>IF(P$5="Actual",((P$33/((1/'2503'!J$27)+1))*('2503'!J25/'2503'!J$27)),0)</f>
        <v>0</v>
      </c>
      <c r="Q29" s="59">
        <f>IF(Q$5="Actual",((Q$33/((1/'2503'!K$27)+1))*('2503'!K25/'2503'!K$27)),0)</f>
        <v>0</v>
      </c>
      <c r="R29" s="59">
        <f>IF(R$5="Actual",((R$33/((1/'2503'!L$27)+1))*('2503'!L25/'2503'!L$27)),0)</f>
        <v>0</v>
      </c>
      <c r="S29" s="59">
        <f>IF(S$5="Actual",((S$33/((1/'2503'!M$27)+1))*('2503'!M25/'2503'!M$27)),0)</f>
        <v>0</v>
      </c>
      <c r="T29" s="59">
        <f>IF(T$5="Actual",((T$33/((1/'2503'!N$27)+1))*('2503'!N25/'2503'!N$27)),0)</f>
        <v>0</v>
      </c>
      <c r="U29" s="59">
        <f>IF(U$5="Actual",((U$33/((1/'2503'!O$27)+1))*('2503'!O25/'2503'!O$27)),0)</f>
        <v>0</v>
      </c>
      <c r="V29" s="59">
        <f>IF(V$5="Actual",((V$33/((1/'2503'!P$27)+1))*('2503'!P25/'2503'!P$27)),0)</f>
        <v>0</v>
      </c>
      <c r="W29" s="59">
        <f>IF(W$5="Actual",((W$33/((1/'2503'!Q$27)+1))*('2503'!Q25/'2503'!Q$27)),0)</f>
        <v>0</v>
      </c>
      <c r="X29" s="59">
        <f>IF(X$5="Actual",((X$33/((1/'2503'!R$27)+1))*('2503'!R25/'2503'!R$27)),0)</f>
        <v>0</v>
      </c>
      <c r="Y29" s="59">
        <f>IF(Y$5="Actual",((Y$33/((1/'2503'!S$27)+1))*('2503'!S25/'2503'!S$27)),0)</f>
        <v>0</v>
      </c>
    </row>
    <row r="30" spans="2:25" outlineLevel="1">
      <c r="B30" s="412"/>
      <c r="C30" s="410" t="s">
        <v>187</v>
      </c>
      <c r="D30" s="407">
        <v>2503</v>
      </c>
      <c r="E30" s="411"/>
      <c r="F30" s="59"/>
      <c r="G30" s="59">
        <f>((G$33/((1/'2503'!B$27)+1))*('2503'!B26/'2503'!B$27))</f>
        <v>0</v>
      </c>
      <c r="H30" s="59">
        <f>IF(H$5="Actual",((H$33/((1/'2503'!B$27)+1))*('2503'!B26/'2503'!B$27)),0)</f>
        <v>0</v>
      </c>
      <c r="I30" s="59">
        <f>IF(I$5="Actual",((I$33/((1/'2503'!C$27)+1))*('2503'!C26/'2503'!C$27)),0)</f>
        <v>-736.35050162498237</v>
      </c>
      <c r="J30" s="59">
        <f>IF(J$5="Actual",((J$33/((1/'2503'!D$27)+1))*('2503'!D26/'2503'!D$27)),0)</f>
        <v>0</v>
      </c>
      <c r="K30" s="59">
        <f>IF(K$5="Actual",((K$33/((1/'2503'!E$27)+1))*('2503'!E26/'2503'!E$27)),0)</f>
        <v>0</v>
      </c>
      <c r="L30" s="59">
        <f>IF(L$5="Actual",((L$33/((1/'2503'!F$27)+1))*('2503'!F26/'2503'!F$27)),0)</f>
        <v>0</v>
      </c>
      <c r="M30" s="59">
        <f>IF(M$5="Actual",((M$33/((1/'2503'!G$27)+1))*('2503'!G26/'2503'!G$27)),0)</f>
        <v>-148.30807013030449</v>
      </c>
      <c r="N30" s="59">
        <f>IF(N$5="Actual",((N$33/((1/'2503'!H$27)+1))*('2503'!H26/'2503'!H$27)),0)</f>
        <v>-744.98107870253966</v>
      </c>
      <c r="O30" s="59">
        <f>IF(O$5="Actual",((O$33/((1/'2503'!I$27)+1))*('2503'!I26/'2503'!I$27)),0)</f>
        <v>-784.61054382183909</v>
      </c>
      <c r="P30" s="59">
        <f>IF(P$5="Actual",((P$33/((1/'2503'!J$27)+1))*('2503'!J26/'2503'!J$27)),0)</f>
        <v>0</v>
      </c>
      <c r="Q30" s="59">
        <f>IF(Q$5="Actual",((Q$33/((1/'2503'!K$27)+1))*('2503'!K26/'2503'!K$27)),0)</f>
        <v>0</v>
      </c>
      <c r="R30" s="59">
        <f>IF(R$5="Actual",((R$33/((1/'2503'!L$27)+1))*('2503'!L26/'2503'!L$27)),0)</f>
        <v>0</v>
      </c>
      <c r="S30" s="59">
        <f>IF(S$5="Actual",((S$33/((1/'2503'!M$27)+1))*('2503'!M26/'2503'!M$27)),0)</f>
        <v>0</v>
      </c>
      <c r="T30" s="59">
        <f>IF(T$5="Actual",((T$33/((1/'2503'!N$27)+1))*('2503'!N26/'2503'!N$27)),0)</f>
        <v>0</v>
      </c>
      <c r="U30" s="59">
        <f>IF(U$5="Actual",((U$33/((1/'2503'!O$27)+1))*('2503'!O26/'2503'!O$27)),0)</f>
        <v>0</v>
      </c>
      <c r="V30" s="59">
        <f>IF(V$5="Actual",((V$33/((1/'2503'!P$27)+1))*('2503'!P26/'2503'!P$27)),0)</f>
        <v>0</v>
      </c>
      <c r="W30" s="59">
        <f>IF(W$5="Actual",((W$33/((1/'2503'!Q$27)+1))*('2503'!Q26/'2503'!Q$27)),0)</f>
        <v>0</v>
      </c>
      <c r="X30" s="59">
        <f>IF(X$5="Actual",((X$33/((1/'2503'!R$27)+1))*('2503'!R26/'2503'!R$27)),0)</f>
        <v>0</v>
      </c>
      <c r="Y30" s="59">
        <f>IF(Y$5="Actual",((Y$33/((1/'2503'!S$27)+1))*('2503'!S26/'2503'!S$27)),0)</f>
        <v>0</v>
      </c>
    </row>
    <row r="31" spans="2:25" s="114" customFormat="1">
      <c r="B31" s="412"/>
      <c r="C31" s="336" t="s">
        <v>188</v>
      </c>
      <c r="D31" s="414"/>
      <c r="E31" s="414"/>
      <c r="F31" s="63"/>
      <c r="G31" s="63">
        <f t="shared" ref="G31:K31" si="2">SUM(G22:G30)</f>
        <v>-2843906.8288494558</v>
      </c>
      <c r="H31" s="63">
        <f t="shared" si="2"/>
        <v>-3013290.5168860904</v>
      </c>
      <c r="I31" s="63">
        <f t="shared" si="2"/>
        <v>-3058799.9837501771</v>
      </c>
      <c r="J31" s="63">
        <f t="shared" si="2"/>
        <v>-3266860.4442566368</v>
      </c>
      <c r="K31" s="63">
        <f t="shared" si="2"/>
        <v>-3398367.1375535131</v>
      </c>
      <c r="L31" s="63">
        <f t="shared" ref="L31:W31" si="3">SUM(L22:L30)</f>
        <v>-3987816.9474388123</v>
      </c>
      <c r="M31" s="63">
        <f t="shared" si="3"/>
        <v>-4114214.1734847766</v>
      </c>
      <c r="N31" s="63">
        <f t="shared" si="3"/>
        <v>-4401348.2129746052</v>
      </c>
      <c r="O31" s="63">
        <f t="shared" si="3"/>
        <v>-4713940.1472816104</v>
      </c>
      <c r="P31" s="63">
        <f t="shared" si="3"/>
        <v>0</v>
      </c>
      <c r="Q31" s="63">
        <f t="shared" si="3"/>
        <v>0</v>
      </c>
      <c r="R31" s="63">
        <f t="shared" si="3"/>
        <v>0</v>
      </c>
      <c r="S31" s="63">
        <f t="shared" si="3"/>
        <v>0</v>
      </c>
      <c r="T31" s="63">
        <f t="shared" si="3"/>
        <v>0</v>
      </c>
      <c r="U31" s="63">
        <f t="shared" si="3"/>
        <v>0</v>
      </c>
      <c r="V31" s="63">
        <f t="shared" si="3"/>
        <v>0</v>
      </c>
      <c r="W31" s="63">
        <f t="shared" si="3"/>
        <v>0</v>
      </c>
      <c r="X31" s="63">
        <f t="shared" ref="X31:Y31" si="4">SUM(X22:X30)</f>
        <v>0</v>
      </c>
      <c r="Y31" s="63">
        <f t="shared" si="4"/>
        <v>0</v>
      </c>
    </row>
    <row r="32" spans="2:25" s="421" customFormat="1">
      <c r="B32" s="417"/>
      <c r="C32" s="418"/>
      <c r="D32" s="419"/>
      <c r="E32" s="419"/>
      <c r="F32" s="420"/>
      <c r="G32" s="420">
        <f t="shared" ref="G32:W32" si="5">G20+G31-G33</f>
        <v>0</v>
      </c>
      <c r="H32" s="420">
        <f t="shared" si="5"/>
        <v>0</v>
      </c>
      <c r="I32" s="420">
        <f t="shared" si="5"/>
        <v>0</v>
      </c>
      <c r="J32" s="420">
        <f t="shared" si="5"/>
        <v>0</v>
      </c>
      <c r="K32" s="420">
        <f t="shared" si="5"/>
        <v>0</v>
      </c>
      <c r="L32" s="420">
        <f t="shared" si="5"/>
        <v>0</v>
      </c>
      <c r="M32" s="420">
        <f t="shared" si="5"/>
        <v>0</v>
      </c>
      <c r="N32" s="420">
        <f t="shared" si="5"/>
        <v>0</v>
      </c>
      <c r="O32" s="420">
        <f t="shared" si="5"/>
        <v>0</v>
      </c>
      <c r="P32" s="420">
        <f t="shared" si="5"/>
        <v>0</v>
      </c>
      <c r="Q32" s="420">
        <f t="shared" si="5"/>
        <v>0</v>
      </c>
      <c r="R32" s="420">
        <f t="shared" si="5"/>
        <v>0</v>
      </c>
      <c r="S32" s="420">
        <f t="shared" si="5"/>
        <v>0</v>
      </c>
      <c r="T32" s="420">
        <f t="shared" si="5"/>
        <v>0</v>
      </c>
      <c r="U32" s="420">
        <f t="shared" si="5"/>
        <v>0</v>
      </c>
      <c r="V32" s="420">
        <f t="shared" si="5"/>
        <v>0</v>
      </c>
      <c r="W32" s="420">
        <f t="shared" si="5"/>
        <v>0</v>
      </c>
      <c r="X32" s="420">
        <f t="shared" ref="X32:Y32" si="6">X20+X31-X33</f>
        <v>0</v>
      </c>
      <c r="Y32" s="420">
        <f t="shared" si="6"/>
        <v>0</v>
      </c>
    </row>
    <row r="33" spans="2:25" s="114" customFormat="1">
      <c r="B33" s="412"/>
      <c r="C33" s="77" t="s">
        <v>189</v>
      </c>
      <c r="D33" s="389"/>
      <c r="E33" s="389"/>
      <c r="F33" s="63"/>
      <c r="G33" s="63">
        <f>-('Budget P&amp;L Input'!G18+G63+G48)</f>
        <v>-9996590</v>
      </c>
      <c r="H33" s="63">
        <f>-(H18+H63+H48)</f>
        <v>-10591989</v>
      </c>
      <c r="I33" s="63">
        <f t="shared" ref="I33:W33" si="7">-(I18+I63+I48)</f>
        <v>-10422305</v>
      </c>
      <c r="J33" s="63">
        <f t="shared" si="7"/>
        <v>-11046952</v>
      </c>
      <c r="K33" s="63">
        <f t="shared" si="7"/>
        <v>-11396407</v>
      </c>
      <c r="L33" s="63">
        <f t="shared" si="7"/>
        <v>-12037508</v>
      </c>
      <c r="M33" s="63">
        <f t="shared" si="7"/>
        <v>-11529617.68</v>
      </c>
      <c r="N33" s="63">
        <f t="shared" si="7"/>
        <v>-11851159</v>
      </c>
      <c r="O33" s="63">
        <f t="shared" si="7"/>
        <v>-12560045.5855</v>
      </c>
      <c r="P33" s="63">
        <f t="shared" si="7"/>
        <v>0</v>
      </c>
      <c r="Q33" s="63">
        <f t="shared" si="7"/>
        <v>0</v>
      </c>
      <c r="R33" s="63">
        <f t="shared" si="7"/>
        <v>0</v>
      </c>
      <c r="S33" s="63">
        <f t="shared" si="7"/>
        <v>0</v>
      </c>
      <c r="T33" s="63">
        <f t="shared" si="7"/>
        <v>0</v>
      </c>
      <c r="U33" s="63">
        <f t="shared" si="7"/>
        <v>0</v>
      </c>
      <c r="V33" s="63">
        <f t="shared" si="7"/>
        <v>0</v>
      </c>
      <c r="W33" s="63">
        <f t="shared" si="7"/>
        <v>0</v>
      </c>
      <c r="X33" s="63">
        <f t="shared" ref="X33:Y33" si="8">-(X18+X63+X48)</f>
        <v>0</v>
      </c>
      <c r="Y33" s="63">
        <f t="shared" si="8"/>
        <v>0</v>
      </c>
    </row>
    <row r="34" spans="2:25">
      <c r="B34" s="412"/>
      <c r="C34" s="57" t="s">
        <v>504</v>
      </c>
      <c r="D34" s="389"/>
      <c r="E34" s="389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</row>
    <row r="35" spans="2:25">
      <c r="B35" s="412"/>
      <c r="C35" s="409" t="s">
        <v>175</v>
      </c>
      <c r="D35" s="407">
        <v>2503</v>
      </c>
      <c r="E35" s="407"/>
      <c r="F35" s="59"/>
      <c r="G35" s="59">
        <f>G48/(1+'2503'!B27)</f>
        <v>-762578.16546792432</v>
      </c>
      <c r="H35" s="59">
        <f>IF(H$5="Actual",(H48/(1+'2503'!B27)),0)</f>
        <v>-894579.66342301085</v>
      </c>
      <c r="I35" s="59">
        <f>IF(I$5="Actual",(I48/(1+'2503'!C27)),0)</f>
        <v>-966929.38420234551</v>
      </c>
      <c r="J35" s="59">
        <f>IF(J$5="Actual",(J48/(1+'2503'!D27)),0)</f>
        <v>-1086954.4280583139</v>
      </c>
      <c r="K35" s="59">
        <f>IF(K$5="Actual",(K48/(1+'2503'!E27)),0)</f>
        <v>-1234284.4918239876</v>
      </c>
      <c r="L35" s="59">
        <f>IF(L$5="Actual",(L48/(1+'2503'!F27)),0)</f>
        <v>-1305436.8452587936</v>
      </c>
      <c r="M35" s="59">
        <f>IF(M$5="Actual",(M48/(1+'2503'!G27)),0)</f>
        <v>-1264744.0685867174</v>
      </c>
      <c r="N35" s="59">
        <f>IF(N$5="Actual",(N48/(1+'2503'!H27)),0)</f>
        <v>-1291643.29458084</v>
      </c>
      <c r="O35" s="59">
        <f>IF(O$5="Actual",(O48/(1+'2503'!I27)),0)</f>
        <v>-1230767.1993873985</v>
      </c>
      <c r="P35" s="59">
        <f>IF(P$5="Actual",(P48/(1+'2503'!J27)),0)</f>
        <v>0</v>
      </c>
      <c r="Q35" s="59">
        <f>IF(Q$5="Actual",(Q48/(1+'2503'!K27)),0)</f>
        <v>0</v>
      </c>
      <c r="R35" s="59">
        <f>IF(R$5="Actual",(R48/(1+'2503'!L27)),0)</f>
        <v>0</v>
      </c>
      <c r="S35" s="59">
        <f>IF(S$5="Actual",(S48/(1+'2503'!M27)),0)</f>
        <v>0</v>
      </c>
      <c r="T35" s="59">
        <f>IF(T$5="Actual",(T48/(1+'2503'!N27)),0)</f>
        <v>0</v>
      </c>
      <c r="U35" s="59">
        <f>IF(U$5="Actual",(U48/(1+'2503'!O27)),0)</f>
        <v>0</v>
      </c>
      <c r="V35" s="59">
        <f>IF(V$5="Actual",(V48/(1+'2503'!P27)),0)</f>
        <v>0</v>
      </c>
      <c r="W35" s="59">
        <f>IF(W$5="Actual",(W48/(1+'2503'!Q27)),0)</f>
        <v>0</v>
      </c>
      <c r="X35" s="59">
        <f>IF(X$5="Actual",(X48/(1+'2503'!R27)),0)</f>
        <v>0</v>
      </c>
      <c r="Y35" s="59">
        <f>IF(Y$5="Actual",(Y48/(1+'2503'!S27)),0)</f>
        <v>0</v>
      </c>
    </row>
    <row r="36" spans="2:25">
      <c r="B36" s="412"/>
      <c r="C36" s="336" t="s">
        <v>177</v>
      </c>
      <c r="D36" s="407"/>
      <c r="E36" s="407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 spans="2:25" outlineLevel="1">
      <c r="B37" s="412"/>
      <c r="C37" s="410" t="s">
        <v>178</v>
      </c>
      <c r="D37" s="407">
        <v>2503</v>
      </c>
      <c r="E37" s="411"/>
      <c r="F37" s="59"/>
      <c r="G37" s="59">
        <f>((G$48/((1/'2503'!B$27)+1))*('2503'!B18/'2503'!B$27))</f>
        <v>-114386.72482018865</v>
      </c>
      <c r="H37" s="59">
        <f>IF(H$5="Actual",(((H$48/((1/'2503'!B$27)+1))*('2503'!B18/'2503'!B$27))),0)</f>
        <v>-134186.94951345163</v>
      </c>
      <c r="I37" s="59">
        <f>IF(I$5="Actual",(((I$48/((1/'2503'!C$27)+1))*('2503'!C18/'2503'!C$27))),0)</f>
        <v>-149874.05455136357</v>
      </c>
      <c r="J37" s="59">
        <f>IF(J$5="Actual",(((J$48/((1/'2503'!D$27)+1))*('2503'!D18/'2503'!D$27))),0)</f>
        <v>-173912.70848933022</v>
      </c>
      <c r="K37" s="59">
        <f>IF(K$5="Actual",(((K$48/((1/'2503'!E$27)+1))*('2503'!E18/'2503'!E$27))),0)</f>
        <v>-203656.94115095795</v>
      </c>
      <c r="L37" s="59">
        <f>IF(L$5="Actual",(((L$48/((1/'2503'!F$27)+1))*('2503'!F18/'2503'!F$27))),0)</f>
        <v>-221924.2636939949</v>
      </c>
      <c r="M37" s="59">
        <f>IF(M$5="Actual",(((M$48/((1/'2503'!G$27)+1))*('2503'!G18/'2503'!G$27))),0)</f>
        <v>-215006.49165974191</v>
      </c>
      <c r="N37" s="59">
        <f>IF(N$5="Actual",(((N$48/((1/'2503'!H$27)+1))*('2503'!H18/'2503'!H$27))),0)</f>
        <v>-232495.79302455121</v>
      </c>
      <c r="O37" s="59">
        <f>IF(O$5="Actual",(((O$48/((1/'2503'!I$27)+1))*('2503'!I18/'2503'!I$27))),0)</f>
        <v>-233845.76788360567</v>
      </c>
      <c r="P37" s="59">
        <f>IF(P$5="Actual",(((P$48/((1/'2503'!J$27)+1))*('2503'!J18/'2503'!J$27))),0)</f>
        <v>0</v>
      </c>
      <c r="Q37" s="59">
        <f>IF(Q$5="Actual",(((Q$48/((1/'2503'!K$27)+1))*('2503'!K18/'2503'!K$27))),0)</f>
        <v>0</v>
      </c>
      <c r="R37" s="59">
        <f>IF(R$5="Actual",(((R$48/((1/'2503'!L$27)+1))*('2503'!L18/'2503'!L$27))),0)</f>
        <v>0</v>
      </c>
      <c r="S37" s="59">
        <f>IF(S$5="Actual",(((S$48/((1/'2503'!M$27)+1))*('2503'!M18/'2503'!M$27))),0)</f>
        <v>0</v>
      </c>
      <c r="T37" s="59">
        <f>IF(T$5="Actual",(((T$48/((1/'2503'!N$27)+1))*('2503'!N18/'2503'!N$27))),0)</f>
        <v>0</v>
      </c>
      <c r="U37" s="59">
        <f>IF(U$5="Actual",(((U$48/((1/'2503'!O$27)+1))*('2503'!O18/'2503'!O$27))),0)</f>
        <v>0</v>
      </c>
      <c r="V37" s="59">
        <f>IF(V$5="Actual",(((V$48/((1/'2503'!P$27)+1))*('2503'!P18/'2503'!P$27))),0)</f>
        <v>0</v>
      </c>
      <c r="W37" s="59">
        <f>IF(W$5="Actual",(((W$48/((1/'2503'!Q$27)+1))*('2503'!Q18/'2503'!Q$27))),0)</f>
        <v>0</v>
      </c>
      <c r="X37" s="59">
        <f>IF(X$5="Actual",(((X$48/((1/'2503'!R$27)+1))*('2503'!R18/'2503'!R$27))),0)</f>
        <v>0</v>
      </c>
      <c r="Y37" s="59">
        <f>IF(Y$5="Actual",(((Y$48/((1/'2503'!S$27)+1))*('2503'!S18/'2503'!S$27))),0)</f>
        <v>0</v>
      </c>
    </row>
    <row r="38" spans="2:25" outlineLevel="1">
      <c r="B38" s="412"/>
      <c r="C38" s="410" t="s">
        <v>180</v>
      </c>
      <c r="D38" s="407">
        <v>2503</v>
      </c>
      <c r="E38" s="411"/>
      <c r="F38" s="59"/>
      <c r="G38" s="59">
        <f>((G$48/((1/'2503'!B$27)+1))*('2503'!B19/'2503'!B$27))</f>
        <v>-60701.221971246785</v>
      </c>
      <c r="H38" s="59">
        <f>IF(H$5="Actual",(((H$48/((1/'2503'!B$27)+1))*('2503'!B19/'2503'!B$27))),0)</f>
        <v>-71208.541208471666</v>
      </c>
      <c r="I38" s="59">
        <f>IF(I$5="Actual",(((I$48/((1/'2503'!C$27)+1))*('2503'!C19/'2503'!C$27))),0)</f>
        <v>-100077.19126494275</v>
      </c>
      <c r="J38" s="59">
        <f>IF(J$5="Actual",(((J$48/((1/'2503'!D$27)+1))*('2503'!D19/'2503'!D$27))),0)</f>
        <v>-109999.78811950139</v>
      </c>
      <c r="K38" s="59">
        <f>IF(K$5="Actual",(((K$48/((1/'2503'!E$27)+1))*('2503'!E19/'2503'!E$27))),0)</f>
        <v>-124909.59057258753</v>
      </c>
      <c r="L38" s="59">
        <f>IF(L$5="Actual",(((L$48/((1/'2503'!F$27)+1))*('2503'!F19/'2503'!F$27))),0)</f>
        <v>-105348.75341238461</v>
      </c>
      <c r="M38" s="59">
        <f>IF(M$5="Actual",(((M$48/((1/'2503'!G$27)+1))*('2503'!G19/'2503'!G$27))),0)</f>
        <v>-118759.46804029273</v>
      </c>
      <c r="N38" s="59">
        <f>IF(N$5="Actual",(((N$48/((1/'2503'!H$27)+1))*('2503'!H19/'2503'!H$27))),0)</f>
        <v>-130972.63007049719</v>
      </c>
      <c r="O38" s="59">
        <f>IF(O$5="Actual",(((O$48/((1/'2503'!I$27)+1))*('2503'!I19/'2503'!I$27))),0)</f>
        <v>-124799.7940178822</v>
      </c>
      <c r="P38" s="59">
        <f>IF(P$5="Actual",(((P$48/((1/'2503'!J$27)+1))*('2503'!J19/'2503'!J$27))),0)</f>
        <v>0</v>
      </c>
      <c r="Q38" s="59">
        <f>IF(Q$5="Actual",(((Q$48/((1/'2503'!K$27)+1))*('2503'!K19/'2503'!K$27))),0)</f>
        <v>0</v>
      </c>
      <c r="R38" s="59">
        <f>IF(R$5="Actual",(((R$48/((1/'2503'!L$27)+1))*('2503'!L19/'2503'!L$27))),0)</f>
        <v>0</v>
      </c>
      <c r="S38" s="59">
        <f>IF(S$5="Actual",(((S$48/((1/'2503'!M$27)+1))*('2503'!M19/'2503'!M$27))),0)</f>
        <v>0</v>
      </c>
      <c r="T38" s="59">
        <f>IF(T$5="Actual",(((T$48/((1/'2503'!N$27)+1))*('2503'!N19/'2503'!N$27))),0)</f>
        <v>0</v>
      </c>
      <c r="U38" s="59">
        <f>IF(U$5="Actual",(((U$48/((1/'2503'!O$27)+1))*('2503'!O19/'2503'!O$27))),0)</f>
        <v>0</v>
      </c>
      <c r="V38" s="59">
        <f>IF(V$5="Actual",(((V$48/((1/'2503'!P$27)+1))*('2503'!P19/'2503'!P$27))),0)</f>
        <v>0</v>
      </c>
      <c r="W38" s="59">
        <f>IF(W$5="Actual",(((W$48/((1/'2503'!Q$27)+1))*('2503'!Q19/'2503'!Q$27))),0)</f>
        <v>0</v>
      </c>
      <c r="X38" s="59">
        <f>IF(X$5="Actual",(((X$48/((1/'2503'!R$27)+1))*('2503'!R19/'2503'!R$27))),0)</f>
        <v>0</v>
      </c>
      <c r="Y38" s="59">
        <f>IF(Y$5="Actual",(((Y$48/((1/'2503'!S$27)+1))*('2503'!S19/'2503'!S$27))),0)</f>
        <v>0</v>
      </c>
    </row>
    <row r="39" spans="2:25" outlineLevel="1">
      <c r="B39" s="412"/>
      <c r="C39" s="410" t="s">
        <v>181</v>
      </c>
      <c r="D39" s="407">
        <v>2503</v>
      </c>
      <c r="E39" s="411"/>
      <c r="F39" s="59"/>
      <c r="G39" s="59">
        <f>((G$48/((1/'2503'!B$27)+1))*('2503'!B20/'2503'!B$27))</f>
        <v>0</v>
      </c>
      <c r="H39" s="59">
        <f>IF(H$5="Actual",(((H$48/((1/'2503'!B$27)+1))*('2503'!B20/'2503'!B$27))),0)</f>
        <v>0</v>
      </c>
      <c r="I39" s="59">
        <f>IF(I$5="Actual",(((I$48/((1/'2503'!C$27)+1))*('2503'!C20/'2503'!C$27))),0)</f>
        <v>0</v>
      </c>
      <c r="J39" s="59">
        <f>IF(J$5="Actual",(((J$48/((1/'2503'!D$27)+1))*('2503'!D20/'2503'!D$27))),0)</f>
        <v>0</v>
      </c>
      <c r="K39" s="59">
        <f>IF(K$5="Actual",(((K$48/((1/'2503'!E$27)+1))*('2503'!E20/'2503'!E$27))),0)</f>
        <v>0</v>
      </c>
      <c r="L39" s="59">
        <f>IF(L$5="Actual",(((L$48/((1/'2503'!F$27)+1))*('2503'!F20/'2503'!F$27))),0)</f>
        <v>-101562.98656113411</v>
      </c>
      <c r="M39" s="59">
        <f>IF(M$5="Actual",(((M$48/((1/'2503'!G$27)+1))*('2503'!G20/'2503'!G$27))),0)</f>
        <v>-160496.02230365443</v>
      </c>
      <c r="N39" s="59">
        <f>IF(N$5="Actual",(((N$48/((1/'2503'!H$27)+1))*('2503'!H20/'2503'!H$27))),0)</f>
        <v>-185092.48411343439</v>
      </c>
      <c r="O39" s="59">
        <f>IF(O$5="Actual",(((O$48/((1/'2503'!I$27)+1))*('2503'!I20/'2503'!I$27))),0)</f>
        <v>-176368.93967221418</v>
      </c>
      <c r="P39" s="59">
        <f>IF(P$5="Actual",(((P$48/((1/'2503'!J$27)+1))*('2503'!J20/'2503'!J$27))),0)</f>
        <v>0</v>
      </c>
      <c r="Q39" s="59">
        <f>IF(Q$5="Actual",(((Q$48/((1/'2503'!K$27)+1))*('2503'!K20/'2503'!K$27))),0)</f>
        <v>0</v>
      </c>
      <c r="R39" s="59">
        <f>IF(R$5="Actual",(((R$48/((1/'2503'!L$27)+1))*('2503'!L20/'2503'!L$27))),0)</f>
        <v>0</v>
      </c>
      <c r="S39" s="59">
        <f>IF(S$5="Actual",(((S$48/((1/'2503'!M$27)+1))*('2503'!M20/'2503'!M$27))),0)</f>
        <v>0</v>
      </c>
      <c r="T39" s="59">
        <f>IF(T$5="Actual",(((T$48/((1/'2503'!N$27)+1))*('2503'!N20/'2503'!N$27))),0)</f>
        <v>0</v>
      </c>
      <c r="U39" s="59">
        <f>IF(U$5="Actual",(((U$48/((1/'2503'!O$27)+1))*('2503'!O20/'2503'!O$27))),0)</f>
        <v>0</v>
      </c>
      <c r="V39" s="59">
        <f>IF(V$5="Actual",(((V$48/((1/'2503'!P$27)+1))*('2503'!P20/'2503'!P$27))),0)</f>
        <v>0</v>
      </c>
      <c r="W39" s="59">
        <f>IF(W$5="Actual",(((W$48/((1/'2503'!Q$27)+1))*('2503'!Q20/'2503'!Q$27))),0)</f>
        <v>0</v>
      </c>
      <c r="X39" s="59">
        <f>IF(X$5="Actual",(((X$48/((1/'2503'!R$27)+1))*('2503'!R20/'2503'!R$27))),0)</f>
        <v>0</v>
      </c>
      <c r="Y39" s="59">
        <f>IF(Y$5="Actual",(((Y$48/((1/'2503'!S$27)+1))*('2503'!S20/'2503'!S$27))),0)</f>
        <v>0</v>
      </c>
    </row>
    <row r="40" spans="2:25" outlineLevel="1">
      <c r="B40" s="412"/>
      <c r="C40" s="410" t="s">
        <v>182</v>
      </c>
      <c r="D40" s="407">
        <v>2503</v>
      </c>
      <c r="E40" s="411"/>
      <c r="F40" s="59"/>
      <c r="G40" s="59">
        <f>((G$48/((1/'2503'!B$27)+1))*('2503'!B21/'2503'!B$27))</f>
        <v>-53532.98721584829</v>
      </c>
      <c r="H40" s="59">
        <f>IF(H$5="Actual",(((H$48/((1/'2503'!B$27)+1))*('2503'!B21/'2503'!B$27))),0)</f>
        <v>-62799.492372295361</v>
      </c>
      <c r="I40" s="59">
        <f>IF(I$5="Actual",(((I$48/((1/'2503'!C$27)+1))*('2503'!C21/'2503'!C$27))),0)</f>
        <v>-66137.969879440439</v>
      </c>
      <c r="J40" s="59">
        <f>IF(J$5="Actual",(((J$48/((1/'2503'!D$27)+1))*('2503'!D21/'2503'!D$27))),0)</f>
        <v>-74021.596550771181</v>
      </c>
      <c r="K40" s="59">
        <f>IF(K$5="Actual",(((K$48/((1/'2503'!E$27)+1))*('2503'!E21/'2503'!E$27))),0)</f>
        <v>-84054.77389321354</v>
      </c>
      <c r="L40" s="59">
        <f>IF(L$5="Actual",(((L$48/((1/'2503'!F$27)+1))*('2503'!F21/'2503'!F$27))),0)</f>
        <v>-99474.287608720057</v>
      </c>
      <c r="M40" s="59">
        <f>IF(M$5="Actual",(((M$48/((1/'2503'!G$27)+1))*('2503'!G21/'2503'!G$27))),0)</f>
        <v>-96120.549212590486</v>
      </c>
      <c r="N40" s="59">
        <f>IF(N$5="Actual",(((N$48/((1/'2503'!H$27)+1))*('2503'!H21/'2503'!H$27))),0)</f>
        <v>-99327.369353266593</v>
      </c>
      <c r="O40" s="59">
        <f>IF(O$5="Actual",(((O$48/((1/'2503'!I$27)+1))*('2503'!I21/'2503'!I$27))),0)</f>
        <v>-94645.99763289094</v>
      </c>
      <c r="P40" s="59">
        <f>IF(P$5="Actual",(((P$48/((1/'2503'!J$27)+1))*('2503'!J21/'2503'!J$27))),0)</f>
        <v>0</v>
      </c>
      <c r="Q40" s="59">
        <f>IF(Q$5="Actual",(((Q$48/((1/'2503'!K$27)+1))*('2503'!K21/'2503'!K$27))),0)</f>
        <v>0</v>
      </c>
      <c r="R40" s="59">
        <f>IF(R$5="Actual",(((R$48/((1/'2503'!L$27)+1))*('2503'!L21/'2503'!L$27))),0)</f>
        <v>0</v>
      </c>
      <c r="S40" s="59">
        <f>IF(S$5="Actual",(((S$48/((1/'2503'!M$27)+1))*('2503'!M21/'2503'!M$27))),0)</f>
        <v>0</v>
      </c>
      <c r="T40" s="59">
        <f>IF(T$5="Actual",(((T$48/((1/'2503'!N$27)+1))*('2503'!N21/'2503'!N$27))),0)</f>
        <v>0</v>
      </c>
      <c r="U40" s="59">
        <f>IF(U$5="Actual",(((U$48/((1/'2503'!O$27)+1))*('2503'!O21/'2503'!O$27))),0)</f>
        <v>0</v>
      </c>
      <c r="V40" s="59">
        <f>IF(V$5="Actual",(((V$48/((1/'2503'!P$27)+1))*('2503'!P21/'2503'!P$27))),0)</f>
        <v>0</v>
      </c>
      <c r="W40" s="59">
        <f>IF(W$5="Actual",(((W$48/((1/'2503'!Q$27)+1))*('2503'!Q21/'2503'!Q$27))),0)</f>
        <v>0</v>
      </c>
      <c r="X40" s="59">
        <f>IF(X$5="Actual",(((X$48/((1/'2503'!R$27)+1))*('2503'!R21/'2503'!R$27))),0)</f>
        <v>0</v>
      </c>
      <c r="Y40" s="59">
        <f>IF(Y$5="Actual",(((Y$48/((1/'2503'!S$27)+1))*('2503'!S21/'2503'!S$27))),0)</f>
        <v>0</v>
      </c>
    </row>
    <row r="41" spans="2:25" outlineLevel="1">
      <c r="B41" s="412"/>
      <c r="C41" s="410" t="s">
        <v>183</v>
      </c>
      <c r="D41" s="407">
        <v>2503</v>
      </c>
      <c r="E41" s="411"/>
      <c r="F41" s="59"/>
      <c r="G41" s="59">
        <f>((G$48/((1/'2503'!B$27)+1))*('2503'!B22/'2503'!B$27))</f>
        <v>-47279.846259011312</v>
      </c>
      <c r="H41" s="59">
        <f>IF(H$5="Actual",(((H$48/((1/'2503'!B$27)+1))*('2503'!B22/'2503'!B$27))),0)</f>
        <v>-55463.939132226675</v>
      </c>
      <c r="I41" s="59">
        <f>IF(I$5="Actual",(((I$48/((1/'2503'!C$27)+1))*('2503'!C22/'2503'!C$27))),0)</f>
        <v>-59949.621820545428</v>
      </c>
      <c r="J41" s="59">
        <f>IF(J$5="Actual",(((J$48/((1/'2503'!D$27)+1))*('2503'!D22/'2503'!D$27))),0)</f>
        <v>-67391.174539615473</v>
      </c>
      <c r="K41" s="59">
        <f>IF(K$5="Actual",(((K$48/((1/'2503'!E$27)+1))*('2503'!E22/'2503'!E$27))),0)</f>
        <v>-76525.638493087215</v>
      </c>
      <c r="L41" s="59">
        <f>IF(L$5="Actual",(((L$48/((1/'2503'!F$27)+1))*('2503'!F22/'2503'!F$27))),0)</f>
        <v>-80937.084406045193</v>
      </c>
      <c r="M41" s="59">
        <f>IF(M$5="Actual",(((M$48/((1/'2503'!G$27)+1))*('2503'!G22/'2503'!G$27))),0)</f>
        <v>-78414.132252376468</v>
      </c>
      <c r="N41" s="59">
        <f>IF(N$5="Actual",(((N$48/((1/'2503'!H$27)+1))*('2503'!H22/'2503'!H$27))),0)</f>
        <v>-80081.884264012086</v>
      </c>
      <c r="O41" s="59">
        <f>IF(O$5="Actual",(((O$48/((1/'2503'!I$27)+1))*('2503'!I22/'2503'!I$27))),0)</f>
        <v>-76307.566362018712</v>
      </c>
      <c r="P41" s="59">
        <f>IF(P$5="Actual",(((P$48/((1/'2503'!J$27)+1))*('2503'!J22/'2503'!J$27))),0)</f>
        <v>0</v>
      </c>
      <c r="Q41" s="59">
        <f>IF(Q$5="Actual",(((Q$48/((1/'2503'!K$27)+1))*('2503'!K22/'2503'!K$27))),0)</f>
        <v>0</v>
      </c>
      <c r="R41" s="59">
        <f>IF(R$5="Actual",(((R$48/((1/'2503'!L$27)+1))*('2503'!L22/'2503'!L$27))),0)</f>
        <v>0</v>
      </c>
      <c r="S41" s="59">
        <f>IF(S$5="Actual",(((S$48/((1/'2503'!M$27)+1))*('2503'!M22/'2503'!M$27))),0)</f>
        <v>0</v>
      </c>
      <c r="T41" s="59">
        <f>IF(T$5="Actual",(((T$48/((1/'2503'!N$27)+1))*('2503'!N22/'2503'!N$27))),0)</f>
        <v>0</v>
      </c>
      <c r="U41" s="59">
        <f>IF(U$5="Actual",(((U$48/((1/'2503'!O$27)+1))*('2503'!O22/'2503'!O$27))),0)</f>
        <v>0</v>
      </c>
      <c r="V41" s="59">
        <f>IF(V$5="Actual",(((V$48/((1/'2503'!P$27)+1))*('2503'!P22/'2503'!P$27))),0)</f>
        <v>0</v>
      </c>
      <c r="W41" s="59">
        <f>IF(W$5="Actual",(((W$48/((1/'2503'!Q$27)+1))*('2503'!Q22/'2503'!Q$27))),0)</f>
        <v>0</v>
      </c>
      <c r="X41" s="59">
        <f>IF(X$5="Actual",(((X$48/((1/'2503'!R$27)+1))*('2503'!R22/'2503'!R$27))),0)</f>
        <v>0</v>
      </c>
      <c r="Y41" s="59">
        <f>IF(Y$5="Actual",(((Y$48/((1/'2503'!S$27)+1))*('2503'!S22/'2503'!S$27))),0)</f>
        <v>0</v>
      </c>
    </row>
    <row r="42" spans="2:25" outlineLevel="1">
      <c r="B42" s="412"/>
      <c r="C42" s="410" t="s">
        <v>184</v>
      </c>
      <c r="D42" s="407">
        <v>2503</v>
      </c>
      <c r="E42" s="411"/>
      <c r="F42" s="59"/>
      <c r="G42" s="59">
        <f>((G$48/((1/'2503'!B$27)+1))*('2503'!B23/'2503'!B$27))</f>
        <v>-11057.383399284905</v>
      </c>
      <c r="H42" s="59">
        <f>IF(H$5="Actual",(((H$48/((1/'2503'!B$27)+1))*('2503'!B23/'2503'!B$27))),0)</f>
        <v>-12971.405119633659</v>
      </c>
      <c r="I42" s="59">
        <f>IF(I$5="Actual",(((I$48/((1/'2503'!C$27)+1))*('2503'!C23/'2503'!C$27))),0)</f>
        <v>-14020.47607093401</v>
      </c>
      <c r="J42" s="59">
        <f>IF(J$5="Actual",(((J$48/((1/'2503'!D$27)+1))*('2503'!D23/'2503'!D$27))),0)</f>
        <v>-15760.839206845552</v>
      </c>
      <c r="K42" s="59">
        <f>IF(K$5="Actual",(((K$48/((1/'2503'!E$27)+1))*('2503'!E23/'2503'!E$27))),0)</f>
        <v>-17897.125131447818</v>
      </c>
      <c r="L42" s="59">
        <f>IF(L$5="Actual",(((L$48/((1/'2503'!F$27)+1))*('2503'!F23/'2503'!F$27))),0)</f>
        <v>-18928.834256252507</v>
      </c>
      <c r="M42" s="59">
        <f>IF(M$5="Actual",(((M$48/((1/'2503'!G$27)+1))*('2503'!G23/'2503'!G$27))),0)</f>
        <v>-18338.788994507398</v>
      </c>
      <c r="N42" s="59">
        <f>IF(N$5="Actual",(((N$48/((1/'2503'!H$27)+1))*('2503'!H23/'2503'!H$27))),0)</f>
        <v>-18728.82777142218</v>
      </c>
      <c r="O42" s="59">
        <f>IF(O$5="Actual",(((O$48/((1/'2503'!I$27)+1))*('2503'!I23/'2503'!I$27))),0)</f>
        <v>-17846.124391117279</v>
      </c>
      <c r="P42" s="59">
        <f>IF(P$5="Actual",(((P$48/((1/'2503'!J$27)+1))*('2503'!J23/'2503'!J$27))),0)</f>
        <v>0</v>
      </c>
      <c r="Q42" s="59">
        <f>IF(Q$5="Actual",(((Q$48/((1/'2503'!K$27)+1))*('2503'!K23/'2503'!K$27))),0)</f>
        <v>0</v>
      </c>
      <c r="R42" s="59">
        <f>IF(R$5="Actual",(((R$48/((1/'2503'!L$27)+1))*('2503'!L23/'2503'!L$27))),0)</f>
        <v>0</v>
      </c>
      <c r="S42" s="59">
        <f>IF(S$5="Actual",(((S$48/((1/'2503'!M$27)+1))*('2503'!M23/'2503'!M$27))),0)</f>
        <v>0</v>
      </c>
      <c r="T42" s="59">
        <f>IF(T$5="Actual",(((T$48/((1/'2503'!N$27)+1))*('2503'!N23/'2503'!N$27))),0)</f>
        <v>0</v>
      </c>
      <c r="U42" s="59">
        <f>IF(U$5="Actual",(((U$48/((1/'2503'!O$27)+1))*('2503'!O23/'2503'!O$27))),0)</f>
        <v>0</v>
      </c>
      <c r="V42" s="59">
        <f>IF(V$5="Actual",(((V$48/((1/'2503'!P$27)+1))*('2503'!P23/'2503'!P$27))),0)</f>
        <v>0</v>
      </c>
      <c r="W42" s="59">
        <f>IF(W$5="Actual",(((W$48/((1/'2503'!Q$27)+1))*('2503'!Q23/'2503'!Q$27))),0)</f>
        <v>0</v>
      </c>
      <c r="X42" s="59">
        <f>IF(X$5="Actual",(((X$48/((1/'2503'!R$27)+1))*('2503'!R23/'2503'!R$27))),0)</f>
        <v>0</v>
      </c>
      <c r="Y42" s="59">
        <f>IF(Y$5="Actual",(((Y$48/((1/'2503'!S$27)+1))*('2503'!S23/'2503'!S$27))),0)</f>
        <v>0</v>
      </c>
    </row>
    <row r="43" spans="2:25" outlineLevel="1">
      <c r="B43" s="412"/>
      <c r="C43" s="410" t="s">
        <v>185</v>
      </c>
      <c r="D43" s="407">
        <v>2503</v>
      </c>
      <c r="E43" s="411"/>
      <c r="F43" s="59"/>
      <c r="G43" s="59">
        <f>((G$48/((1/'2503'!B$27)+1))*('2503'!B24/'2503'!B$27))</f>
        <v>-9303.4536187086778</v>
      </c>
      <c r="H43" s="59">
        <f>IF(H$5="Actual",(((H$48/((1/'2503'!B$27)+1))*('2503'!B24/'2503'!B$27))),0)</f>
        <v>-10913.871893760734</v>
      </c>
      <c r="I43" s="59">
        <f>IF(I$5="Actual",(((I$48/((1/'2503'!C$27)+1))*('2503'!C24/'2503'!C$27))),0)</f>
        <v>-8508.9785809806399</v>
      </c>
      <c r="J43" s="59">
        <f>IF(J$5="Actual",(((J$48/((1/'2503'!D$27)+1))*('2503'!D24/'2503'!D$27))),0)</f>
        <v>-12608.671365476443</v>
      </c>
      <c r="K43" s="59">
        <f>IF(K$5="Actual",(((K$48/((1/'2503'!E$27)+1))*('2503'!E24/'2503'!E$27))),0)</f>
        <v>-14317.700105158254</v>
      </c>
      <c r="L43" s="59">
        <f>IF(L$5="Actual",(((L$48/((1/'2503'!F$27)+1))*('2503'!F24/'2503'!F$27))),0)</f>
        <v>-16579.047934786675</v>
      </c>
      <c r="M43" s="59">
        <f>IF(M$5="Actual",(((M$48/((1/'2503'!G$27)+1))*('2503'!G24/'2503'!G$27))),0)</f>
        <v>-13406.287127019203</v>
      </c>
      <c r="N43" s="59">
        <f>IF(N$5="Actual",(((N$48/((1/'2503'!H$27)+1))*('2503'!H24/'2503'!H$27))),0)</f>
        <v>-16016.376852802417</v>
      </c>
      <c r="O43" s="59">
        <f>IF(O$5="Actual",(((O$48/((1/'2503'!I$27)+1))*('2503'!I24/'2503'!I$27))),0)</f>
        <v>-15261.513272403739</v>
      </c>
      <c r="P43" s="59">
        <f>IF(P$5="Actual",(((P$48/((1/'2503'!J$27)+1))*('2503'!J24/'2503'!J$27))),0)</f>
        <v>0</v>
      </c>
      <c r="Q43" s="59">
        <f>IF(Q$5="Actual",(((Q$48/((1/'2503'!K$27)+1))*('2503'!K24/'2503'!K$27))),0)</f>
        <v>0</v>
      </c>
      <c r="R43" s="59">
        <f>IF(R$5="Actual",(((R$48/((1/'2503'!L$27)+1))*('2503'!L24/'2503'!L$27))),0)</f>
        <v>0</v>
      </c>
      <c r="S43" s="59">
        <f>IF(S$5="Actual",(((S$48/((1/'2503'!M$27)+1))*('2503'!M24/'2503'!M$27))),0)</f>
        <v>0</v>
      </c>
      <c r="T43" s="59">
        <f>IF(T$5="Actual",(((T$48/((1/'2503'!N$27)+1))*('2503'!N24/'2503'!N$27))),0)</f>
        <v>0</v>
      </c>
      <c r="U43" s="59">
        <f>IF(U$5="Actual",(((U$48/((1/'2503'!O$27)+1))*('2503'!O24/'2503'!O$27))),0)</f>
        <v>0</v>
      </c>
      <c r="V43" s="59">
        <f>IF(V$5="Actual",(((V$48/((1/'2503'!P$27)+1))*('2503'!P24/'2503'!P$27))),0)</f>
        <v>0</v>
      </c>
      <c r="W43" s="59">
        <f>IF(W$5="Actual",(((W$48/((1/'2503'!Q$27)+1))*('2503'!Q24/'2503'!Q$27))),0)</f>
        <v>0</v>
      </c>
      <c r="X43" s="59">
        <f>IF(X$5="Actual",(((X$48/((1/'2503'!R$27)+1))*('2503'!R24/'2503'!R$27))),0)</f>
        <v>0</v>
      </c>
      <c r="Y43" s="59">
        <f>IF(Y$5="Actual",(((Y$48/((1/'2503'!S$27)+1))*('2503'!S24/'2503'!S$27))),0)</f>
        <v>0</v>
      </c>
    </row>
    <row r="44" spans="2:25" outlineLevel="1">
      <c r="B44" s="412"/>
      <c r="C44" s="410" t="s">
        <v>186</v>
      </c>
      <c r="D44" s="407">
        <v>2503</v>
      </c>
      <c r="E44" s="411"/>
      <c r="F44" s="59"/>
      <c r="G44" s="59">
        <f>((G$48/((1/'2503'!B$27)+1))*('2503'!B25/'2503'!B$27))</f>
        <v>-6939.4613057581118</v>
      </c>
      <c r="H44" s="59">
        <f>IF(H$5="Actual",(((H$48/((1/'2503'!B$27)+1))*('2503'!B25/'2503'!B$27))),0)</f>
        <v>-8140.6749371493997</v>
      </c>
      <c r="I44" s="59">
        <f>IF(I$5="Actual",(((I$48/((1/'2503'!C$27)+1))*('2503'!C25/'2503'!C$27))),0)</f>
        <v>-2997.4810910272708</v>
      </c>
      <c r="J44" s="59">
        <f>IF(J$5="Actual",(((J$48/((1/'2503'!D$27)+1))*('2503'!D25/'2503'!D$27))),0)</f>
        <v>-2717.3860701457847</v>
      </c>
      <c r="K44" s="59">
        <f>IF(K$5="Actual",(((K$48/((1/'2503'!E$27)+1))*('2503'!E25/'2503'!E$27))),0)</f>
        <v>-3085.7112295599691</v>
      </c>
      <c r="L44" s="59">
        <f>IF(L$5="Actual",(((L$48/((1/'2503'!F$27)+1))*('2503'!F25/'2503'!F$27))),0)</f>
        <v>-1958.1552678881901</v>
      </c>
      <c r="M44" s="59">
        <f>IF(M$5="Actual",(((M$48/((1/'2503'!G$27)+1))*('2503'!G25/'2503'!G$27))),0)</f>
        <v>-1138.2696617280455</v>
      </c>
      <c r="N44" s="59">
        <f>IF(N$5="Actual",(((N$48/((1/'2503'!H$27)+1))*('2503'!H25/'2503'!H$27))),0)</f>
        <v>-258.32865891616802</v>
      </c>
      <c r="O44" s="59">
        <f>IF(O$5="Actual",(((O$48/((1/'2503'!I$27)+1))*('2503'!I25/'2503'!I$27))),0)</f>
        <v>-246.15343987747968</v>
      </c>
      <c r="P44" s="59">
        <f>IF(P$5="Actual",(((P$48/((1/'2503'!J$27)+1))*('2503'!J25/'2503'!J$27))),0)</f>
        <v>0</v>
      </c>
      <c r="Q44" s="59">
        <f>IF(Q$5="Actual",(((Q$48/((1/'2503'!K$27)+1))*('2503'!K25/'2503'!K$27))),0)</f>
        <v>0</v>
      </c>
      <c r="R44" s="59">
        <f>IF(R$5="Actual",(((R$48/((1/'2503'!L$27)+1))*('2503'!L25/'2503'!L$27))),0)</f>
        <v>0</v>
      </c>
      <c r="S44" s="59">
        <f>IF(S$5="Actual",(((S$48/((1/'2503'!M$27)+1))*('2503'!M25/'2503'!M$27))),0)</f>
        <v>0</v>
      </c>
      <c r="T44" s="59">
        <f>IF(T$5="Actual",(((T$48/((1/'2503'!N$27)+1))*('2503'!N25/'2503'!N$27))),0)</f>
        <v>0</v>
      </c>
      <c r="U44" s="59">
        <f>IF(U$5="Actual",(((U$48/((1/'2503'!O$27)+1))*('2503'!O25/'2503'!O$27))),0)</f>
        <v>0</v>
      </c>
      <c r="V44" s="59">
        <f>IF(V$5="Actual",(((V$48/((1/'2503'!P$27)+1))*('2503'!P25/'2503'!P$27))),0)</f>
        <v>0</v>
      </c>
      <c r="W44" s="59">
        <f>IF(W$5="Actual",(((W$48/((1/'2503'!Q$27)+1))*('2503'!Q25/'2503'!Q$27))),0)</f>
        <v>0</v>
      </c>
      <c r="X44" s="59">
        <f>IF(X$5="Actual",(((X$48/((1/'2503'!R$27)+1))*('2503'!R25/'2503'!R$27))),0)</f>
        <v>0</v>
      </c>
      <c r="Y44" s="59">
        <f>IF(Y$5="Actual",(((Y$48/((1/'2503'!S$27)+1))*('2503'!S25/'2503'!S$27))),0)</f>
        <v>0</v>
      </c>
    </row>
    <row r="45" spans="2:25" outlineLevel="1">
      <c r="B45" s="412"/>
      <c r="C45" s="410" t="s">
        <v>187</v>
      </c>
      <c r="D45" s="407">
        <v>2503</v>
      </c>
      <c r="E45" s="411"/>
      <c r="F45" s="59"/>
      <c r="G45" s="59">
        <f>((G$48/((1/'2503'!B$27)+1))*('2503'!B26/'2503'!B$27))</f>
        <v>0</v>
      </c>
      <c r="H45" s="59">
        <f>IF(H$5="Actual",(((H$48/((1/'2503'!B$27)+1))*('2503'!B26/'2503'!B$27))),0)</f>
        <v>0</v>
      </c>
      <c r="I45" s="59">
        <f>IF(I$5="Actual",(((I$48/((1/'2503'!C$27)+1))*('2503'!C26/'2503'!C$27))),0)</f>
        <v>-96.692938420234555</v>
      </c>
      <c r="J45" s="59">
        <f>IF(J$5="Actual",(((J$48/((1/'2503'!D$27)+1))*('2503'!D26/'2503'!D$27))),0)</f>
        <v>0</v>
      </c>
      <c r="K45" s="59">
        <f>IF(K$5="Actual",(((K$48/((1/'2503'!E$27)+1))*('2503'!E26/'2503'!E$27))),0)</f>
        <v>0</v>
      </c>
      <c r="L45" s="59">
        <f>IF(L$5="Actual",(((L$48/((1/'2503'!F$27)+1))*('2503'!F26/'2503'!F$27))),0)</f>
        <v>0</v>
      </c>
      <c r="M45" s="59">
        <f>IF(M$5="Actual",(((M$48/((1/'2503'!G$27)+1))*('2503'!G26/'2503'!G$27))),0)</f>
        <v>-25.294881371734345</v>
      </c>
      <c r="N45" s="59">
        <f>IF(N$5="Actual",(((N$48/((1/'2503'!H$27)+1))*('2503'!H26/'2503'!H$27))),0)</f>
        <v>-129.16432945808401</v>
      </c>
      <c r="O45" s="59">
        <f>IF(O$5="Actual",(((O$48/((1/'2503'!I$27)+1))*('2503'!I26/'2503'!I$27))),0)</f>
        <v>-123.07671993873984</v>
      </c>
      <c r="P45" s="59">
        <f>IF(P$5="Actual",(((P$48/((1/'2503'!J$27)+1))*('2503'!J26/'2503'!J$27))),0)</f>
        <v>0</v>
      </c>
      <c r="Q45" s="59">
        <f>IF(Q$5="Actual",(((Q$48/((1/'2503'!K$27)+1))*('2503'!K26/'2503'!K$27))),0)</f>
        <v>0</v>
      </c>
      <c r="R45" s="59">
        <f>IF(R$5="Actual",(((R$48/((1/'2503'!L$27)+1))*('2503'!L26/'2503'!L$27))),0)</f>
        <v>0</v>
      </c>
      <c r="S45" s="59">
        <f>IF(S$5="Actual",(((S$48/((1/'2503'!M$27)+1))*('2503'!M26/'2503'!M$27))),0)</f>
        <v>0</v>
      </c>
      <c r="T45" s="59">
        <f>IF(T$5="Actual",(((T$48/((1/'2503'!N$27)+1))*('2503'!N26/'2503'!N$27))),0)</f>
        <v>0</v>
      </c>
      <c r="U45" s="59">
        <f>IF(U$5="Actual",(((U$48/((1/'2503'!O$27)+1))*('2503'!O26/'2503'!O$27))),0)</f>
        <v>0</v>
      </c>
      <c r="V45" s="59">
        <f>IF(V$5="Actual",(((V$48/((1/'2503'!P$27)+1))*('2503'!P26/'2503'!P$27))),0)</f>
        <v>0</v>
      </c>
      <c r="W45" s="59">
        <f>IF(W$5="Actual",(((W$48/((1/'2503'!Q$27)+1))*('2503'!Q26/'2503'!Q$27))),0)</f>
        <v>0</v>
      </c>
      <c r="X45" s="59">
        <f>IF(X$5="Actual",(((X$48/((1/'2503'!R$27)+1))*('2503'!R26/'2503'!R$27))),0)</f>
        <v>0</v>
      </c>
      <c r="Y45" s="59">
        <f>IF(Y$5="Actual",(((Y$48/((1/'2503'!S$27)+1))*('2503'!S26/'2503'!S$27))),0)</f>
        <v>0</v>
      </c>
    </row>
    <row r="46" spans="2:25" s="114" customFormat="1">
      <c r="B46" s="412"/>
      <c r="C46" s="336" t="s">
        <v>188</v>
      </c>
      <c r="D46" s="414"/>
      <c r="E46" s="414"/>
      <c r="F46" s="63"/>
      <c r="G46" s="63">
        <f>SUM(G37:G45)</f>
        <v>-303201.07859004673</v>
      </c>
      <c r="H46" s="63">
        <f t="shared" ref="H46:K46" si="9">SUM(H37:H45)</f>
        <v>-355684.87417698913</v>
      </c>
      <c r="I46" s="63">
        <f t="shared" si="9"/>
        <v>-401662.46619765431</v>
      </c>
      <c r="J46" s="63">
        <f t="shared" si="9"/>
        <v>-456412.16434168606</v>
      </c>
      <c r="K46" s="63">
        <f t="shared" si="9"/>
        <v>-524447.48057601228</v>
      </c>
      <c r="L46" s="63">
        <f t="shared" ref="L46:W46" si="10">SUM(L37:L45)</f>
        <v>-646713.41314120614</v>
      </c>
      <c r="M46" s="63">
        <f t="shared" si="10"/>
        <v>-701705.30413328239</v>
      </c>
      <c r="N46" s="63">
        <f t="shared" si="10"/>
        <v>-763102.85843836027</v>
      </c>
      <c r="O46" s="63">
        <f t="shared" si="10"/>
        <v>-739444.93339194893</v>
      </c>
      <c r="P46" s="63">
        <f t="shared" si="10"/>
        <v>0</v>
      </c>
      <c r="Q46" s="63">
        <f t="shared" si="10"/>
        <v>0</v>
      </c>
      <c r="R46" s="63">
        <f t="shared" si="10"/>
        <v>0</v>
      </c>
      <c r="S46" s="63">
        <f t="shared" si="10"/>
        <v>0</v>
      </c>
      <c r="T46" s="63">
        <f t="shared" si="10"/>
        <v>0</v>
      </c>
      <c r="U46" s="63">
        <f t="shared" si="10"/>
        <v>0</v>
      </c>
      <c r="V46" s="63">
        <f t="shared" si="10"/>
        <v>0</v>
      </c>
      <c r="W46" s="63">
        <f t="shared" si="10"/>
        <v>0</v>
      </c>
      <c r="X46" s="63">
        <f t="shared" ref="X46:Y46" si="11">SUM(X37:X45)</f>
        <v>0</v>
      </c>
      <c r="Y46" s="63">
        <f t="shared" si="11"/>
        <v>0</v>
      </c>
    </row>
    <row r="47" spans="2:25" s="421" customFormat="1">
      <c r="B47" s="417"/>
      <c r="C47" s="418"/>
      <c r="D47" s="419"/>
      <c r="E47" s="419"/>
      <c r="F47" s="420"/>
      <c r="G47" s="420">
        <f>G35+G46-G48</f>
        <v>0</v>
      </c>
      <c r="H47" s="420">
        <f>H35+H46-H48</f>
        <v>0</v>
      </c>
      <c r="I47" s="420">
        <f>I35+I46-I48</f>
        <v>0</v>
      </c>
      <c r="J47" s="420">
        <f t="shared" ref="J47:K47" si="12">J35+J46-J48</f>
        <v>0</v>
      </c>
      <c r="K47" s="420">
        <f t="shared" si="12"/>
        <v>0</v>
      </c>
      <c r="L47" s="420">
        <f t="shared" ref="L47:W47" si="13">L35+L46-L48</f>
        <v>0</v>
      </c>
      <c r="M47" s="420">
        <f t="shared" si="13"/>
        <v>0</v>
      </c>
      <c r="N47" s="420">
        <f t="shared" si="13"/>
        <v>0</v>
      </c>
      <c r="O47" s="420">
        <f t="shared" si="13"/>
        <v>0</v>
      </c>
      <c r="P47" s="420">
        <f t="shared" si="13"/>
        <v>0</v>
      </c>
      <c r="Q47" s="420">
        <f t="shared" si="13"/>
        <v>0</v>
      </c>
      <c r="R47" s="420">
        <f t="shared" si="13"/>
        <v>0</v>
      </c>
      <c r="S47" s="420">
        <f t="shared" si="13"/>
        <v>0</v>
      </c>
      <c r="T47" s="420">
        <f t="shared" si="13"/>
        <v>0</v>
      </c>
      <c r="U47" s="420">
        <f t="shared" si="13"/>
        <v>0</v>
      </c>
      <c r="V47" s="420">
        <f t="shared" si="13"/>
        <v>0</v>
      </c>
      <c r="W47" s="420">
        <f t="shared" si="13"/>
        <v>0</v>
      </c>
      <c r="X47" s="420">
        <f t="shared" ref="X47:Y47" si="14">X35+X46-X48</f>
        <v>0</v>
      </c>
      <c r="Y47" s="420">
        <f t="shared" si="14"/>
        <v>0</v>
      </c>
    </row>
    <row r="48" spans="2:25" s="114" customFormat="1">
      <c r="B48" s="412"/>
      <c r="C48" s="57" t="s">
        <v>509</v>
      </c>
      <c r="D48" s="389"/>
      <c r="E48" s="389"/>
      <c r="F48" s="63"/>
      <c r="G48" s="63">
        <f>+G78-G63</f>
        <v>-1065779.2440579711</v>
      </c>
      <c r="H48" s="63">
        <f t="shared" ref="H48:W48" si="15">+H78-H63</f>
        <v>-1250264.5375999999</v>
      </c>
      <c r="I48" s="63">
        <f t="shared" si="15"/>
        <v>-1368591.8503999999</v>
      </c>
      <c r="J48" s="63">
        <f t="shared" si="15"/>
        <v>-1543366.5924</v>
      </c>
      <c r="K48" s="63">
        <f t="shared" si="15"/>
        <v>-1758731.9723999999</v>
      </c>
      <c r="L48" s="63">
        <f t="shared" si="15"/>
        <v>-1952150.2583999999</v>
      </c>
      <c r="M48" s="63">
        <f t="shared" si="15"/>
        <v>-1966449.3727199999</v>
      </c>
      <c r="N48" s="63">
        <f t="shared" si="15"/>
        <v>-2054746.1530192001</v>
      </c>
      <c r="O48" s="63">
        <f>(-O18*0.1835)-O63</f>
        <v>-1970212.1327793472</v>
      </c>
      <c r="P48" s="63">
        <f t="shared" ref="P48:Q48" si="16">(-P18*0.1835)-P63</f>
        <v>0</v>
      </c>
      <c r="Q48" s="63">
        <f t="shared" si="16"/>
        <v>0</v>
      </c>
      <c r="R48" s="63">
        <f t="shared" si="15"/>
        <v>0</v>
      </c>
      <c r="S48" s="63">
        <f t="shared" si="15"/>
        <v>0</v>
      </c>
      <c r="T48" s="63">
        <f t="shared" si="15"/>
        <v>0</v>
      </c>
      <c r="U48" s="63">
        <f t="shared" si="15"/>
        <v>0</v>
      </c>
      <c r="V48" s="63">
        <f t="shared" si="15"/>
        <v>0</v>
      </c>
      <c r="W48" s="63">
        <f t="shared" si="15"/>
        <v>0</v>
      </c>
      <c r="X48" s="63">
        <f t="shared" ref="X48:Y48" si="17">+X78-X63</f>
        <v>0</v>
      </c>
      <c r="Y48" s="63">
        <f t="shared" si="17"/>
        <v>0</v>
      </c>
    </row>
    <row r="49" spans="2:25">
      <c r="B49" s="412"/>
      <c r="C49" s="57" t="s">
        <v>510</v>
      </c>
      <c r="D49" s="389"/>
      <c r="E49" s="389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</row>
    <row r="50" spans="2:25">
      <c r="B50" s="412"/>
      <c r="C50" s="409" t="s">
        <v>175</v>
      </c>
      <c r="D50" s="407" t="s">
        <v>278</v>
      </c>
      <c r="E50" s="407"/>
      <c r="F50" s="59"/>
      <c r="G50" s="416">
        <v>-489588.4057971015</v>
      </c>
      <c r="H50" s="416">
        <v>-506724</v>
      </c>
      <c r="I50" s="416">
        <v>-506724</v>
      </c>
      <c r="J50" s="416">
        <v>-506724</v>
      </c>
      <c r="K50" s="416">
        <v>-506724</v>
      </c>
      <c r="L50" s="416">
        <v>-514404</v>
      </c>
      <c r="M50" s="416">
        <v>-514404</v>
      </c>
      <c r="N50" s="416">
        <v>-524177.67599999998</v>
      </c>
      <c r="O50" s="416">
        <v>-532564.51881599997</v>
      </c>
      <c r="P50" s="416">
        <v>0</v>
      </c>
      <c r="Q50" s="416">
        <v>0</v>
      </c>
      <c r="R50" s="416">
        <v>0</v>
      </c>
      <c r="S50" s="416">
        <v>0</v>
      </c>
      <c r="T50" s="416">
        <v>0</v>
      </c>
      <c r="U50" s="416">
        <v>0</v>
      </c>
      <c r="V50" s="416">
        <v>0</v>
      </c>
      <c r="W50" s="416">
        <v>0</v>
      </c>
      <c r="X50" s="416">
        <v>0</v>
      </c>
      <c r="Y50" s="416">
        <v>0</v>
      </c>
    </row>
    <row r="51" spans="2:25">
      <c r="B51" s="412"/>
      <c r="C51" s="336" t="s">
        <v>177</v>
      </c>
      <c r="D51" s="407"/>
      <c r="E51" s="407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</row>
    <row r="52" spans="2:25" outlineLevel="1">
      <c r="B52" s="412"/>
      <c r="C52" s="410" t="s">
        <v>178</v>
      </c>
      <c r="D52" s="411">
        <v>2503</v>
      </c>
      <c r="E52" s="411"/>
      <c r="F52" s="59"/>
      <c r="G52" s="59">
        <f>G$50*'2503'!B18</f>
        <v>-73438.260869565216</v>
      </c>
      <c r="H52" s="59">
        <f>IF(H$5="Actual", H$50*'2503'!B18,0)</f>
        <v>-76008.599999999991</v>
      </c>
      <c r="I52" s="59">
        <f>IF(I$5="Actual", I$50*'2503'!C18,0)</f>
        <v>-78542.22</v>
      </c>
      <c r="J52" s="59">
        <f>IF(J$5="Actual", J$50*'2503'!D18,0)</f>
        <v>-81075.839999999997</v>
      </c>
      <c r="K52" s="59">
        <f>IF(K$5="Actual", K$50*'2503'!E18,0)</f>
        <v>-83609.460000000006</v>
      </c>
      <c r="L52" s="59">
        <f>IF(L$5="Actual", L$50*'2503'!F18,0)</f>
        <v>-87448.680000000008</v>
      </c>
      <c r="M52" s="59">
        <f>IF(M$5="Actual", M$50*'2503'!G18,0)</f>
        <v>-87448.680000000008</v>
      </c>
      <c r="N52" s="59">
        <f>IF(N$5="Actual", N$50*'2503'!H18,0)</f>
        <v>-94351.981679999997</v>
      </c>
      <c r="O52" s="59">
        <f>IF(O$5="Actual", O$50*'2503'!I18,0)</f>
        <v>-101187.25857503999</v>
      </c>
      <c r="P52" s="59">
        <f>IF(P$5="Actual", P$50*'2503'!J18,0)</f>
        <v>0</v>
      </c>
      <c r="Q52" s="59">
        <f>IF(Q$5="Actual", Q$50*'2503'!K18,0)</f>
        <v>0</v>
      </c>
      <c r="R52" s="59">
        <f>IF(R$5="Actual", R$50*'2503'!L18,0)</f>
        <v>0</v>
      </c>
      <c r="S52" s="59">
        <f>IF(S$5="Actual", S$50*'2503'!M18,0)</f>
        <v>0</v>
      </c>
      <c r="T52" s="59">
        <f>IF(T$5="Actual", T$50*'2503'!N18,0)</f>
        <v>0</v>
      </c>
      <c r="U52" s="59">
        <f>IF(U$5="Actual", U$50*'2503'!O18,0)</f>
        <v>0</v>
      </c>
      <c r="V52" s="59">
        <f>IF(V$5="Actual", V$50*'2503'!P18,0)</f>
        <v>0</v>
      </c>
      <c r="W52" s="59">
        <f>IF(W$5="Actual", W$50*'2503'!Q18,0)</f>
        <v>0</v>
      </c>
      <c r="X52" s="59">
        <f>IF(X$5="Actual", X$50*'2503'!R18,0)</f>
        <v>0</v>
      </c>
      <c r="Y52" s="59">
        <f>IF(Y$5="Actual", Y$50*'2503'!S18,0)</f>
        <v>0</v>
      </c>
    </row>
    <row r="53" spans="2:25" outlineLevel="1">
      <c r="B53" s="412"/>
      <c r="C53" s="410" t="s">
        <v>180</v>
      </c>
      <c r="D53" s="411">
        <v>2503</v>
      </c>
      <c r="E53" s="411"/>
      <c r="F53" s="59"/>
      <c r="G53" s="59">
        <f>G$50*'2503'!B19</f>
        <v>-38971.237101449282</v>
      </c>
      <c r="H53" s="59">
        <f>IF(H$5="Actual", H$50*'2503'!B19,0)</f>
        <v>-40335.2304</v>
      </c>
      <c r="I53" s="59">
        <f>IF(I$5="Actual", I$50*'2503'!C19,0)</f>
        <v>-52445.933999999994</v>
      </c>
      <c r="J53" s="59">
        <f>IF(J$5="Actual", J$50*'2503'!D19,0)</f>
        <v>-51280.468800000002</v>
      </c>
      <c r="K53" s="59">
        <f>IF(K$5="Actual", K$50*'2503'!E19,0)</f>
        <v>-51280.468800000002</v>
      </c>
      <c r="L53" s="59">
        <f>IF(L$5="Actual", L$50*'2503'!F19,0)</f>
        <v>-41512.402799999996</v>
      </c>
      <c r="M53" s="59">
        <f>IF(M$5="Actual", M$50*'2503'!G19,0)</f>
        <v>-48302.535599999996</v>
      </c>
      <c r="N53" s="59">
        <f>IF(N$5="Actual", N$50*'2503'!H19,0)</f>
        <v>-53151.616346399998</v>
      </c>
      <c r="O53" s="59">
        <f>IF(O$5="Actual", O$50*'2503'!I19,0)</f>
        <v>-54002.042207942395</v>
      </c>
      <c r="P53" s="59">
        <f>IF(P$5="Actual", P$50*'2503'!J19,0)</f>
        <v>0</v>
      </c>
      <c r="Q53" s="59">
        <f>IF(Q$5="Actual", Q$50*'2503'!K19,0)</f>
        <v>0</v>
      </c>
      <c r="R53" s="59">
        <f>IF(R$5="Actual", R$50*'2503'!L19,0)</f>
        <v>0</v>
      </c>
      <c r="S53" s="59">
        <f>IF(S$5="Actual", S$50*'2503'!M19,0)</f>
        <v>0</v>
      </c>
      <c r="T53" s="59">
        <f>IF(T$5="Actual", T$50*'2503'!N19,0)</f>
        <v>0</v>
      </c>
      <c r="U53" s="59">
        <f>IF(U$5="Actual", U$50*'2503'!O19,0)</f>
        <v>0</v>
      </c>
      <c r="V53" s="59">
        <f>IF(V$5="Actual", V$50*'2503'!P19,0)</f>
        <v>0</v>
      </c>
      <c r="W53" s="59">
        <f>IF(W$5="Actual", W$50*'2503'!Q19,0)</f>
        <v>0</v>
      </c>
      <c r="X53" s="59">
        <f>IF(X$5="Actual", X$50*'2503'!R19,0)</f>
        <v>0</v>
      </c>
      <c r="Y53" s="59">
        <f>IF(Y$5="Actual", Y$50*'2503'!S19,0)</f>
        <v>0</v>
      </c>
    </row>
    <row r="54" spans="2:25" outlineLevel="1">
      <c r="B54" s="412"/>
      <c r="C54" s="410" t="s">
        <v>181</v>
      </c>
      <c r="D54" s="411">
        <v>2503</v>
      </c>
      <c r="E54" s="411"/>
      <c r="F54" s="59"/>
      <c r="G54" s="59">
        <f>G$50*'2503'!B20</f>
        <v>0</v>
      </c>
      <c r="H54" s="59">
        <f>IF(H$5="Actual", H$50*'2503'!B20,0)</f>
        <v>0</v>
      </c>
      <c r="I54" s="59">
        <f>IF(I$5="Actual", I$50*'2503'!C20,0)</f>
        <v>0</v>
      </c>
      <c r="J54" s="59">
        <f>IF(J$5="Actual", J$50*'2503'!D20,0)</f>
        <v>0</v>
      </c>
      <c r="K54" s="59">
        <f>IF(K$5="Actual", K$50*'2503'!E20,0)</f>
        <v>0</v>
      </c>
      <c r="L54" s="59">
        <f>IF(L$5="Actual", L$50*'2503'!F20,0)</f>
        <v>-40020.631199999996</v>
      </c>
      <c r="M54" s="59">
        <f>IF(M$5="Actual", M$50*'2503'!G20,0)</f>
        <v>-65277.867600000005</v>
      </c>
      <c r="N54" s="59">
        <f>IF(N$5="Actual", N$50*'2503'!H20,0)</f>
        <v>-75114.660970800003</v>
      </c>
      <c r="O54" s="59">
        <f>IF(O$5="Actual", O$50*'2503'!I20,0)</f>
        <v>-76316.495546332808</v>
      </c>
      <c r="P54" s="59">
        <f>IF(P$5="Actual", P$50*'2503'!J20,0)</f>
        <v>0</v>
      </c>
      <c r="Q54" s="59">
        <f>IF(Q$5="Actual", Q$50*'2503'!K20,0)</f>
        <v>0</v>
      </c>
      <c r="R54" s="59">
        <f>IF(R$5="Actual", R$50*'2503'!L20,0)</f>
        <v>0</v>
      </c>
      <c r="S54" s="59">
        <f>IF(S$5="Actual", S$50*'2503'!M20,0)</f>
        <v>0</v>
      </c>
      <c r="T54" s="59">
        <f>IF(T$5="Actual", T$50*'2503'!N20,0)</f>
        <v>0</v>
      </c>
      <c r="U54" s="59">
        <f>IF(U$5="Actual", U$50*'2503'!O20,0)</f>
        <v>0</v>
      </c>
      <c r="V54" s="59">
        <f>IF(V$5="Actual", V$50*'2503'!P20,0)</f>
        <v>0</v>
      </c>
      <c r="W54" s="59">
        <f>IF(W$5="Actual", W$50*'2503'!Q20,0)</f>
        <v>0</v>
      </c>
      <c r="X54" s="59">
        <f>IF(X$5="Actual", X$50*'2503'!R20,0)</f>
        <v>0</v>
      </c>
      <c r="Y54" s="59">
        <f>IF(Y$5="Actual", Y$50*'2503'!S20,0)</f>
        <v>0</v>
      </c>
    </row>
    <row r="55" spans="2:25" outlineLevel="1">
      <c r="B55" s="412"/>
      <c r="C55" s="410" t="s">
        <v>182</v>
      </c>
      <c r="D55" s="411">
        <v>2503</v>
      </c>
      <c r="E55" s="411"/>
      <c r="F55" s="59"/>
      <c r="G55" s="59">
        <f>G$50*'2503'!B21</f>
        <v>-34369.106086956526</v>
      </c>
      <c r="H55" s="59">
        <f>IF(H$5="Actual", H$50*'2503'!B21,0)</f>
        <v>-35572.024799999999</v>
      </c>
      <c r="I55" s="59">
        <f>IF(I$5="Actual", I$50*'2503'!C21,0)</f>
        <v>-34659.921600000001</v>
      </c>
      <c r="J55" s="59">
        <f>IF(J$5="Actual", J$50*'2503'!D21,0)</f>
        <v>-34507.904399999999</v>
      </c>
      <c r="K55" s="59">
        <f>IF(K$5="Actual", K$50*'2503'!E21,0)</f>
        <v>-34507.904399999999</v>
      </c>
      <c r="L55" s="59">
        <f>IF(L$5="Actual", L$50*'2503'!F21,0)</f>
        <v>-39197.584800000004</v>
      </c>
      <c r="M55" s="59">
        <f>IF(M$5="Actual", M$50*'2503'!G21,0)</f>
        <v>-39094.703999999998</v>
      </c>
      <c r="N55" s="59">
        <f>IF(N$5="Actual", N$50*'2503'!H21,0)</f>
        <v>-40309.263284399996</v>
      </c>
      <c r="O55" s="59">
        <f>IF(O$5="Actual", O$50*'2503'!I21,0)</f>
        <v>-40954.211496950396</v>
      </c>
      <c r="P55" s="59">
        <f>IF(P$5="Actual", P$50*'2503'!J21,0)</f>
        <v>0</v>
      </c>
      <c r="Q55" s="59">
        <f>IF(Q$5="Actual", Q$50*'2503'!K21,0)</f>
        <v>0</v>
      </c>
      <c r="R55" s="59">
        <f>IF(R$5="Actual", R$50*'2503'!L21,0)</f>
        <v>0</v>
      </c>
      <c r="S55" s="59">
        <f>IF(S$5="Actual", S$50*'2503'!M21,0)</f>
        <v>0</v>
      </c>
      <c r="T55" s="59">
        <f>IF(T$5="Actual", T$50*'2503'!N21,0)</f>
        <v>0</v>
      </c>
      <c r="U55" s="59">
        <f>IF(U$5="Actual", U$50*'2503'!O21,0)</f>
        <v>0</v>
      </c>
      <c r="V55" s="59">
        <f>IF(V$5="Actual", V$50*'2503'!P21,0)</f>
        <v>0</v>
      </c>
      <c r="W55" s="59">
        <f>IF(W$5="Actual", W$50*'2503'!Q21,0)</f>
        <v>0</v>
      </c>
      <c r="X55" s="59">
        <f>IF(X$5="Actual", X$50*'2503'!R21,0)</f>
        <v>0</v>
      </c>
      <c r="Y55" s="59">
        <f>IF(Y$5="Actual", Y$50*'2503'!S21,0)</f>
        <v>0</v>
      </c>
    </row>
    <row r="56" spans="2:25" outlineLevel="1">
      <c r="B56" s="412"/>
      <c r="C56" s="410" t="s">
        <v>183</v>
      </c>
      <c r="D56" s="411">
        <v>2503</v>
      </c>
      <c r="E56" s="411"/>
      <c r="F56" s="59"/>
      <c r="G56" s="59">
        <f>G$50*'2503'!B22</f>
        <v>-30354.481159420291</v>
      </c>
      <c r="H56" s="59">
        <f>IF(H$5="Actual", H$50*'2503'!B22,0)</f>
        <v>-31416.887999999999</v>
      </c>
      <c r="I56" s="59">
        <f>IF(I$5="Actual", I$50*'2503'!C22,0)</f>
        <v>-31416.887999999999</v>
      </c>
      <c r="J56" s="59">
        <f>IF(J$5="Actual", J$50*'2503'!D22,0)</f>
        <v>-31416.887999999999</v>
      </c>
      <c r="K56" s="59">
        <f>IF(K$5="Actual", K$50*'2503'!E22,0)</f>
        <v>-31416.887999999999</v>
      </c>
      <c r="L56" s="59">
        <f>IF(L$5="Actual", L$50*'2503'!F22,0)</f>
        <v>-31893.047999999999</v>
      </c>
      <c r="M56" s="59">
        <f>IF(M$5="Actual", M$50*'2503'!G22,0)</f>
        <v>-31893.047999999999</v>
      </c>
      <c r="N56" s="59">
        <f>IF(N$5="Actual", N$50*'2503'!H22,0)</f>
        <v>-32499.015911999999</v>
      </c>
      <c r="O56" s="59">
        <f>IF(O$5="Actual", O$50*'2503'!I22,0)</f>
        <v>-33019.000166591999</v>
      </c>
      <c r="P56" s="59">
        <f>IF(P$5="Actual", P$50*'2503'!J22,0)</f>
        <v>0</v>
      </c>
      <c r="Q56" s="59">
        <f>IF(Q$5="Actual", Q$50*'2503'!K22,0)</f>
        <v>0</v>
      </c>
      <c r="R56" s="59">
        <f>IF(R$5="Actual", R$50*'2503'!L22,0)</f>
        <v>0</v>
      </c>
      <c r="S56" s="59">
        <f>IF(S$5="Actual", S$50*'2503'!M22,0)</f>
        <v>0</v>
      </c>
      <c r="T56" s="59">
        <f>IF(T$5="Actual", T$50*'2503'!N22,0)</f>
        <v>0</v>
      </c>
      <c r="U56" s="59">
        <f>IF(U$5="Actual", U$50*'2503'!O22,0)</f>
        <v>0</v>
      </c>
      <c r="V56" s="59">
        <f>IF(V$5="Actual", V$50*'2503'!P22,0)</f>
        <v>0</v>
      </c>
      <c r="W56" s="59">
        <f>IF(W$5="Actual", W$50*'2503'!Q22,0)</f>
        <v>0</v>
      </c>
      <c r="X56" s="59">
        <f>IF(X$5="Actual", X$50*'2503'!R22,0)</f>
        <v>0</v>
      </c>
      <c r="Y56" s="59">
        <f>IF(Y$5="Actual", Y$50*'2503'!S22,0)</f>
        <v>0</v>
      </c>
    </row>
    <row r="57" spans="2:25" outlineLevel="1">
      <c r="B57" s="412"/>
      <c r="C57" s="410" t="s">
        <v>184</v>
      </c>
      <c r="D57" s="411">
        <v>2503</v>
      </c>
      <c r="E57" s="411"/>
      <c r="F57" s="59"/>
      <c r="G57" s="59">
        <f>G$50*'2503'!B23</f>
        <v>-7099.0318840579721</v>
      </c>
      <c r="H57" s="59">
        <f>IF(H$5="Actual", H$50*'2503'!B23,0)</f>
        <v>-7347.4980000000005</v>
      </c>
      <c r="I57" s="59">
        <f>IF(I$5="Actual", I$50*'2503'!C23,0)</f>
        <v>-7347.4980000000005</v>
      </c>
      <c r="J57" s="59">
        <f>IF(J$5="Actual", J$50*'2503'!D23,0)</f>
        <v>-7347.4980000000005</v>
      </c>
      <c r="K57" s="59">
        <f>IF(K$5="Actual", K$50*'2503'!E23,0)</f>
        <v>-7347.4980000000005</v>
      </c>
      <c r="L57" s="59">
        <f>IF(L$5="Actual", L$50*'2503'!F23,0)</f>
        <v>-7458.8580000000002</v>
      </c>
      <c r="M57" s="59">
        <f>IF(M$5="Actual", M$50*'2503'!G23,0)</f>
        <v>-7458.8580000000002</v>
      </c>
      <c r="N57" s="59">
        <f>IF(N$5="Actual", N$50*'2503'!H23,0)</f>
        <v>-7600.5763020000004</v>
      </c>
      <c r="O57" s="59">
        <f>IF(O$5="Actual", O$50*'2503'!I23,0)</f>
        <v>-7722.185522832001</v>
      </c>
      <c r="P57" s="59">
        <f>IF(P$5="Actual", P$50*'2503'!J23,0)</f>
        <v>0</v>
      </c>
      <c r="Q57" s="59">
        <f>IF(Q$5="Actual", Q$50*'2503'!K23,0)</f>
        <v>0</v>
      </c>
      <c r="R57" s="59">
        <f>IF(R$5="Actual", R$50*'2503'!L23,0)</f>
        <v>0</v>
      </c>
      <c r="S57" s="59">
        <f>IF(S$5="Actual", S$50*'2503'!M23,0)</f>
        <v>0</v>
      </c>
      <c r="T57" s="59">
        <f>IF(T$5="Actual", T$50*'2503'!N23,0)</f>
        <v>0</v>
      </c>
      <c r="U57" s="59">
        <f>IF(U$5="Actual", U$50*'2503'!O23,0)</f>
        <v>0</v>
      </c>
      <c r="V57" s="59">
        <f>IF(V$5="Actual", V$50*'2503'!P23,0)</f>
        <v>0</v>
      </c>
      <c r="W57" s="59">
        <f>IF(W$5="Actual", W$50*'2503'!Q23,0)</f>
        <v>0</v>
      </c>
      <c r="X57" s="59">
        <f>IF(X$5="Actual", X$50*'2503'!R23,0)</f>
        <v>0</v>
      </c>
      <c r="Y57" s="59">
        <f>IF(Y$5="Actual", Y$50*'2503'!S23,0)</f>
        <v>0</v>
      </c>
    </row>
    <row r="58" spans="2:25" outlineLevel="1">
      <c r="B58" s="412"/>
      <c r="C58" s="410" t="s">
        <v>185</v>
      </c>
      <c r="D58" s="411">
        <v>2503</v>
      </c>
      <c r="E58" s="411"/>
      <c r="F58" s="59"/>
      <c r="G58" s="59">
        <f>G$50*'2503'!B24</f>
        <v>-5972.9785507246388</v>
      </c>
      <c r="H58" s="59">
        <f>IF(H$5="Actual", H$50*'2503'!B24,0)</f>
        <v>-6182.0328</v>
      </c>
      <c r="I58" s="59">
        <f>IF(I$5="Actual", I$50*'2503'!C24,0)</f>
        <v>-4459.1712000000007</v>
      </c>
      <c r="J58" s="59">
        <f>IF(J$5="Actual", J$50*'2503'!D24,0)</f>
        <v>-5877.9983999999995</v>
      </c>
      <c r="K58" s="59">
        <f>IF(K$5="Actual", K$50*'2503'!E24,0)</f>
        <v>-5877.9983999999995</v>
      </c>
      <c r="L58" s="59">
        <f>IF(L$5="Actual", L$50*'2503'!F24,0)</f>
        <v>-6532.9308000000001</v>
      </c>
      <c r="M58" s="59">
        <f>IF(M$5="Actual", M$50*'2503'!G24,0)</f>
        <v>-5452.6823999999997</v>
      </c>
      <c r="N58" s="59">
        <f>IF(N$5="Actual", N$50*'2503'!H24,0)</f>
        <v>-6499.8031823999991</v>
      </c>
      <c r="O58" s="59">
        <f>IF(O$5="Actual", O$50*'2503'!I24,0)</f>
        <v>-6603.8000333183991</v>
      </c>
      <c r="P58" s="59">
        <f>IF(P$5="Actual", P$50*'2503'!J24,0)</f>
        <v>0</v>
      </c>
      <c r="Q58" s="59">
        <f>IF(Q$5="Actual", Q$50*'2503'!K24,0)</f>
        <v>0</v>
      </c>
      <c r="R58" s="59">
        <f>IF(R$5="Actual", R$50*'2503'!L24,0)</f>
        <v>0</v>
      </c>
      <c r="S58" s="59">
        <f>IF(S$5="Actual", S$50*'2503'!M24,0)</f>
        <v>0</v>
      </c>
      <c r="T58" s="59">
        <f>IF(T$5="Actual", T$50*'2503'!N24,0)</f>
        <v>0</v>
      </c>
      <c r="U58" s="59">
        <f>IF(U$5="Actual", U$50*'2503'!O24,0)</f>
        <v>0</v>
      </c>
      <c r="V58" s="59">
        <f>IF(V$5="Actual", V$50*'2503'!P24,0)</f>
        <v>0</v>
      </c>
      <c r="W58" s="59">
        <f>IF(W$5="Actual", W$50*'2503'!Q24,0)</f>
        <v>0</v>
      </c>
      <c r="X58" s="59">
        <f>IF(X$5="Actual", X$50*'2503'!R24,0)</f>
        <v>0</v>
      </c>
      <c r="Y58" s="59">
        <f>IF(Y$5="Actual", Y$50*'2503'!S24,0)</f>
        <v>0</v>
      </c>
    </row>
    <row r="59" spans="2:25" outlineLevel="1">
      <c r="B59" s="412"/>
      <c r="C59" s="410" t="s">
        <v>186</v>
      </c>
      <c r="D59" s="411">
        <v>2503</v>
      </c>
      <c r="E59" s="411"/>
      <c r="F59" s="59"/>
      <c r="G59" s="59">
        <f>G$50*'2503'!B25</f>
        <v>-4455.2544927536237</v>
      </c>
      <c r="H59" s="59">
        <f>IF(H$5="Actual", H$50*'2503'!B25,0)</f>
        <v>-4611.1884</v>
      </c>
      <c r="I59" s="59">
        <f>IF(I$5="Actual", I$50*'2503'!C25,0)</f>
        <v>-1570.8444</v>
      </c>
      <c r="J59" s="59">
        <f>IF(J$5="Actual", J$50*'2503'!D25,0)</f>
        <v>-1266.81</v>
      </c>
      <c r="K59" s="59">
        <f>IF(K$5="Actual", K$50*'2503'!E25,0)</f>
        <v>-1266.81</v>
      </c>
      <c r="L59" s="59">
        <f>IF(L$5="Actual", L$50*'2503'!F25,0)</f>
        <v>-771.60599999999999</v>
      </c>
      <c r="M59" s="59">
        <f>IF(M$5="Actual", M$50*'2503'!G25,0)</f>
        <v>-462.96359999999999</v>
      </c>
      <c r="N59" s="59">
        <f>IF(N$5="Actual", N$50*'2503'!H25,0)</f>
        <v>-104.8355352</v>
      </c>
      <c r="O59" s="59">
        <f>IF(O$5="Actual", O$50*'2503'!I25,0)</f>
        <v>-106.5129037632</v>
      </c>
      <c r="P59" s="59">
        <f>IF(P$5="Actual", P$50*'2503'!J25,0)</f>
        <v>0</v>
      </c>
      <c r="Q59" s="59">
        <f>IF(Q$5="Actual", Q$50*'2503'!K25,0)</f>
        <v>0</v>
      </c>
      <c r="R59" s="59">
        <f>IF(R$5="Actual", R$50*'2503'!L25,0)</f>
        <v>0</v>
      </c>
      <c r="S59" s="59">
        <f>IF(S$5="Actual", S$50*'2503'!M25,0)</f>
        <v>0</v>
      </c>
      <c r="T59" s="59">
        <f>IF(T$5="Actual", T$50*'2503'!N25,0)</f>
        <v>0</v>
      </c>
      <c r="U59" s="59">
        <f>IF(U$5="Actual", U$50*'2503'!O25,0)</f>
        <v>0</v>
      </c>
      <c r="V59" s="59">
        <f>IF(V$5="Actual", V$50*'2503'!P25,0)</f>
        <v>0</v>
      </c>
      <c r="W59" s="59">
        <f>IF(W$5="Actual", W$50*'2503'!Q25,0)</f>
        <v>0</v>
      </c>
      <c r="X59" s="59">
        <f>IF(X$5="Actual", X$50*'2503'!R25,0)</f>
        <v>0</v>
      </c>
      <c r="Y59" s="59">
        <f>IF(Y$5="Actual", Y$50*'2503'!S25,0)</f>
        <v>0</v>
      </c>
    </row>
    <row r="60" spans="2:25">
      <c r="B60" s="412"/>
      <c r="C60" s="410" t="s">
        <v>187</v>
      </c>
      <c r="D60" s="411">
        <v>2503</v>
      </c>
      <c r="E60" s="411"/>
      <c r="F60" s="59"/>
      <c r="G60" s="59">
        <f>G$50*'2503'!B26</f>
        <v>0</v>
      </c>
      <c r="H60" s="59">
        <f>IF(H$5="Actual", H$50*'2503'!B26,0)</f>
        <v>0</v>
      </c>
      <c r="I60" s="59">
        <f>IF(I$5="Actual", I$50*'2503'!C26,0)</f>
        <v>-50.672400000000003</v>
      </c>
      <c r="J60" s="59">
        <f>IF(J$5="Actual", J$50*'2503'!D26,0)</f>
        <v>0</v>
      </c>
      <c r="K60" s="59">
        <f>IF(K$5="Actual", K$50*'2503'!E26,0)</f>
        <v>0</v>
      </c>
      <c r="L60" s="59">
        <f>IF(L$5="Actual", L$50*'2503'!F26,0)</f>
        <v>0</v>
      </c>
      <c r="M60" s="59">
        <f>IF(M$5="Actual", M$50*'2503'!G26,0)</f>
        <v>-10.288080000000001</v>
      </c>
      <c r="N60" s="59">
        <f>IF(N$5="Actual", N$50*'2503'!H26,0)</f>
        <v>-52.417767599999998</v>
      </c>
      <c r="O60" s="59">
        <f>IF(O$5="Actual", O$50*'2503'!I26,0)</f>
        <v>-53.2564518816</v>
      </c>
      <c r="P60" s="59">
        <f>IF(P$5="Actual", P$50*'2503'!J26,0)</f>
        <v>0</v>
      </c>
      <c r="Q60" s="59">
        <f>IF(Q$5="Actual", Q$50*'2503'!K26,0)</f>
        <v>0</v>
      </c>
      <c r="R60" s="59">
        <f>IF(R$5="Actual", R$50*'2503'!L26,0)</f>
        <v>0</v>
      </c>
      <c r="S60" s="59">
        <f>IF(S$5="Actual", S$50*'2503'!M26,0)</f>
        <v>0</v>
      </c>
      <c r="T60" s="59">
        <f>IF(T$5="Actual", T$50*'2503'!N26,0)</f>
        <v>0</v>
      </c>
      <c r="U60" s="59">
        <f>IF(U$5="Actual", U$50*'2503'!O26,0)</f>
        <v>0</v>
      </c>
      <c r="V60" s="59">
        <f>IF(V$5="Actual", V$50*'2503'!P26,0)</f>
        <v>0</v>
      </c>
      <c r="W60" s="59">
        <f>IF(W$5="Actual", W$50*'2503'!Q26,0)</f>
        <v>0</v>
      </c>
      <c r="X60" s="59">
        <f>IF(X$5="Actual", X$50*'2503'!R26,0)</f>
        <v>0</v>
      </c>
      <c r="Y60" s="59">
        <f>IF(Y$5="Actual", Y$50*'2503'!S26,0)</f>
        <v>0</v>
      </c>
    </row>
    <row r="61" spans="2:25" s="114" customFormat="1">
      <c r="B61" s="412"/>
      <c r="C61" s="336" t="s">
        <v>188</v>
      </c>
      <c r="D61" s="414"/>
      <c r="E61" s="414"/>
      <c r="F61" s="63"/>
      <c r="G61" s="63">
        <f>SUM(G52:G60)</f>
        <v>-194660.35014492754</v>
      </c>
      <c r="H61" s="63">
        <f>SUM(H52:H60)</f>
        <v>-201473.46239999999</v>
      </c>
      <c r="I61" s="63">
        <f>SUM(I52:I60)</f>
        <v>-210493.1496</v>
      </c>
      <c r="J61" s="63">
        <f t="shared" ref="J61" si="18">SUM(J52:J60)</f>
        <v>-212773.40760000001</v>
      </c>
      <c r="K61" s="63">
        <f>SUM(K52:K60)</f>
        <v>-215307.0276</v>
      </c>
      <c r="L61" s="63">
        <f>SUM(L52:L60)</f>
        <v>-254835.74160000004</v>
      </c>
      <c r="M61" s="63">
        <f>SUM(M52:M60)</f>
        <v>-285401.62728000002</v>
      </c>
      <c r="N61" s="63">
        <f t="shared" ref="N61:W61" si="19">SUM(N52:N60)</f>
        <v>-309684.17098079994</v>
      </c>
      <c r="O61" s="63">
        <f t="shared" si="19"/>
        <v>-319964.7629046528</v>
      </c>
      <c r="P61" s="63">
        <f t="shared" si="19"/>
        <v>0</v>
      </c>
      <c r="Q61" s="63">
        <f t="shared" si="19"/>
        <v>0</v>
      </c>
      <c r="R61" s="63">
        <f t="shared" si="19"/>
        <v>0</v>
      </c>
      <c r="S61" s="63">
        <f t="shared" si="19"/>
        <v>0</v>
      </c>
      <c r="T61" s="63">
        <f t="shared" si="19"/>
        <v>0</v>
      </c>
      <c r="U61" s="63">
        <f t="shared" si="19"/>
        <v>0</v>
      </c>
      <c r="V61" s="63">
        <f t="shared" si="19"/>
        <v>0</v>
      </c>
      <c r="W61" s="63">
        <f t="shared" si="19"/>
        <v>0</v>
      </c>
      <c r="X61" s="63">
        <f t="shared" ref="X61:Y61" si="20">SUM(X52:X60)</f>
        <v>0</v>
      </c>
      <c r="Y61" s="63">
        <f t="shared" si="20"/>
        <v>0</v>
      </c>
    </row>
    <row r="62" spans="2:25" s="421" customFormat="1">
      <c r="B62" s="417"/>
      <c r="C62" s="418"/>
      <c r="D62" s="419"/>
      <c r="E62" s="419"/>
      <c r="F62" s="420"/>
      <c r="G62" s="420">
        <f>G33+G63+G48+'Budget P&amp;L Input'!G18</f>
        <v>0</v>
      </c>
      <c r="H62" s="420">
        <f>H33+H63+H48+'Budget P&amp;L Input'!H18</f>
        <v>0</v>
      </c>
      <c r="I62" s="420">
        <f>I33+I63+I48+'Budget P&amp;L Input'!I18</f>
        <v>0</v>
      </c>
      <c r="J62" s="420">
        <f>J33+J63+J48+'Budget P&amp;L Input'!J18</f>
        <v>0</v>
      </c>
      <c r="K62" s="420">
        <f>K33+K63+K48+'Budget P&amp;L Input'!K18</f>
        <v>0</v>
      </c>
      <c r="L62" s="420">
        <v>0</v>
      </c>
      <c r="M62" s="420">
        <v>0</v>
      </c>
      <c r="N62" s="420">
        <v>0</v>
      </c>
      <c r="O62" s="420">
        <v>0</v>
      </c>
      <c r="P62" s="420">
        <v>0</v>
      </c>
      <c r="Q62" s="420">
        <v>0</v>
      </c>
      <c r="R62" s="420">
        <v>0</v>
      </c>
      <c r="S62" s="420">
        <v>0</v>
      </c>
      <c r="T62" s="420">
        <v>0</v>
      </c>
      <c r="U62" s="420">
        <v>0</v>
      </c>
      <c r="V62" s="420">
        <v>0</v>
      </c>
      <c r="W62" s="420">
        <v>0</v>
      </c>
      <c r="X62" s="420">
        <v>0</v>
      </c>
      <c r="Y62" s="420">
        <v>0</v>
      </c>
    </row>
    <row r="63" spans="2:25" s="114" customFormat="1">
      <c r="B63" s="412"/>
      <c r="C63" s="77" t="s">
        <v>519</v>
      </c>
      <c r="D63" s="389"/>
      <c r="E63" s="389"/>
      <c r="F63" s="63"/>
      <c r="G63" s="63">
        <f>G50+G61</f>
        <v>-684248.75594202906</v>
      </c>
      <c r="H63" s="63">
        <f>H50+H61</f>
        <v>-708197.46239999996</v>
      </c>
      <c r="I63" s="63">
        <f t="shared" ref="I63:W63" si="21">I50+I61</f>
        <v>-717217.1496</v>
      </c>
      <c r="J63" s="63">
        <f t="shared" si="21"/>
        <v>-719497.40760000004</v>
      </c>
      <c r="K63" s="63">
        <f t="shared" si="21"/>
        <v>-722031.02760000003</v>
      </c>
      <c r="L63" s="63">
        <f t="shared" si="21"/>
        <v>-769239.74160000007</v>
      </c>
      <c r="M63" s="63">
        <f t="shared" si="21"/>
        <v>-799805.62728000002</v>
      </c>
      <c r="N63" s="63">
        <f t="shared" si="21"/>
        <v>-833861.84698079992</v>
      </c>
      <c r="O63" s="63">
        <f t="shared" si="21"/>
        <v>-852529.28172065271</v>
      </c>
      <c r="P63" s="63">
        <f t="shared" si="21"/>
        <v>0</v>
      </c>
      <c r="Q63" s="63">
        <f t="shared" si="21"/>
        <v>0</v>
      </c>
      <c r="R63" s="63">
        <f t="shared" si="21"/>
        <v>0</v>
      </c>
      <c r="S63" s="63">
        <f t="shared" si="21"/>
        <v>0</v>
      </c>
      <c r="T63" s="63">
        <f t="shared" si="21"/>
        <v>0</v>
      </c>
      <c r="U63" s="63">
        <f t="shared" si="21"/>
        <v>0</v>
      </c>
      <c r="V63" s="63">
        <f t="shared" si="21"/>
        <v>0</v>
      </c>
      <c r="W63" s="63">
        <f t="shared" si="21"/>
        <v>0</v>
      </c>
      <c r="X63" s="63">
        <f t="shared" ref="X63:Y63" si="22">X50+X61</f>
        <v>0</v>
      </c>
      <c r="Y63" s="63">
        <f t="shared" si="22"/>
        <v>0</v>
      </c>
    </row>
    <row r="64" spans="2:25" s="424" customFormat="1">
      <c r="B64" s="422"/>
      <c r="C64" s="423"/>
      <c r="D64" s="358"/>
      <c r="E64" s="358"/>
      <c r="F64" s="420"/>
      <c r="G64" s="420">
        <f>SUM(G63,G48,G33)+G18</f>
        <v>0</v>
      </c>
      <c r="H64" s="420">
        <f>SUM(H63,H48,H33)+H18</f>
        <v>0</v>
      </c>
      <c r="I64" s="420">
        <f t="shared" ref="I64:W64" si="23">SUM(I63,I48,I33)+I18</f>
        <v>0</v>
      </c>
      <c r="J64" s="420">
        <f t="shared" si="23"/>
        <v>0</v>
      </c>
      <c r="K64" s="420">
        <f t="shared" si="23"/>
        <v>0</v>
      </c>
      <c r="L64" s="420">
        <f t="shared" si="23"/>
        <v>0</v>
      </c>
      <c r="M64" s="420">
        <f t="shared" si="23"/>
        <v>0</v>
      </c>
      <c r="N64" s="420">
        <f t="shared" si="23"/>
        <v>0</v>
      </c>
      <c r="O64" s="420">
        <f t="shared" si="23"/>
        <v>0</v>
      </c>
      <c r="P64" s="420">
        <f t="shared" si="23"/>
        <v>0</v>
      </c>
      <c r="Q64" s="420">
        <f t="shared" si="23"/>
        <v>0</v>
      </c>
      <c r="R64" s="420">
        <f t="shared" si="23"/>
        <v>0</v>
      </c>
      <c r="S64" s="420">
        <f t="shared" si="23"/>
        <v>0</v>
      </c>
      <c r="T64" s="420">
        <f t="shared" si="23"/>
        <v>0</v>
      </c>
      <c r="U64" s="420">
        <f t="shared" si="23"/>
        <v>0</v>
      </c>
      <c r="V64" s="420">
        <f t="shared" si="23"/>
        <v>0</v>
      </c>
      <c r="W64" s="420">
        <f t="shared" si="23"/>
        <v>0</v>
      </c>
      <c r="X64" s="420">
        <f t="shared" ref="X64:Y64" si="24">SUM(X63,X48,X33)+X18</f>
        <v>0</v>
      </c>
      <c r="Y64" s="420">
        <f t="shared" si="24"/>
        <v>0</v>
      </c>
    </row>
    <row r="65" spans="2:25">
      <c r="B65" s="412"/>
      <c r="C65" s="117" t="s">
        <v>191</v>
      </c>
      <c r="D65" s="407" t="s">
        <v>278</v>
      </c>
      <c r="E65" s="407"/>
      <c r="F65" s="416">
        <v>1410130</v>
      </c>
      <c r="G65" s="416">
        <v>1497982</v>
      </c>
      <c r="H65" s="416">
        <v>950686</v>
      </c>
      <c r="I65" s="416">
        <v>2041893</v>
      </c>
      <c r="J65" s="416">
        <v>2141694</v>
      </c>
      <c r="K65" s="416">
        <v>2057824</v>
      </c>
      <c r="L65" s="416">
        <v>1041866.2</v>
      </c>
      <c r="M65" s="416">
        <v>1074945.08</v>
      </c>
      <c r="N65" s="416">
        <v>1510657</v>
      </c>
      <c r="O65" s="416">
        <v>1617949</v>
      </c>
      <c r="P65" s="416"/>
      <c r="Q65" s="416"/>
      <c r="R65" s="416"/>
      <c r="S65" s="416"/>
      <c r="T65" s="416"/>
      <c r="U65" s="416"/>
      <c r="V65" s="416"/>
      <c r="W65" s="416"/>
      <c r="X65" s="416"/>
      <c r="Y65" s="416"/>
    </row>
    <row r="66" spans="2:25">
      <c r="B66" s="412"/>
      <c r="C66" s="117" t="s">
        <v>193</v>
      </c>
      <c r="D66" s="407" t="s">
        <v>278</v>
      </c>
      <c r="E66" s="407"/>
      <c r="F66" s="416">
        <v>5989683</v>
      </c>
      <c r="G66" s="416">
        <v>7069467</v>
      </c>
      <c r="H66" s="416">
        <v>7360786</v>
      </c>
      <c r="I66" s="416">
        <v>8397438</v>
      </c>
      <c r="J66" s="416">
        <v>8107190</v>
      </c>
      <c r="K66" s="416">
        <v>6627309</v>
      </c>
      <c r="L66" s="416">
        <v>6378046.6399999997</v>
      </c>
      <c r="M66" s="416">
        <v>4698334.21</v>
      </c>
      <c r="N66" s="416">
        <v>6185850</v>
      </c>
      <c r="O66" s="416">
        <v>5498625</v>
      </c>
      <c r="P66" s="416"/>
      <c r="Q66" s="416"/>
      <c r="R66" s="416"/>
      <c r="S66" s="416"/>
      <c r="T66" s="416"/>
      <c r="U66" s="416"/>
      <c r="V66" s="416"/>
      <c r="W66" s="416"/>
      <c r="X66" s="416"/>
      <c r="Y66" s="416"/>
    </row>
    <row r="67" spans="2:25">
      <c r="B67" s="412"/>
      <c r="C67" s="117" t="s">
        <v>198</v>
      </c>
      <c r="D67" s="407" t="s">
        <v>278</v>
      </c>
      <c r="E67" s="407"/>
      <c r="F67" s="416">
        <v>14885082</v>
      </c>
      <c r="G67" s="416">
        <v>13661085</v>
      </c>
      <c r="H67" s="416">
        <v>10204531</v>
      </c>
      <c r="I67" s="416">
        <v>9663202</v>
      </c>
      <c r="J67" s="416">
        <v>9406314</v>
      </c>
      <c r="K67" s="416">
        <v>8941354</v>
      </c>
      <c r="L67" s="416">
        <v>10112055.99</v>
      </c>
      <c r="M67" s="416">
        <v>10592037.779999999</v>
      </c>
      <c r="N67" s="416">
        <v>8282375</v>
      </c>
      <c r="O67" s="416">
        <v>8792199</v>
      </c>
      <c r="P67" s="416"/>
      <c r="Q67" s="416"/>
      <c r="R67" s="416"/>
      <c r="S67" s="416"/>
      <c r="T67" s="416"/>
      <c r="U67" s="416"/>
      <c r="V67" s="416"/>
      <c r="W67" s="416"/>
      <c r="X67" s="416"/>
      <c r="Y67" s="416"/>
    </row>
    <row r="68" spans="2:25">
      <c r="B68" s="117"/>
      <c r="C68" s="117" t="s">
        <v>199</v>
      </c>
      <c r="D68" s="407" t="s">
        <v>278</v>
      </c>
      <c r="E68" s="407"/>
      <c r="F68" s="416">
        <v>338891</v>
      </c>
      <c r="G68" s="416">
        <v>413963</v>
      </c>
      <c r="H68" s="416">
        <v>508197</v>
      </c>
      <c r="I68" s="416">
        <v>513119</v>
      </c>
      <c r="J68" s="416">
        <v>605975</v>
      </c>
      <c r="K68" s="416">
        <v>590000</v>
      </c>
      <c r="L68" s="416">
        <v>498054.59</v>
      </c>
      <c r="M68" s="416">
        <v>371617.08</v>
      </c>
      <c r="N68" s="416">
        <v>423186</v>
      </c>
      <c r="O68" s="416">
        <v>410158</v>
      </c>
      <c r="P68" s="416"/>
      <c r="Q68" s="416"/>
      <c r="R68" s="416"/>
      <c r="S68" s="416"/>
      <c r="T68" s="416"/>
      <c r="U68" s="416"/>
      <c r="V68" s="416"/>
      <c r="W68" s="416"/>
      <c r="X68" s="416"/>
      <c r="Y68" s="416"/>
    </row>
    <row r="69" spans="2:25">
      <c r="B69" s="117"/>
      <c r="C69" s="117" t="s">
        <v>200</v>
      </c>
      <c r="D69" s="407" t="s">
        <v>278</v>
      </c>
      <c r="E69" s="407"/>
      <c r="F69" s="416">
        <v>509388</v>
      </c>
      <c r="G69" s="416">
        <v>659784</v>
      </c>
      <c r="H69" s="416">
        <v>877788</v>
      </c>
      <c r="I69" s="416">
        <v>454521</v>
      </c>
      <c r="J69" s="416">
        <v>545503</v>
      </c>
      <c r="K69" s="416">
        <v>461158</v>
      </c>
      <c r="L69" s="416">
        <v>854446.53</v>
      </c>
      <c r="M69" s="416">
        <v>855460.82</v>
      </c>
      <c r="N69" s="416">
        <v>890414</v>
      </c>
      <c r="O69" s="416">
        <v>720254</v>
      </c>
      <c r="P69" s="416"/>
      <c r="Q69" s="416"/>
      <c r="R69" s="416"/>
      <c r="S69" s="416"/>
      <c r="T69" s="416"/>
      <c r="U69" s="416"/>
      <c r="V69" s="416"/>
      <c r="W69" s="416"/>
      <c r="X69" s="416"/>
      <c r="Y69" s="416"/>
    </row>
    <row r="70" spans="2:25">
      <c r="B70" s="117"/>
      <c r="C70" s="117" t="s">
        <v>201</v>
      </c>
      <c r="D70" s="407" t="s">
        <v>278</v>
      </c>
      <c r="E70" s="407"/>
      <c r="F70" s="416">
        <v>1376261</v>
      </c>
      <c r="G70" s="416">
        <v>1342561</v>
      </c>
      <c r="H70" s="416">
        <v>2497179</v>
      </c>
      <c r="I70" s="416">
        <v>2509878</v>
      </c>
      <c r="J70" s="416">
        <v>2231257</v>
      </c>
      <c r="K70" s="416">
        <v>2547687</v>
      </c>
      <c r="L70" s="416">
        <v>2181256.35</v>
      </c>
      <c r="M70" s="416">
        <v>2837064.08</v>
      </c>
      <c r="N70" s="416">
        <v>2991753</v>
      </c>
      <c r="O70" s="416">
        <v>3025863</v>
      </c>
      <c r="P70" s="416"/>
      <c r="Q70" s="416"/>
      <c r="R70" s="416"/>
      <c r="S70" s="416"/>
      <c r="T70" s="416"/>
      <c r="U70" s="416"/>
      <c r="V70" s="416"/>
      <c r="W70" s="416"/>
      <c r="X70" s="416"/>
      <c r="Y70" s="416"/>
    </row>
    <row r="71" spans="2:25">
      <c r="B71" s="117"/>
      <c r="C71" s="117" t="s">
        <v>282</v>
      </c>
      <c r="D71" s="407" t="s">
        <v>278</v>
      </c>
      <c r="E71" s="407"/>
      <c r="F71" s="416"/>
      <c r="G71" s="416"/>
      <c r="H71" s="416"/>
      <c r="I71" s="416"/>
      <c r="J71" s="416"/>
      <c r="K71" s="416"/>
      <c r="L71" s="416">
        <v>36190.36</v>
      </c>
      <c r="M71" s="416">
        <v>272926.86</v>
      </c>
      <c r="N71" s="416">
        <v>579261</v>
      </c>
      <c r="O71" s="416">
        <v>566936</v>
      </c>
      <c r="P71" s="416"/>
      <c r="Q71" s="416"/>
      <c r="R71" s="416"/>
      <c r="S71" s="416"/>
      <c r="T71" s="416"/>
      <c r="U71" s="416"/>
      <c r="V71" s="416"/>
      <c r="W71" s="416"/>
      <c r="X71" s="416"/>
      <c r="Y71" s="416"/>
    </row>
    <row r="72" spans="2:25">
      <c r="B72" s="117"/>
      <c r="C72" s="117" t="s">
        <v>98</v>
      </c>
      <c r="D72" s="407" t="s">
        <v>278</v>
      </c>
      <c r="E72" s="537"/>
      <c r="F72" s="416">
        <v>0</v>
      </c>
      <c r="G72" s="416">
        <v>0</v>
      </c>
      <c r="H72" s="416">
        <v>1227840</v>
      </c>
      <c r="I72" s="416">
        <v>0</v>
      </c>
      <c r="J72" s="416">
        <v>0</v>
      </c>
      <c r="K72" s="416">
        <v>0</v>
      </c>
      <c r="L72" s="416">
        <v>0</v>
      </c>
      <c r="M72" s="416">
        <v>0</v>
      </c>
      <c r="N72" s="416">
        <v>0</v>
      </c>
      <c r="O72" s="416">
        <v>0</v>
      </c>
      <c r="P72" s="416"/>
      <c r="Q72" s="416"/>
      <c r="R72" s="416"/>
      <c r="S72" s="416"/>
      <c r="T72" s="416"/>
      <c r="U72" s="416"/>
      <c r="V72" s="416"/>
      <c r="W72" s="416"/>
      <c r="X72" s="416"/>
      <c r="Y72" s="416"/>
    </row>
    <row r="73" spans="2:25">
      <c r="B73" s="412" t="s">
        <v>259</v>
      </c>
      <c r="C73" s="412"/>
      <c r="D73" s="414"/>
      <c r="E73" s="414"/>
      <c r="F73" s="413">
        <f>SUM(F18:F72)</f>
        <v>36095737</v>
      </c>
      <c r="G73" s="413">
        <f t="shared" ref="G73:W73" si="25">SUM(G18,G65:G72)</f>
        <v>36391460</v>
      </c>
      <c r="H73" s="413">
        <f t="shared" si="25"/>
        <v>36177458</v>
      </c>
      <c r="I73" s="413">
        <f t="shared" si="25"/>
        <v>36088165</v>
      </c>
      <c r="J73" s="413">
        <f t="shared" si="25"/>
        <v>36347749</v>
      </c>
      <c r="K73" s="413">
        <f t="shared" si="25"/>
        <v>35102502</v>
      </c>
      <c r="L73" s="413">
        <f t="shared" si="25"/>
        <v>35860814.659999996</v>
      </c>
      <c r="M73" s="413">
        <f t="shared" si="25"/>
        <v>34998258.589999996</v>
      </c>
      <c r="N73" s="413">
        <f t="shared" si="25"/>
        <v>35603263</v>
      </c>
      <c r="O73" s="413">
        <f t="shared" si="25"/>
        <v>36014771</v>
      </c>
      <c r="P73" s="413">
        <f t="shared" si="25"/>
        <v>0</v>
      </c>
      <c r="Q73" s="413">
        <f t="shared" si="25"/>
        <v>0</v>
      </c>
      <c r="R73" s="413">
        <f t="shared" si="25"/>
        <v>0</v>
      </c>
      <c r="S73" s="413">
        <f t="shared" si="25"/>
        <v>0</v>
      </c>
      <c r="T73" s="413">
        <f t="shared" si="25"/>
        <v>0</v>
      </c>
      <c r="U73" s="413">
        <f t="shared" si="25"/>
        <v>0</v>
      </c>
      <c r="V73" s="413">
        <f t="shared" si="25"/>
        <v>0</v>
      </c>
      <c r="W73" s="413">
        <f t="shared" si="25"/>
        <v>0</v>
      </c>
      <c r="X73" s="413">
        <f t="shared" ref="X73:Y73" si="26">SUM(X18,X65:X72)</f>
        <v>0</v>
      </c>
      <c r="Y73" s="413">
        <f t="shared" si="26"/>
        <v>0</v>
      </c>
    </row>
    <row r="74" spans="2:25" s="421" customFormat="1">
      <c r="B74" s="418"/>
      <c r="C74" s="418"/>
      <c r="D74" s="426"/>
      <c r="E74" s="426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</row>
    <row r="75" spans="2:25" s="114" customFormat="1">
      <c r="B75" s="412" t="s">
        <v>283</v>
      </c>
      <c r="C75" s="412"/>
      <c r="D75" s="414"/>
      <c r="E75" s="414"/>
      <c r="F75" s="429">
        <f>F15-F73</f>
        <v>0</v>
      </c>
      <c r="G75" s="429">
        <f t="shared" ref="G75:W75" si="27">G15-G73</f>
        <v>0</v>
      </c>
      <c r="H75" s="429">
        <f t="shared" si="27"/>
        <v>0</v>
      </c>
      <c r="I75" s="429">
        <f t="shared" si="27"/>
        <v>-150000</v>
      </c>
      <c r="J75" s="429">
        <f t="shared" si="27"/>
        <v>-150000</v>
      </c>
      <c r="K75" s="429">
        <f t="shared" si="27"/>
        <v>-150000</v>
      </c>
      <c r="L75" s="429">
        <f t="shared" si="27"/>
        <v>279395.34000000358</v>
      </c>
      <c r="M75" s="429">
        <f t="shared" si="27"/>
        <v>1589264.4100000039</v>
      </c>
      <c r="N75" s="429">
        <f t="shared" si="27"/>
        <v>90442</v>
      </c>
      <c r="O75" s="429">
        <f t="shared" si="27"/>
        <v>-447752</v>
      </c>
      <c r="P75" s="429">
        <f t="shared" si="27"/>
        <v>0</v>
      </c>
      <c r="Q75" s="429">
        <f>Q15-Q73</f>
        <v>0</v>
      </c>
      <c r="R75" s="429">
        <f t="shared" si="27"/>
        <v>0</v>
      </c>
      <c r="S75" s="429">
        <f t="shared" si="27"/>
        <v>0</v>
      </c>
      <c r="T75" s="429">
        <f t="shared" si="27"/>
        <v>0</v>
      </c>
      <c r="U75" s="429">
        <f t="shared" si="27"/>
        <v>0</v>
      </c>
      <c r="V75" s="429">
        <f t="shared" si="27"/>
        <v>0</v>
      </c>
      <c r="W75" s="429">
        <f t="shared" si="27"/>
        <v>0</v>
      </c>
      <c r="X75" s="429">
        <f t="shared" ref="X75:Y75" si="28">X15-X73</f>
        <v>0</v>
      </c>
      <c r="Y75" s="429">
        <f t="shared" si="28"/>
        <v>0</v>
      </c>
    </row>
    <row r="76" spans="2:25" s="114" customFormat="1">
      <c r="B76" s="412"/>
      <c r="C76" s="117"/>
      <c r="D76" s="407"/>
      <c r="E76" s="40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</row>
    <row r="77" spans="2:25">
      <c r="B77" s="412"/>
      <c r="C77" s="57" t="s">
        <v>222</v>
      </c>
      <c r="D77" s="389"/>
      <c r="E77" s="389"/>
      <c r="F77" s="384"/>
      <c r="G77" s="384"/>
      <c r="H77" s="384"/>
      <c r="I77" s="384"/>
      <c r="J77" s="384"/>
      <c r="K77" s="384"/>
      <c r="L77" s="384"/>
      <c r="M77" s="384"/>
      <c r="N77" s="384"/>
      <c r="O77" s="384"/>
      <c r="P77" s="384"/>
      <c r="Q77" s="384"/>
      <c r="R77" s="384"/>
      <c r="S77" s="384"/>
      <c r="T77" s="384"/>
      <c r="U77" s="384"/>
      <c r="V77" s="384"/>
      <c r="W77" s="384"/>
      <c r="X77" s="384"/>
      <c r="Y77" s="384"/>
    </row>
    <row r="78" spans="2:25">
      <c r="B78" s="412"/>
      <c r="C78" s="162" t="s">
        <v>505</v>
      </c>
      <c r="D78" s="387" t="s">
        <v>12</v>
      </c>
      <c r="E78" s="387"/>
      <c r="F78" s="384"/>
      <c r="G78" s="428">
        <v>-1750028</v>
      </c>
      <c r="H78" s="428">
        <v>-1958462</v>
      </c>
      <c r="I78" s="428">
        <v>-2085809</v>
      </c>
      <c r="J78" s="428">
        <v>-2262864</v>
      </c>
      <c r="K78" s="428">
        <v>-2480763</v>
      </c>
      <c r="L78" s="428">
        <v>-2721390</v>
      </c>
      <c r="M78" s="428">
        <v>-2766255</v>
      </c>
      <c r="N78" s="428">
        <v>-2888608</v>
      </c>
      <c r="O78" s="428">
        <v>-3111437</v>
      </c>
      <c r="P78" s="428"/>
      <c r="Q78" s="428"/>
      <c r="R78" s="428"/>
      <c r="S78" s="428"/>
      <c r="T78" s="428"/>
      <c r="U78" s="428"/>
      <c r="V78" s="428"/>
      <c r="W78" s="428"/>
      <c r="X78" s="428"/>
      <c r="Y78" s="428"/>
    </row>
    <row r="79" spans="2:25">
      <c r="B79" s="412"/>
      <c r="C79" s="162" t="s">
        <v>224</v>
      </c>
      <c r="D79" s="387" t="s">
        <v>12</v>
      </c>
      <c r="E79" s="387"/>
      <c r="F79" s="384"/>
      <c r="G79" s="428">
        <v>-13449526</v>
      </c>
      <c r="H79" s="428">
        <v>-15928185</v>
      </c>
      <c r="I79" s="428">
        <v>-18102738</v>
      </c>
      <c r="J79" s="428">
        <v>-18271663</v>
      </c>
      <c r="K79" s="428">
        <v>-17903348</v>
      </c>
      <c r="L79" s="428">
        <v>-18215811</v>
      </c>
      <c r="M79" s="428">
        <v>-19554828</v>
      </c>
      <c r="N79" s="428">
        <v>-18903267</v>
      </c>
      <c r="O79" s="428">
        <v>-20292212</v>
      </c>
      <c r="P79" s="428"/>
      <c r="Q79" s="428"/>
      <c r="R79" s="428"/>
      <c r="S79" s="428"/>
      <c r="T79" s="428"/>
      <c r="U79" s="428"/>
      <c r="V79" s="428"/>
      <c r="W79" s="428"/>
      <c r="X79" s="428"/>
      <c r="Y79" s="428"/>
    </row>
    <row r="80" spans="2:25">
      <c r="B80" s="412"/>
      <c r="C80" s="162" t="s">
        <v>226</v>
      </c>
      <c r="D80" s="387" t="s">
        <v>12</v>
      </c>
      <c r="E80" s="387"/>
      <c r="F80" s="384"/>
      <c r="G80" s="428">
        <v>-23081861</v>
      </c>
      <c r="H80" s="428">
        <v>-24343621</v>
      </c>
      <c r="I80" s="428">
        <v>-22503694</v>
      </c>
      <c r="J80" s="428">
        <v>-25258042</v>
      </c>
      <c r="K80" s="428">
        <v>-22660392</v>
      </c>
      <c r="L80" s="428">
        <v>-25906661</v>
      </c>
      <c r="M80" s="428">
        <v>-14911396</v>
      </c>
      <c r="N80" s="428">
        <v>-19130071</v>
      </c>
      <c r="O80" s="428">
        <v>-17892353</v>
      </c>
      <c r="P80" s="428"/>
      <c r="Q80" s="428"/>
      <c r="R80" s="428"/>
      <c r="S80" s="428"/>
      <c r="T80" s="428"/>
      <c r="U80" s="428"/>
      <c r="V80" s="428"/>
      <c r="W80" s="428"/>
      <c r="X80" s="428"/>
      <c r="Y80" s="428"/>
    </row>
    <row r="81" spans="2:23">
      <c r="B81" s="412"/>
      <c r="C81" s="117"/>
      <c r="D81" s="407"/>
      <c r="E81" s="407"/>
      <c r="F81" s="384"/>
      <c r="G81" s="384"/>
      <c r="H81" s="384"/>
      <c r="I81" s="384"/>
      <c r="J81" s="384"/>
      <c r="K81" s="384"/>
      <c r="L81" s="384"/>
      <c r="M81" s="384"/>
      <c r="N81" s="384"/>
      <c r="O81" s="384"/>
      <c r="P81" s="384"/>
      <c r="Q81" s="384"/>
      <c r="R81" s="384"/>
      <c r="S81" s="384"/>
      <c r="T81" s="384"/>
      <c r="U81" s="384"/>
      <c r="V81" s="384"/>
      <c r="W81" s="384"/>
    </row>
    <row r="82" spans="2:23">
      <c r="B82" s="412"/>
      <c r="C82" s="117"/>
      <c r="D82" s="415"/>
      <c r="E82" s="415"/>
      <c r="F82" s="384"/>
      <c r="G82" s="384"/>
      <c r="H82" s="384"/>
      <c r="I82" s="384"/>
      <c r="J82" s="384"/>
      <c r="K82" s="384"/>
      <c r="L82" s="384"/>
      <c r="M82" s="384"/>
      <c r="N82" s="384"/>
      <c r="O82" s="384"/>
      <c r="P82" s="384"/>
      <c r="Q82" s="384"/>
      <c r="R82" s="384"/>
      <c r="S82" s="384"/>
      <c r="T82" s="384"/>
      <c r="U82" s="384"/>
      <c r="V82" s="384"/>
      <c r="W82" s="384"/>
    </row>
    <row r="83" spans="2:23">
      <c r="B83" s="412"/>
      <c r="C83" s="117"/>
      <c r="D83" s="407"/>
      <c r="E83" s="407"/>
      <c r="F83" s="384"/>
      <c r="G83" s="384"/>
      <c r="H83" s="384"/>
      <c r="I83" s="384"/>
      <c r="J83" s="384"/>
      <c r="K83" s="384"/>
      <c r="L83" s="384"/>
      <c r="M83" s="384"/>
      <c r="N83" s="384"/>
      <c r="O83" s="384"/>
      <c r="P83" s="384"/>
      <c r="Q83" s="384"/>
      <c r="R83" s="384"/>
      <c r="S83" s="384"/>
      <c r="T83" s="384"/>
      <c r="U83" s="384"/>
      <c r="V83" s="384"/>
      <c r="W83" s="384"/>
    </row>
    <row r="84" spans="2:23">
      <c r="B84" s="412"/>
      <c r="C84" s="117"/>
      <c r="D84" s="407"/>
      <c r="E84" s="407"/>
      <c r="F84" s="384"/>
      <c r="G84" s="384"/>
      <c r="H84" s="384"/>
      <c r="I84" s="384"/>
      <c r="J84" s="384"/>
      <c r="K84" s="384"/>
      <c r="L84" s="384"/>
      <c r="M84" s="384"/>
      <c r="N84" s="384"/>
      <c r="O84" s="384"/>
      <c r="P84" s="384"/>
      <c r="Q84" s="384"/>
      <c r="R84" s="384"/>
      <c r="S84" s="384"/>
      <c r="T84" s="384"/>
      <c r="U84" s="384"/>
      <c r="V84" s="384"/>
      <c r="W84" s="384"/>
    </row>
    <row r="85" spans="2:23">
      <c r="B85" s="412"/>
      <c r="C85" s="117"/>
      <c r="D85" s="407"/>
      <c r="E85" s="407"/>
      <c r="F85" s="384"/>
      <c r="G85" s="384"/>
      <c r="H85" s="384"/>
      <c r="I85" s="384"/>
      <c r="J85" s="384"/>
      <c r="K85" s="384"/>
      <c r="L85" s="384"/>
      <c r="M85" s="384"/>
      <c r="N85" s="384"/>
      <c r="O85" s="384"/>
      <c r="P85" s="384"/>
      <c r="Q85" s="384"/>
      <c r="R85" s="384"/>
      <c r="S85" s="384"/>
      <c r="T85" s="384"/>
      <c r="U85" s="384"/>
      <c r="V85" s="384"/>
      <c r="W85" s="384"/>
    </row>
    <row r="86" spans="2:23">
      <c r="B86" s="412"/>
      <c r="C86" s="117"/>
      <c r="D86" s="407"/>
      <c r="E86" s="407"/>
      <c r="F86" s="384"/>
      <c r="G86" s="384"/>
      <c r="H86" s="384"/>
      <c r="I86" s="384"/>
      <c r="J86" s="384"/>
      <c r="K86" s="384"/>
      <c r="L86" s="384"/>
      <c r="M86" s="384"/>
      <c r="N86" s="384"/>
      <c r="O86" s="384"/>
      <c r="P86" s="384"/>
      <c r="Q86" s="384"/>
      <c r="R86" s="384"/>
      <c r="S86" s="384"/>
      <c r="T86" s="384"/>
      <c r="U86" s="384"/>
      <c r="V86" s="384"/>
      <c r="W86" s="384"/>
    </row>
    <row r="87" spans="2:23">
      <c r="B87" s="412"/>
      <c r="C87" s="117"/>
      <c r="D87" s="407"/>
      <c r="E87" s="407"/>
      <c r="F87" s="384"/>
      <c r="G87" s="384"/>
      <c r="H87" s="384"/>
      <c r="I87" s="384"/>
      <c r="J87" s="384"/>
      <c r="K87" s="384"/>
      <c r="L87" s="384"/>
      <c r="M87" s="384"/>
      <c r="N87" s="384"/>
      <c r="O87" s="384"/>
      <c r="P87" s="384"/>
      <c r="Q87" s="384"/>
      <c r="R87" s="384"/>
      <c r="S87" s="384"/>
      <c r="T87" s="384"/>
      <c r="U87" s="384"/>
      <c r="V87" s="384"/>
      <c r="W87" s="384"/>
    </row>
    <row r="88" spans="2:23">
      <c r="B88" s="412"/>
      <c r="C88" s="117"/>
      <c r="D88" s="407"/>
      <c r="E88" s="407"/>
      <c r="F88" s="384"/>
      <c r="G88" s="384"/>
      <c r="H88" s="384"/>
      <c r="I88" s="384"/>
      <c r="J88" s="384"/>
      <c r="K88" s="384"/>
      <c r="L88" s="384"/>
      <c r="M88" s="384"/>
      <c r="N88" s="384"/>
      <c r="O88" s="384"/>
      <c r="P88" s="384"/>
      <c r="Q88" s="384"/>
      <c r="R88" s="384"/>
      <c r="S88" s="384"/>
      <c r="T88" s="384"/>
      <c r="U88" s="384"/>
      <c r="V88" s="384"/>
      <c r="W88" s="384"/>
    </row>
    <row r="89" spans="2:23">
      <c r="B89" s="412"/>
      <c r="C89" s="117"/>
      <c r="D89" s="407"/>
      <c r="E89" s="407"/>
      <c r="F89" s="384"/>
      <c r="G89" s="384"/>
      <c r="H89" s="384"/>
      <c r="I89" s="384"/>
      <c r="J89" s="384"/>
      <c r="K89" s="384"/>
      <c r="L89" s="384"/>
      <c r="M89" s="384"/>
      <c r="N89" s="384"/>
      <c r="O89" s="384"/>
      <c r="P89" s="384"/>
      <c r="Q89" s="384"/>
      <c r="R89" s="384"/>
      <c r="S89" s="384"/>
      <c r="T89" s="384"/>
      <c r="U89" s="384"/>
      <c r="V89" s="384"/>
      <c r="W89" s="384"/>
    </row>
    <row r="90" spans="2:23">
      <c r="B90" s="412"/>
      <c r="C90" s="117"/>
      <c r="D90" s="407"/>
      <c r="E90" s="407"/>
      <c r="F90" s="384"/>
      <c r="G90" s="384"/>
      <c r="H90" s="384"/>
      <c r="I90" s="384"/>
      <c r="J90" s="384"/>
      <c r="K90" s="384"/>
      <c r="L90" s="384"/>
      <c r="M90" s="384"/>
      <c r="N90" s="384"/>
      <c r="O90" s="384"/>
      <c r="P90" s="384"/>
      <c r="Q90" s="384"/>
      <c r="R90" s="384"/>
      <c r="S90" s="384"/>
      <c r="T90" s="384"/>
      <c r="U90" s="384"/>
      <c r="V90" s="384"/>
      <c r="W90" s="384"/>
    </row>
    <row r="91" spans="2:23">
      <c r="B91" s="412"/>
      <c r="C91" s="117"/>
      <c r="D91" s="407"/>
      <c r="E91" s="407"/>
      <c r="F91" s="384"/>
      <c r="G91" s="384"/>
      <c r="H91" s="384"/>
      <c r="I91" s="384"/>
      <c r="J91" s="384"/>
      <c r="K91" s="384"/>
      <c r="L91" s="384"/>
      <c r="M91" s="384"/>
      <c r="N91" s="384"/>
      <c r="O91" s="384"/>
      <c r="P91" s="384"/>
      <c r="Q91" s="384"/>
      <c r="R91" s="384"/>
      <c r="S91" s="384"/>
      <c r="T91" s="384"/>
      <c r="U91" s="384"/>
      <c r="V91" s="384"/>
      <c r="W91" s="384"/>
    </row>
    <row r="92" spans="2:23">
      <c r="B92" s="412"/>
      <c r="C92" s="117"/>
      <c r="D92" s="407"/>
      <c r="E92" s="407"/>
      <c r="F92" s="384"/>
      <c r="G92" s="384"/>
      <c r="H92" s="384"/>
      <c r="I92" s="384"/>
      <c r="J92" s="384"/>
      <c r="K92" s="384"/>
      <c r="L92" s="384"/>
      <c r="M92" s="384"/>
      <c r="N92" s="384"/>
      <c r="O92" s="384"/>
      <c r="P92" s="384"/>
      <c r="Q92" s="384"/>
      <c r="R92" s="384"/>
      <c r="S92" s="384"/>
      <c r="T92" s="384"/>
      <c r="U92" s="384"/>
      <c r="V92" s="384"/>
      <c r="W92" s="384"/>
    </row>
    <row r="93" spans="2:23">
      <c r="B93" s="412"/>
      <c r="C93" s="117"/>
      <c r="D93" s="407"/>
      <c r="E93" s="407"/>
      <c r="F93" s="384"/>
      <c r="G93" s="384"/>
      <c r="H93" s="384"/>
      <c r="I93" s="384"/>
      <c r="J93" s="384"/>
      <c r="K93" s="384"/>
      <c r="L93" s="384"/>
      <c r="M93" s="384"/>
      <c r="N93" s="384"/>
      <c r="O93" s="384"/>
      <c r="P93" s="384"/>
      <c r="Q93" s="384"/>
      <c r="R93" s="384"/>
      <c r="S93" s="384"/>
      <c r="T93" s="384"/>
      <c r="U93" s="384"/>
      <c r="V93" s="384"/>
      <c r="W93" s="384"/>
    </row>
    <row r="94" spans="2:23">
      <c r="B94" s="412"/>
      <c r="C94" s="117"/>
      <c r="D94" s="407"/>
      <c r="E94" s="407"/>
      <c r="F94" s="384"/>
      <c r="G94" s="384"/>
      <c r="H94" s="384"/>
      <c r="I94" s="384"/>
      <c r="J94" s="384"/>
      <c r="K94" s="384"/>
      <c r="L94" s="384"/>
      <c r="M94" s="384"/>
      <c r="N94" s="384"/>
      <c r="O94" s="384"/>
      <c r="P94" s="384"/>
      <c r="Q94" s="384"/>
      <c r="R94" s="384"/>
      <c r="S94" s="384"/>
      <c r="T94" s="384"/>
      <c r="U94" s="384"/>
      <c r="V94" s="384"/>
      <c r="W94" s="384"/>
    </row>
    <row r="95" spans="2:23">
      <c r="B95" s="412"/>
      <c r="C95" s="117"/>
      <c r="D95" s="407"/>
      <c r="E95" s="407"/>
      <c r="F95" s="384"/>
      <c r="G95" s="384"/>
      <c r="H95" s="384"/>
      <c r="I95" s="384"/>
      <c r="J95" s="384"/>
      <c r="K95" s="384"/>
      <c r="L95" s="384"/>
      <c r="M95" s="384"/>
      <c r="N95" s="384"/>
      <c r="O95" s="384"/>
      <c r="P95" s="384"/>
      <c r="Q95" s="384"/>
      <c r="R95" s="384"/>
      <c r="S95" s="384"/>
      <c r="T95" s="384"/>
      <c r="U95" s="384"/>
      <c r="V95" s="384"/>
      <c r="W95" s="384"/>
    </row>
    <row r="96" spans="2:23">
      <c r="B96" s="412"/>
      <c r="C96" s="117"/>
      <c r="D96" s="407"/>
      <c r="E96" s="407"/>
      <c r="F96" s="384"/>
      <c r="G96" s="384"/>
      <c r="H96" s="384"/>
      <c r="I96" s="384"/>
      <c r="J96" s="384"/>
      <c r="K96" s="384"/>
      <c r="L96" s="384"/>
      <c r="M96" s="384"/>
      <c r="N96" s="384"/>
      <c r="O96" s="384"/>
      <c r="P96" s="384"/>
      <c r="Q96" s="384"/>
      <c r="R96" s="384"/>
      <c r="S96" s="384"/>
      <c r="T96" s="384"/>
      <c r="U96" s="384"/>
      <c r="V96" s="384"/>
      <c r="W96" s="384"/>
    </row>
    <row r="97" spans="2:23">
      <c r="B97" s="412"/>
      <c r="C97" s="117"/>
      <c r="D97" s="407"/>
      <c r="E97" s="407"/>
      <c r="F97" s="384"/>
      <c r="G97" s="384"/>
      <c r="H97" s="384"/>
      <c r="I97" s="384"/>
      <c r="J97" s="384"/>
      <c r="K97" s="384"/>
      <c r="L97" s="384"/>
      <c r="M97" s="384"/>
      <c r="N97" s="384"/>
      <c r="O97" s="384"/>
      <c r="P97" s="384"/>
      <c r="Q97" s="384"/>
      <c r="R97" s="384"/>
      <c r="S97" s="384"/>
      <c r="T97" s="384"/>
      <c r="U97" s="384"/>
      <c r="V97" s="384"/>
      <c r="W97" s="384"/>
    </row>
    <row r="98" spans="2:23">
      <c r="B98" s="412"/>
      <c r="C98" s="117"/>
      <c r="D98" s="407"/>
      <c r="E98" s="407"/>
      <c r="F98" s="384"/>
      <c r="G98" s="384"/>
      <c r="H98" s="384"/>
      <c r="I98" s="384"/>
      <c r="J98" s="384"/>
      <c r="K98" s="384"/>
      <c r="L98" s="384"/>
      <c r="M98" s="384"/>
      <c r="N98" s="384"/>
      <c r="O98" s="384"/>
      <c r="P98" s="384"/>
      <c r="Q98" s="384"/>
      <c r="R98" s="384"/>
      <c r="S98" s="384"/>
      <c r="T98" s="384"/>
      <c r="U98" s="384"/>
      <c r="V98" s="384"/>
      <c r="W98" s="384"/>
    </row>
    <row r="99" spans="2:23">
      <c r="B99" s="412"/>
      <c r="C99" s="117"/>
      <c r="D99" s="407"/>
      <c r="E99" s="407"/>
      <c r="F99" s="384"/>
      <c r="G99" s="384"/>
      <c r="H99" s="384"/>
      <c r="I99" s="384"/>
      <c r="J99" s="384"/>
      <c r="K99" s="384"/>
      <c r="L99" s="384"/>
      <c r="M99" s="384"/>
      <c r="N99" s="384"/>
      <c r="O99" s="384"/>
      <c r="P99" s="384"/>
      <c r="Q99" s="384"/>
      <c r="R99" s="384"/>
      <c r="S99" s="384"/>
      <c r="T99" s="384"/>
      <c r="U99" s="384"/>
      <c r="V99" s="384"/>
      <c r="W99" s="384"/>
    </row>
    <row r="100" spans="2:23">
      <c r="B100" s="412"/>
      <c r="C100" s="117"/>
      <c r="D100" s="407"/>
      <c r="E100" s="407"/>
      <c r="F100" s="384"/>
      <c r="G100" s="384"/>
      <c r="H100" s="384"/>
      <c r="I100" s="384"/>
      <c r="J100" s="384"/>
      <c r="K100" s="384"/>
      <c r="L100" s="384"/>
      <c r="M100" s="384"/>
      <c r="N100" s="384"/>
      <c r="O100" s="384"/>
      <c r="P100" s="384"/>
      <c r="Q100" s="384"/>
      <c r="R100" s="384"/>
      <c r="S100" s="384"/>
      <c r="T100" s="384"/>
      <c r="U100" s="384"/>
      <c r="V100" s="384"/>
      <c r="W100" s="384"/>
    </row>
    <row r="101" spans="2:23">
      <c r="B101" s="412"/>
      <c r="C101" s="117"/>
      <c r="D101" s="407"/>
      <c r="E101" s="407"/>
      <c r="F101" s="384"/>
      <c r="G101" s="384"/>
      <c r="H101" s="384"/>
      <c r="I101" s="384"/>
      <c r="J101" s="384"/>
      <c r="K101" s="384"/>
      <c r="L101" s="384"/>
      <c r="M101" s="384"/>
      <c r="N101" s="384"/>
      <c r="O101" s="384"/>
      <c r="P101" s="384"/>
      <c r="Q101" s="384"/>
      <c r="R101" s="384"/>
      <c r="S101" s="384"/>
      <c r="T101" s="384"/>
      <c r="U101" s="384"/>
      <c r="V101" s="384"/>
      <c r="W101" s="384"/>
    </row>
    <row r="102" spans="2:23">
      <c r="B102" s="412"/>
      <c r="C102" s="117"/>
      <c r="D102" s="407"/>
      <c r="E102" s="407"/>
      <c r="F102" s="384"/>
      <c r="G102" s="384"/>
      <c r="H102" s="384"/>
      <c r="I102" s="384"/>
      <c r="J102" s="384"/>
      <c r="K102" s="384"/>
      <c r="L102" s="384"/>
      <c r="M102" s="384"/>
      <c r="N102" s="384"/>
      <c r="O102" s="384"/>
      <c r="P102" s="384"/>
      <c r="Q102" s="384"/>
      <c r="R102" s="384"/>
      <c r="S102" s="384"/>
      <c r="T102" s="384"/>
      <c r="U102" s="384"/>
      <c r="V102" s="384"/>
      <c r="W102" s="384"/>
    </row>
    <row r="103" spans="2:23">
      <c r="B103" s="412"/>
      <c r="C103" s="117"/>
      <c r="D103" s="407"/>
      <c r="E103" s="407"/>
      <c r="F103" s="384"/>
      <c r="G103" s="384"/>
      <c r="H103" s="384"/>
      <c r="I103" s="384"/>
      <c r="J103" s="384"/>
      <c r="K103" s="384"/>
      <c r="L103" s="384"/>
      <c r="M103" s="384"/>
      <c r="N103" s="384"/>
      <c r="O103" s="384"/>
      <c r="P103" s="384"/>
      <c r="Q103" s="384"/>
      <c r="R103" s="384"/>
      <c r="S103" s="384"/>
      <c r="T103" s="384"/>
      <c r="U103" s="384"/>
      <c r="V103" s="384"/>
      <c r="W103" s="384"/>
    </row>
    <row r="104" spans="2:23">
      <c r="B104" s="412"/>
      <c r="C104" s="117"/>
      <c r="D104" s="407"/>
      <c r="E104" s="407"/>
      <c r="F104" s="384"/>
      <c r="G104" s="384"/>
      <c r="H104" s="384"/>
      <c r="I104" s="384"/>
      <c r="J104" s="384"/>
      <c r="K104" s="384"/>
      <c r="L104" s="384"/>
      <c r="M104" s="384"/>
      <c r="N104" s="384"/>
      <c r="O104" s="384"/>
      <c r="P104" s="384"/>
      <c r="Q104" s="384"/>
      <c r="R104" s="384"/>
      <c r="S104" s="384"/>
      <c r="T104" s="384"/>
      <c r="U104" s="384"/>
      <c r="V104" s="384"/>
      <c r="W104" s="384"/>
    </row>
    <row r="105" spans="2:23">
      <c r="B105" s="412"/>
      <c r="C105" s="117"/>
      <c r="D105" s="407"/>
      <c r="E105" s="407"/>
      <c r="F105" s="384"/>
      <c r="G105" s="384"/>
      <c r="H105" s="384"/>
      <c r="I105" s="384"/>
      <c r="J105" s="384"/>
      <c r="K105" s="384"/>
      <c r="L105" s="384"/>
      <c r="M105" s="384"/>
      <c r="N105" s="384"/>
      <c r="O105" s="384"/>
      <c r="P105" s="384"/>
      <c r="Q105" s="384"/>
      <c r="R105" s="384"/>
      <c r="S105" s="384"/>
      <c r="T105" s="384"/>
      <c r="U105" s="384"/>
      <c r="V105" s="384"/>
      <c r="W105" s="384"/>
    </row>
    <row r="106" spans="2:23">
      <c r="B106" s="412"/>
      <c r="C106" s="117"/>
      <c r="D106" s="407"/>
      <c r="E106" s="407"/>
      <c r="F106" s="384"/>
      <c r="G106" s="384"/>
      <c r="H106" s="384"/>
      <c r="I106" s="384"/>
      <c r="J106" s="384"/>
      <c r="K106" s="384"/>
      <c r="L106" s="384"/>
      <c r="M106" s="384"/>
      <c r="N106" s="384"/>
      <c r="O106" s="384"/>
      <c r="P106" s="384"/>
      <c r="Q106" s="384"/>
      <c r="R106" s="384"/>
      <c r="S106" s="384"/>
      <c r="T106" s="384"/>
      <c r="U106" s="384"/>
      <c r="V106" s="384"/>
      <c r="W106" s="384"/>
    </row>
    <row r="107" spans="2:23">
      <c r="B107" s="412"/>
      <c r="C107" s="117"/>
      <c r="D107" s="407"/>
      <c r="E107" s="407"/>
      <c r="F107" s="384"/>
      <c r="G107" s="384"/>
      <c r="H107" s="384"/>
      <c r="I107" s="384"/>
      <c r="J107" s="384"/>
      <c r="K107" s="384"/>
      <c r="L107" s="384"/>
      <c r="M107" s="384"/>
      <c r="N107" s="384"/>
      <c r="O107" s="384"/>
      <c r="P107" s="384"/>
      <c r="Q107" s="384"/>
      <c r="R107" s="384"/>
      <c r="S107" s="384"/>
      <c r="T107" s="384"/>
      <c r="U107" s="384"/>
      <c r="V107" s="384"/>
      <c r="W107" s="384"/>
    </row>
    <row r="108" spans="2:23">
      <c r="B108" s="412"/>
      <c r="C108" s="117"/>
      <c r="D108" s="407"/>
      <c r="E108" s="407"/>
      <c r="F108" s="384"/>
      <c r="G108" s="384"/>
      <c r="H108" s="384"/>
      <c r="I108" s="384"/>
      <c r="J108" s="384"/>
      <c r="K108" s="384"/>
      <c r="L108" s="384"/>
      <c r="M108" s="384"/>
      <c r="N108" s="384"/>
      <c r="O108" s="384"/>
      <c r="P108" s="384"/>
      <c r="Q108" s="384"/>
      <c r="R108" s="384"/>
      <c r="S108" s="384"/>
      <c r="T108" s="384"/>
      <c r="U108" s="384"/>
      <c r="V108" s="384"/>
      <c r="W108" s="384"/>
    </row>
    <row r="109" spans="2:23">
      <c r="F109" s="337"/>
      <c r="G109" s="337"/>
      <c r="H109" s="337"/>
      <c r="I109" s="337"/>
      <c r="J109" s="337"/>
      <c r="K109" s="337"/>
      <c r="L109" s="385"/>
      <c r="M109" s="385"/>
      <c r="N109" s="385"/>
      <c r="O109" s="385"/>
      <c r="P109" s="337"/>
      <c r="Q109" s="337"/>
      <c r="R109" s="337"/>
      <c r="S109" s="337"/>
      <c r="T109" s="337"/>
      <c r="U109" s="337"/>
      <c r="V109" s="337"/>
      <c r="W109" s="337"/>
    </row>
    <row r="110" spans="2:23">
      <c r="F110" s="337"/>
      <c r="G110" s="337"/>
      <c r="H110" s="337"/>
      <c r="I110" s="337"/>
      <c r="J110" s="337"/>
      <c r="K110" s="337"/>
      <c r="L110" s="385"/>
      <c r="M110" s="385"/>
      <c r="N110" s="385"/>
      <c r="O110" s="385"/>
      <c r="P110" s="337"/>
      <c r="Q110" s="337"/>
      <c r="R110" s="337"/>
      <c r="S110" s="337"/>
      <c r="T110" s="337"/>
      <c r="U110" s="337"/>
      <c r="V110" s="337"/>
      <c r="W110" s="337"/>
    </row>
    <row r="111" spans="2:23"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</row>
    <row r="112" spans="2:23"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</row>
    <row r="113" spans="6:23"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</row>
    <row r="114" spans="6:23"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</row>
    <row r="115" spans="6:23"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</row>
    <row r="116" spans="6:23"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</row>
    <row r="117" spans="6:23"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</row>
    <row r="118" spans="6:23"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</row>
    <row r="119" spans="6:23"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</row>
    <row r="120" spans="6:23"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</row>
    <row r="121" spans="6:23"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</row>
    <row r="122" spans="6:23"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</row>
    <row r="123" spans="6:23"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</row>
    <row r="124" spans="6:23"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</row>
    <row r="125" spans="6:23"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</row>
    <row r="126" spans="6:23"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</row>
    <row r="127" spans="6:23"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</row>
    <row r="128" spans="6:23"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</row>
    <row r="129" spans="6:23"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</row>
    <row r="130" spans="6:23"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</row>
    <row r="131" spans="6:23"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</row>
    <row r="132" spans="6:23"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</row>
    <row r="133" spans="6:23"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</row>
    <row r="134" spans="6:23"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</row>
    <row r="135" spans="6:23"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</row>
    <row r="136" spans="6:23"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</row>
    <row r="137" spans="6:23"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</row>
    <row r="138" spans="6:23"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</row>
    <row r="139" spans="6:23"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</row>
    <row r="140" spans="6:23"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</row>
    <row r="141" spans="6:23"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</row>
    <row r="142" spans="6:23"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</row>
    <row r="143" spans="6:23"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</row>
    <row r="144" spans="6:23"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</row>
    <row r="145" spans="6:23"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</row>
    <row r="146" spans="6:23"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</row>
    <row r="147" spans="6:23"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</row>
    <row r="148" spans="6:23"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</row>
    <row r="149" spans="6:23"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</row>
    <row r="150" spans="6:23"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</row>
    <row r="151" spans="6:23"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</row>
    <row r="152" spans="6:23"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</row>
    <row r="153" spans="6:23"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</row>
    <row r="154" spans="6:23"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</row>
    <row r="155" spans="6:23"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</row>
    <row r="156" spans="6:23"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</row>
    <row r="157" spans="6:23"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</row>
    <row r="158" spans="6:23"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</row>
    <row r="159" spans="6:23"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</row>
    <row r="160" spans="6:23"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</row>
    <row r="161" spans="6:23"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</row>
    <row r="162" spans="6:23"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</row>
    <row r="163" spans="6:23"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</row>
    <row r="164" spans="6:23"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</row>
    <row r="165" spans="6:23"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</row>
    <row r="166" spans="6:23"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</row>
    <row r="167" spans="6:23"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</row>
    <row r="168" spans="6:23"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</row>
    <row r="169" spans="6:23"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</row>
    <row r="170" spans="6:23"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</row>
    <row r="171" spans="6:23"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</row>
    <row r="172" spans="6:23"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</row>
    <row r="173" spans="6:23"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</row>
    <row r="174" spans="6:23"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</row>
    <row r="175" spans="6:23"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</row>
    <row r="176" spans="6:23"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</row>
    <row r="177" spans="6:23"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</row>
    <row r="178" spans="6:23"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</row>
    <row r="179" spans="6:23"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</row>
    <row r="180" spans="6:23"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</row>
    <row r="181" spans="6:23"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</row>
    <row r="182" spans="6:23"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</row>
    <row r="183" spans="6:23"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</row>
    <row r="184" spans="6:23"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</row>
    <row r="185" spans="6:23"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</row>
    <row r="186" spans="6:23"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</row>
    <row r="187" spans="6:23"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</row>
    <row r="188" spans="6:23"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</row>
    <row r="189" spans="6:23"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</row>
    <row r="190" spans="6:23"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</row>
    <row r="191" spans="6:23"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</row>
    <row r="192" spans="6:23"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</row>
    <row r="193" spans="6:23"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</row>
    <row r="194" spans="6:23"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</row>
    <row r="195" spans="6:23"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</row>
    <row r="196" spans="6:23"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</row>
    <row r="197" spans="6:23"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</row>
    <row r="198" spans="6:23"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</row>
    <row r="199" spans="6:23"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</row>
    <row r="200" spans="6:23"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</row>
    <row r="201" spans="6:23"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</row>
    <row r="202" spans="6:23"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</row>
    <row r="203" spans="6:23"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</row>
    <row r="204" spans="6:23"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</row>
    <row r="205" spans="6:23"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</row>
    <row r="206" spans="6:23"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</row>
    <row r="207" spans="6:23"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</row>
    <row r="208" spans="6:23"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</row>
    <row r="209" spans="2:23"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</row>
    <row r="210" spans="2:23"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</row>
    <row r="211" spans="2:23">
      <c r="B211" s="112"/>
    </row>
    <row r="212" spans="2:23">
      <c r="B212" s="112"/>
    </row>
    <row r="213" spans="2:23">
      <c r="B213" s="112"/>
    </row>
    <row r="214" spans="2:23">
      <c r="B214" s="112"/>
    </row>
    <row r="215" spans="2:23">
      <c r="B215" s="112"/>
    </row>
    <row r="216" spans="2:23">
      <c r="B216" s="112"/>
    </row>
    <row r="217" spans="2:23">
      <c r="B217" s="112"/>
    </row>
    <row r="218" spans="2:23">
      <c r="B218" s="112"/>
    </row>
    <row r="219" spans="2:23">
      <c r="B219" s="112"/>
    </row>
    <row r="220" spans="2:23">
      <c r="B220" s="112"/>
    </row>
    <row r="221" spans="2:23">
      <c r="B221" s="112"/>
    </row>
    <row r="222" spans="2:23">
      <c r="B222" s="112"/>
    </row>
    <row r="223" spans="2:23">
      <c r="B223" s="112"/>
    </row>
    <row r="224" spans="2:23">
      <c r="B224" s="112"/>
    </row>
    <row r="225" spans="2:2">
      <c r="B225" s="112"/>
    </row>
    <row r="226" spans="2:2">
      <c r="B226" s="112"/>
    </row>
    <row r="227" spans="2:2">
      <c r="B227" s="112"/>
    </row>
    <row r="228" spans="2:2">
      <c r="B228" s="112"/>
    </row>
    <row r="229" spans="2:2">
      <c r="B229" s="112"/>
    </row>
    <row r="230" spans="2:2">
      <c r="B230" s="112"/>
    </row>
    <row r="231" spans="2:2">
      <c r="B231" s="112"/>
    </row>
    <row r="232" spans="2:2">
      <c r="B232" s="112"/>
    </row>
    <row r="233" spans="2:2">
      <c r="B233" s="112"/>
    </row>
    <row r="234" spans="2:2">
      <c r="B234" s="112"/>
    </row>
    <row r="235" spans="2:2">
      <c r="B235" s="112"/>
    </row>
    <row r="236" spans="2:2">
      <c r="B236" s="112"/>
    </row>
    <row r="237" spans="2:2">
      <c r="B237" s="112"/>
    </row>
    <row r="238" spans="2:2">
      <c r="B238" s="112"/>
    </row>
    <row r="239" spans="2:2">
      <c r="B239" s="112"/>
    </row>
    <row r="240" spans="2:2">
      <c r="B240" s="112"/>
    </row>
    <row r="241" spans="2:2">
      <c r="B241" s="112"/>
    </row>
    <row r="242" spans="2:2">
      <c r="B242" s="112"/>
    </row>
    <row r="243" spans="2:2">
      <c r="B243" s="112"/>
    </row>
    <row r="244" spans="2:2">
      <c r="B244" s="112"/>
    </row>
    <row r="245" spans="2:2">
      <c r="B245" s="112"/>
    </row>
    <row r="246" spans="2:2">
      <c r="B246" s="112"/>
    </row>
    <row r="247" spans="2:2">
      <c r="B247" s="112"/>
    </row>
    <row r="248" spans="2:2">
      <c r="B248" s="112"/>
    </row>
    <row r="249" spans="2:2">
      <c r="B249" s="112"/>
    </row>
    <row r="250" spans="2:2">
      <c r="B250" s="112"/>
    </row>
    <row r="251" spans="2:2">
      <c r="B251" s="112"/>
    </row>
    <row r="252" spans="2:2">
      <c r="B252" s="112"/>
    </row>
    <row r="253" spans="2:2">
      <c r="B253" s="112"/>
    </row>
    <row r="254" spans="2:2">
      <c r="B254" s="112"/>
    </row>
    <row r="255" spans="2:2">
      <c r="B255" s="112"/>
    </row>
    <row r="256" spans="2:2">
      <c r="B256" s="112"/>
    </row>
    <row r="257" spans="2:2">
      <c r="B257" s="112"/>
    </row>
    <row r="258" spans="2:2">
      <c r="B258" s="112"/>
    </row>
    <row r="259" spans="2:2">
      <c r="B259" s="112"/>
    </row>
    <row r="260" spans="2:2">
      <c r="B260" s="112"/>
    </row>
    <row r="261" spans="2:2">
      <c r="B261" s="112"/>
    </row>
    <row r="262" spans="2:2">
      <c r="B262" s="112"/>
    </row>
    <row r="263" spans="2:2">
      <c r="B263" s="112"/>
    </row>
    <row r="264" spans="2:2">
      <c r="B264" s="112"/>
    </row>
    <row r="265" spans="2:2">
      <c r="B265" s="112"/>
    </row>
    <row r="266" spans="2:2">
      <c r="B266" s="112"/>
    </row>
    <row r="267" spans="2:2">
      <c r="B267" s="112"/>
    </row>
    <row r="268" spans="2:2">
      <c r="B268" s="112"/>
    </row>
    <row r="269" spans="2:2">
      <c r="B269" s="112"/>
    </row>
    <row r="270" spans="2:2">
      <c r="B270" s="112"/>
    </row>
    <row r="271" spans="2:2">
      <c r="B271" s="112"/>
    </row>
    <row r="272" spans="2:2">
      <c r="B272" s="112"/>
    </row>
    <row r="273" spans="2:2">
      <c r="B273" s="112"/>
    </row>
    <row r="274" spans="2:2">
      <c r="B274" s="112"/>
    </row>
    <row r="275" spans="2:2">
      <c r="B275" s="112"/>
    </row>
    <row r="276" spans="2:2">
      <c r="B276" s="112"/>
    </row>
    <row r="277" spans="2:2">
      <c r="B277" s="112"/>
    </row>
    <row r="278" spans="2:2">
      <c r="B278" s="112"/>
    </row>
    <row r="279" spans="2:2">
      <c r="B279" s="112"/>
    </row>
    <row r="280" spans="2:2">
      <c r="B280" s="112"/>
    </row>
    <row r="281" spans="2:2">
      <c r="B281" s="112"/>
    </row>
    <row r="282" spans="2:2">
      <c r="B282" s="112"/>
    </row>
    <row r="283" spans="2:2">
      <c r="B283" s="112"/>
    </row>
    <row r="284" spans="2:2">
      <c r="B284" s="112"/>
    </row>
    <row r="285" spans="2:2">
      <c r="B285" s="112"/>
    </row>
    <row r="286" spans="2:2">
      <c r="B286" s="112"/>
    </row>
    <row r="287" spans="2:2">
      <c r="B287" s="112"/>
    </row>
    <row r="288" spans="2:2">
      <c r="B288" s="112"/>
    </row>
    <row r="289" spans="2:2">
      <c r="B289" s="112"/>
    </row>
    <row r="290" spans="2:2">
      <c r="B290" s="112"/>
    </row>
    <row r="291" spans="2:2">
      <c r="B291" s="112"/>
    </row>
    <row r="292" spans="2:2">
      <c r="B292" s="112"/>
    </row>
    <row r="293" spans="2:2">
      <c r="B293" s="112"/>
    </row>
    <row r="294" spans="2:2">
      <c r="B294" s="112"/>
    </row>
    <row r="295" spans="2:2">
      <c r="B295" s="112"/>
    </row>
    <row r="296" spans="2:2">
      <c r="B296" s="112"/>
    </row>
    <row r="297" spans="2:2">
      <c r="B297" s="112"/>
    </row>
    <row r="298" spans="2:2">
      <c r="B298" s="112"/>
    </row>
    <row r="299" spans="2:2">
      <c r="B299" s="112"/>
    </row>
    <row r="300" spans="2:2">
      <c r="B300" s="112"/>
    </row>
    <row r="301" spans="2:2">
      <c r="B301" s="112"/>
    </row>
    <row r="302" spans="2:2">
      <c r="B302" s="112"/>
    </row>
    <row r="303" spans="2:2">
      <c r="B303" s="112"/>
    </row>
    <row r="304" spans="2:2">
      <c r="B304" s="112"/>
    </row>
    <row r="305" spans="2:2">
      <c r="B305" s="112"/>
    </row>
    <row r="306" spans="2:2">
      <c r="B306" s="112"/>
    </row>
    <row r="307" spans="2:2">
      <c r="B307" s="112"/>
    </row>
    <row r="308" spans="2:2">
      <c r="B308" s="112"/>
    </row>
    <row r="309" spans="2:2">
      <c r="B309" s="112"/>
    </row>
    <row r="310" spans="2:2">
      <c r="B310" s="112"/>
    </row>
    <row r="311" spans="2:2">
      <c r="B311" s="112"/>
    </row>
    <row r="312" spans="2:2">
      <c r="B312" s="112"/>
    </row>
    <row r="313" spans="2:2">
      <c r="B313" s="112"/>
    </row>
    <row r="314" spans="2:2">
      <c r="B314" s="112"/>
    </row>
    <row r="315" spans="2:2">
      <c r="B315" s="112"/>
    </row>
    <row r="316" spans="2:2">
      <c r="B316" s="112"/>
    </row>
    <row r="317" spans="2:2">
      <c r="B317" s="112"/>
    </row>
    <row r="318" spans="2:2">
      <c r="B318" s="112"/>
    </row>
    <row r="319" spans="2:2">
      <c r="B319" s="112"/>
    </row>
    <row r="320" spans="2:2">
      <c r="B320" s="112"/>
    </row>
    <row r="321" spans="2:2">
      <c r="B321" s="112"/>
    </row>
    <row r="322" spans="2:2">
      <c r="B322" s="112"/>
    </row>
    <row r="323" spans="2:2">
      <c r="B323" s="112"/>
    </row>
    <row r="324" spans="2:2">
      <c r="B324" s="112"/>
    </row>
    <row r="325" spans="2:2">
      <c r="B325" s="112"/>
    </row>
    <row r="326" spans="2:2">
      <c r="B326" s="112"/>
    </row>
    <row r="327" spans="2:2">
      <c r="B327" s="112"/>
    </row>
    <row r="328" spans="2:2">
      <c r="B328" s="112"/>
    </row>
    <row r="329" spans="2:2">
      <c r="B329" s="112"/>
    </row>
    <row r="330" spans="2:2">
      <c r="B330" s="112"/>
    </row>
    <row r="331" spans="2:2">
      <c r="B331" s="112"/>
    </row>
    <row r="332" spans="2:2">
      <c r="B332" s="112"/>
    </row>
    <row r="333" spans="2:2">
      <c r="B333" s="112"/>
    </row>
    <row r="334" spans="2:2">
      <c r="B334" s="112"/>
    </row>
    <row r="335" spans="2:2">
      <c r="B335" s="112"/>
    </row>
    <row r="336" spans="2:2">
      <c r="B336" s="112"/>
    </row>
    <row r="337" spans="2:2">
      <c r="B337" s="112"/>
    </row>
    <row r="338" spans="2:2">
      <c r="B338" s="112"/>
    </row>
    <row r="339" spans="2:2">
      <c r="B339" s="112"/>
    </row>
    <row r="340" spans="2:2">
      <c r="B340" s="112"/>
    </row>
    <row r="341" spans="2:2">
      <c r="B341" s="112"/>
    </row>
    <row r="342" spans="2:2">
      <c r="B342" s="112"/>
    </row>
    <row r="343" spans="2:2">
      <c r="B343" s="112"/>
    </row>
    <row r="344" spans="2:2">
      <c r="B344" s="112"/>
    </row>
    <row r="345" spans="2:2">
      <c r="B345" s="112"/>
    </row>
    <row r="346" spans="2:2">
      <c r="B346" s="112"/>
    </row>
    <row r="347" spans="2:2">
      <c r="B347" s="112"/>
    </row>
    <row r="348" spans="2:2">
      <c r="B348" s="112"/>
    </row>
    <row r="349" spans="2:2">
      <c r="B349" s="112"/>
    </row>
    <row r="350" spans="2:2">
      <c r="B350" s="112"/>
    </row>
    <row r="351" spans="2:2">
      <c r="B351" s="112"/>
    </row>
    <row r="352" spans="2:2">
      <c r="B352" s="112"/>
    </row>
    <row r="353" spans="2:2">
      <c r="B353" s="112"/>
    </row>
    <row r="354" spans="2:2">
      <c r="B354" s="112"/>
    </row>
    <row r="355" spans="2:2">
      <c r="B355" s="112"/>
    </row>
    <row r="356" spans="2:2">
      <c r="B356" s="112"/>
    </row>
    <row r="357" spans="2:2">
      <c r="B357" s="112"/>
    </row>
    <row r="358" spans="2:2">
      <c r="B358" s="112"/>
    </row>
    <row r="359" spans="2:2">
      <c r="B359" s="112"/>
    </row>
    <row r="360" spans="2:2">
      <c r="B360" s="112"/>
    </row>
    <row r="361" spans="2:2">
      <c r="B361" s="112"/>
    </row>
    <row r="362" spans="2:2">
      <c r="B362" s="112"/>
    </row>
    <row r="363" spans="2:2">
      <c r="B363" s="112"/>
    </row>
    <row r="364" spans="2:2">
      <c r="B364" s="112"/>
    </row>
    <row r="365" spans="2:2">
      <c r="B365" s="112"/>
    </row>
    <row r="366" spans="2:2">
      <c r="B366" s="112"/>
    </row>
    <row r="367" spans="2:2">
      <c r="B367" s="112"/>
    </row>
    <row r="368" spans="2:2">
      <c r="B368" s="112"/>
    </row>
    <row r="369" spans="2:2">
      <c r="B369" s="112"/>
    </row>
    <row r="370" spans="2:2">
      <c r="B370" s="112"/>
    </row>
    <row r="371" spans="2:2">
      <c r="B371" s="112"/>
    </row>
    <row r="372" spans="2:2">
      <c r="B372" s="112"/>
    </row>
    <row r="373" spans="2:2">
      <c r="B373" s="112"/>
    </row>
    <row r="374" spans="2:2">
      <c r="B374" s="112"/>
    </row>
    <row r="375" spans="2:2">
      <c r="B375" s="112"/>
    </row>
    <row r="376" spans="2:2">
      <c r="B376" s="112"/>
    </row>
    <row r="377" spans="2:2">
      <c r="B377" s="112"/>
    </row>
    <row r="378" spans="2:2">
      <c r="B378" s="112"/>
    </row>
    <row r="379" spans="2:2">
      <c r="B379" s="112"/>
    </row>
    <row r="380" spans="2:2">
      <c r="B380" s="112"/>
    </row>
    <row r="381" spans="2:2">
      <c r="B381" s="112"/>
    </row>
    <row r="382" spans="2:2">
      <c r="B382" s="112"/>
    </row>
    <row r="383" spans="2:2">
      <c r="B383" s="112"/>
    </row>
    <row r="384" spans="2:2">
      <c r="B384" s="112"/>
    </row>
    <row r="385" spans="2:2">
      <c r="B385" s="112"/>
    </row>
    <row r="386" spans="2:2">
      <c r="B386" s="112"/>
    </row>
    <row r="387" spans="2:2">
      <c r="B387" s="112"/>
    </row>
    <row r="388" spans="2:2">
      <c r="B388" s="112"/>
    </row>
    <row r="389" spans="2:2">
      <c r="B389" s="112"/>
    </row>
    <row r="390" spans="2:2">
      <c r="B390" s="112"/>
    </row>
    <row r="391" spans="2:2">
      <c r="B391" s="112"/>
    </row>
    <row r="392" spans="2:2">
      <c r="B392" s="112"/>
    </row>
    <row r="393" spans="2:2">
      <c r="B393" s="112"/>
    </row>
    <row r="394" spans="2:2">
      <c r="B394" s="112"/>
    </row>
    <row r="395" spans="2:2">
      <c r="B395" s="112"/>
    </row>
    <row r="396" spans="2:2">
      <c r="B396" s="112"/>
    </row>
    <row r="397" spans="2:2">
      <c r="B397" s="112"/>
    </row>
    <row r="398" spans="2:2">
      <c r="B398" s="112"/>
    </row>
    <row r="399" spans="2:2">
      <c r="B399" s="112"/>
    </row>
    <row r="400" spans="2:2">
      <c r="B400" s="112"/>
    </row>
    <row r="401" spans="2:2">
      <c r="B401" s="112"/>
    </row>
    <row r="402" spans="2:2">
      <c r="B402" s="112"/>
    </row>
    <row r="403" spans="2:2">
      <c r="B403" s="112"/>
    </row>
    <row r="404" spans="2:2">
      <c r="B404" s="112"/>
    </row>
    <row r="405" spans="2:2">
      <c r="B405" s="112"/>
    </row>
    <row r="406" spans="2:2">
      <c r="B406" s="112"/>
    </row>
    <row r="407" spans="2:2">
      <c r="B407" s="112"/>
    </row>
    <row r="408" spans="2:2">
      <c r="B408" s="112"/>
    </row>
    <row r="409" spans="2:2">
      <c r="B409" s="112"/>
    </row>
    <row r="410" spans="2:2">
      <c r="B410" s="112"/>
    </row>
    <row r="411" spans="2:2">
      <c r="B411" s="112"/>
    </row>
    <row r="412" spans="2:2">
      <c r="B412" s="112"/>
    </row>
    <row r="413" spans="2:2">
      <c r="B413" s="112"/>
    </row>
    <row r="414" spans="2:2">
      <c r="B414" s="112"/>
    </row>
    <row r="415" spans="2:2">
      <c r="B415" s="112"/>
    </row>
    <row r="416" spans="2:2">
      <c r="B416" s="112"/>
    </row>
    <row r="417" spans="2:2">
      <c r="B417" s="112"/>
    </row>
    <row r="418" spans="2:2">
      <c r="B418" s="112"/>
    </row>
    <row r="419" spans="2:2">
      <c r="B419" s="112"/>
    </row>
    <row r="420" spans="2:2">
      <c r="B420" s="112"/>
    </row>
    <row r="421" spans="2:2">
      <c r="B421" s="112"/>
    </row>
    <row r="422" spans="2:2">
      <c r="B422" s="112"/>
    </row>
    <row r="423" spans="2:2">
      <c r="B423" s="112"/>
    </row>
    <row r="424" spans="2:2">
      <c r="B424" s="112"/>
    </row>
    <row r="425" spans="2:2">
      <c r="B425" s="112"/>
    </row>
    <row r="426" spans="2:2">
      <c r="B426" s="112"/>
    </row>
    <row r="427" spans="2:2">
      <c r="B427" s="112"/>
    </row>
    <row r="428" spans="2:2">
      <c r="B428" s="112"/>
    </row>
    <row r="429" spans="2:2">
      <c r="B429" s="112"/>
    </row>
    <row r="430" spans="2:2">
      <c r="B430" s="112"/>
    </row>
    <row r="431" spans="2:2">
      <c r="B431" s="112"/>
    </row>
    <row r="432" spans="2:2">
      <c r="B432" s="112"/>
    </row>
    <row r="433" spans="2:2">
      <c r="B433" s="112"/>
    </row>
    <row r="434" spans="2:2">
      <c r="B434" s="112"/>
    </row>
    <row r="435" spans="2:2">
      <c r="B435" s="112"/>
    </row>
    <row r="436" spans="2:2">
      <c r="B436" s="112"/>
    </row>
    <row r="437" spans="2:2">
      <c r="B437" s="112"/>
    </row>
    <row r="438" spans="2:2">
      <c r="B438" s="112"/>
    </row>
    <row r="439" spans="2:2">
      <c r="B439" s="112"/>
    </row>
    <row r="440" spans="2:2">
      <c r="B440" s="112"/>
    </row>
    <row r="441" spans="2:2">
      <c r="B441" s="112"/>
    </row>
    <row r="442" spans="2:2">
      <c r="B442" s="112"/>
    </row>
    <row r="443" spans="2:2">
      <c r="B443" s="112"/>
    </row>
    <row r="444" spans="2:2">
      <c r="B444" s="112"/>
    </row>
    <row r="445" spans="2:2">
      <c r="B445" s="112"/>
    </row>
    <row r="446" spans="2:2">
      <c r="B446" s="112"/>
    </row>
    <row r="447" spans="2:2">
      <c r="B447" s="112"/>
    </row>
    <row r="448" spans="2:2">
      <c r="B448" s="112"/>
    </row>
    <row r="449" spans="2:2">
      <c r="B449" s="112"/>
    </row>
    <row r="450" spans="2:2">
      <c r="B450" s="112"/>
    </row>
    <row r="451" spans="2:2">
      <c r="B451" s="112"/>
    </row>
    <row r="452" spans="2:2">
      <c r="B452" s="112"/>
    </row>
    <row r="453" spans="2:2">
      <c r="B453" s="112"/>
    </row>
    <row r="454" spans="2:2">
      <c r="B454" s="112"/>
    </row>
    <row r="455" spans="2:2">
      <c r="B455" s="112"/>
    </row>
    <row r="456" spans="2:2">
      <c r="B456" s="112"/>
    </row>
    <row r="457" spans="2:2">
      <c r="B457" s="112"/>
    </row>
    <row r="458" spans="2:2">
      <c r="B458" s="112"/>
    </row>
    <row r="459" spans="2:2">
      <c r="B459" s="112"/>
    </row>
    <row r="460" spans="2:2">
      <c r="B460" s="112"/>
    </row>
    <row r="461" spans="2:2">
      <c r="B461" s="112"/>
    </row>
    <row r="462" spans="2:2">
      <c r="B462" s="112"/>
    </row>
    <row r="463" spans="2:2">
      <c r="B463" s="112"/>
    </row>
    <row r="464" spans="2:2">
      <c r="B464" s="112"/>
    </row>
    <row r="465" spans="2:2">
      <c r="B465" s="112"/>
    </row>
    <row r="466" spans="2:2">
      <c r="B466" s="112"/>
    </row>
    <row r="467" spans="2:2">
      <c r="B467" s="112"/>
    </row>
    <row r="468" spans="2:2">
      <c r="B468" s="112"/>
    </row>
    <row r="469" spans="2:2">
      <c r="B469" s="112"/>
    </row>
    <row r="470" spans="2:2">
      <c r="B470" s="112"/>
    </row>
    <row r="471" spans="2:2">
      <c r="B471" s="112"/>
    </row>
  </sheetData>
  <phoneticPr fontId="73" type="noConversion"/>
  <pageMargins left="1.07" right="0.17" top="0.64" bottom="0.72" header="0.5" footer="0.5"/>
  <pageSetup scale="11" fitToWidth="0" orientation="landscape" cellComments="asDisplayed" r:id="rId1"/>
  <headerFooter alignWithMargins="0">
    <oddFooter>&amp;L&amp;D&amp;C&amp;A&amp;R&amp;F</oddFooter>
  </headerFooter>
  <customProperties>
    <customPr name="OrphanNamesChecked" r:id="rId2"/>
  </customProperties>
  <ignoredErrors>
    <ignoredError sqref="K81 F75:Q75 X75:Y75 R75:W75 B1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6">
    <tabColor theme="6" tint="0.39997558519241921"/>
  </sheetPr>
  <dimension ref="A1:AJ155"/>
  <sheetViews>
    <sheetView showGridLines="0" zoomScale="90" zoomScaleNormal="90" workbookViewId="0">
      <pane xSplit="12" ySplit="6" topLeftCell="M7" activePane="bottomRight" state="frozen"/>
      <selection pane="topRight" activeCell="M1" sqref="M1"/>
      <selection pane="bottomLeft" activeCell="A7" sqref="A7"/>
      <selection pane="bottomRight" activeCell="W5" sqref="W5:AF5"/>
    </sheetView>
  </sheetViews>
  <sheetFormatPr defaultColWidth="9.1796875" defaultRowHeight="14.5" outlineLevelRow="1" outlineLevelCol="1"/>
  <cols>
    <col min="1" max="5" width="4.7265625" style="50" customWidth="1"/>
    <col min="6" max="6" width="33.81640625" style="50" bestFit="1" customWidth="1"/>
    <col min="7" max="7" width="23.81640625" style="50" hidden="1" customWidth="1" outlineLevel="1"/>
    <col min="8" max="8" width="9.1796875" style="50" hidden="1" customWidth="1" outlineLevel="1"/>
    <col min="9" max="12" width="2.7265625" style="50" hidden="1" customWidth="1" outlineLevel="1"/>
    <col min="13" max="13" width="2.7265625" style="50" customWidth="1" collapsed="1"/>
    <col min="14" max="18" width="16.81640625" style="50" hidden="1" customWidth="1" outlineLevel="1"/>
    <col min="19" max="19" width="16.81640625" style="50" customWidth="1" collapsed="1"/>
    <col min="20" max="29" width="16.81640625" style="50" customWidth="1"/>
    <col min="30" max="32" width="14.7265625" style="50" customWidth="1"/>
    <col min="33" max="16384" width="9.1796875" style="50"/>
  </cols>
  <sheetData>
    <row r="1" spans="1:34">
      <c r="A1" s="120" t="str">
        <f>Summary!A1</f>
        <v>{COMPANY NAME}</v>
      </c>
      <c r="B1" s="121"/>
      <c r="C1" s="121"/>
      <c r="D1" s="121"/>
      <c r="E1" s="121"/>
      <c r="F1" s="121"/>
      <c r="G1" s="122"/>
      <c r="H1" s="123"/>
      <c r="I1" s="123"/>
      <c r="J1" s="123"/>
      <c r="K1" s="123"/>
      <c r="L1" s="123"/>
      <c r="M1" s="123"/>
      <c r="N1" s="124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</row>
    <row r="2" spans="1:34">
      <c r="A2" s="120" t="s">
        <v>261</v>
      </c>
      <c r="B2" s="127"/>
      <c r="C2" s="127"/>
      <c r="D2" s="127"/>
      <c r="E2" s="127"/>
      <c r="F2" s="127"/>
      <c r="G2" s="128"/>
      <c r="H2" s="129"/>
      <c r="I2" s="129"/>
      <c r="J2" s="129"/>
      <c r="K2" s="129"/>
      <c r="L2" s="129"/>
      <c r="M2" s="129"/>
      <c r="N2" s="130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</row>
    <row r="3" spans="1:34">
      <c r="A3" s="132" t="s">
        <v>13</v>
      </c>
      <c r="B3" s="133"/>
      <c r="C3" s="133"/>
      <c r="D3" s="133"/>
      <c r="E3" s="133"/>
      <c r="F3" s="133"/>
      <c r="G3" s="134"/>
      <c r="H3" s="135"/>
      <c r="I3" s="135"/>
      <c r="J3" s="135"/>
      <c r="K3" s="135"/>
      <c r="L3" s="135"/>
      <c r="M3" s="135"/>
      <c r="N3" s="133"/>
      <c r="O3" s="136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</row>
    <row r="4" spans="1:34" ht="15" thickBot="1">
      <c r="A4" s="139"/>
      <c r="B4" s="140"/>
      <c r="C4" s="140"/>
      <c r="D4" s="140"/>
      <c r="E4" s="140"/>
      <c r="F4" s="140"/>
      <c r="G4" s="141"/>
      <c r="H4" s="142"/>
      <c r="I4" s="142"/>
      <c r="J4" s="142"/>
      <c r="K4" s="142"/>
      <c r="L4" s="142"/>
      <c r="M4" s="142"/>
      <c r="N4" s="143"/>
      <c r="O4" s="144"/>
      <c r="P4" s="145"/>
      <c r="Q4" s="146"/>
      <c r="R4" s="57"/>
      <c r="S4" s="147"/>
      <c r="V4" s="504"/>
    </row>
    <row r="5" spans="1:34" ht="15" thickBot="1">
      <c r="A5" s="77"/>
      <c r="B5" s="57"/>
      <c r="C5" s="57"/>
      <c r="D5" s="57"/>
      <c r="E5" s="57"/>
      <c r="F5" s="57"/>
      <c r="G5" s="56"/>
      <c r="H5" s="95"/>
      <c r="I5" s="95"/>
      <c r="J5" s="95"/>
      <c r="K5" s="95"/>
      <c r="L5" s="95"/>
      <c r="M5" s="95"/>
      <c r="N5" s="148" t="s">
        <v>51</v>
      </c>
      <c r="O5" s="149" t="s">
        <v>51</v>
      </c>
      <c r="P5" s="149" t="s">
        <v>51</v>
      </c>
      <c r="Q5" s="149" t="s">
        <v>51</v>
      </c>
      <c r="R5" s="149" t="s">
        <v>51</v>
      </c>
      <c r="S5" s="149" t="s">
        <v>51</v>
      </c>
      <c r="T5" s="149" t="s">
        <v>51</v>
      </c>
      <c r="U5" s="149" t="s">
        <v>51</v>
      </c>
      <c r="V5" s="149" t="s">
        <v>51</v>
      </c>
      <c r="W5" s="98" t="s">
        <v>51</v>
      </c>
      <c r="X5" s="98" t="s">
        <v>51</v>
      </c>
      <c r="Y5" s="98" t="s">
        <v>51</v>
      </c>
      <c r="Z5" s="98" t="s">
        <v>51</v>
      </c>
      <c r="AA5" s="98" t="s">
        <v>51</v>
      </c>
      <c r="AB5" s="98" t="s">
        <v>51</v>
      </c>
      <c r="AC5" s="98" t="s">
        <v>51</v>
      </c>
      <c r="AD5" s="98" t="s">
        <v>51</v>
      </c>
      <c r="AE5" s="98" t="s">
        <v>51</v>
      </c>
      <c r="AF5" s="98" t="s">
        <v>51</v>
      </c>
    </row>
    <row r="6" spans="1:34">
      <c r="A6" s="150" t="s">
        <v>53</v>
      </c>
      <c r="B6" s="151"/>
      <c r="C6" s="151"/>
      <c r="D6" s="151"/>
      <c r="E6" s="151"/>
      <c r="F6" s="151"/>
      <c r="G6" s="404" t="s">
        <v>262</v>
      </c>
      <c r="H6" s="153"/>
      <c r="I6" s="154"/>
      <c r="J6" s="154"/>
      <c r="K6" s="154"/>
      <c r="L6" s="154"/>
      <c r="M6" s="154"/>
      <c r="N6" s="100" t="s">
        <v>434</v>
      </c>
      <c r="O6" s="100" t="s">
        <v>435</v>
      </c>
      <c r="P6" s="100" t="s">
        <v>436</v>
      </c>
      <c r="Q6" s="100" t="s">
        <v>437</v>
      </c>
      <c r="R6" s="100" t="s">
        <v>438</v>
      </c>
      <c r="S6" s="100" t="s">
        <v>439</v>
      </c>
      <c r="T6" s="100" t="s">
        <v>440</v>
      </c>
      <c r="U6" s="100" t="s">
        <v>441</v>
      </c>
      <c r="V6" s="100" t="s">
        <v>442</v>
      </c>
      <c r="W6" s="100" t="s">
        <v>434</v>
      </c>
      <c r="X6" s="100" t="s">
        <v>435</v>
      </c>
      <c r="Y6" s="100" t="s">
        <v>436</v>
      </c>
      <c r="Z6" s="100" t="s">
        <v>437</v>
      </c>
      <c r="AA6" s="100" t="s">
        <v>438</v>
      </c>
      <c r="AB6" s="100" t="s">
        <v>439</v>
      </c>
      <c r="AC6" s="100" t="s">
        <v>440</v>
      </c>
      <c r="AD6" s="100" t="s">
        <v>441</v>
      </c>
      <c r="AE6" s="100" t="s">
        <v>442</v>
      </c>
      <c r="AF6" s="100" t="s">
        <v>443</v>
      </c>
    </row>
    <row r="8" spans="1:34">
      <c r="A8" s="463" t="s">
        <v>299</v>
      </c>
      <c r="B8" s="464"/>
      <c r="C8" s="464"/>
      <c r="D8" s="464"/>
      <c r="E8" s="464"/>
      <c r="F8" s="464"/>
      <c r="G8" s="465"/>
      <c r="H8" s="466"/>
      <c r="I8" s="466"/>
      <c r="J8" s="466"/>
      <c r="K8" s="466"/>
      <c r="L8" s="466"/>
      <c r="M8" s="466"/>
      <c r="N8" s="467"/>
      <c r="O8" s="467"/>
      <c r="P8" s="467"/>
      <c r="Q8" s="468"/>
      <c r="R8" s="468"/>
      <c r="S8" s="468"/>
      <c r="T8" s="468"/>
      <c r="U8" s="468"/>
      <c r="V8" s="468"/>
      <c r="W8" s="468"/>
      <c r="X8" s="468"/>
      <c r="Y8" s="468"/>
      <c r="Z8" s="468"/>
      <c r="AA8" s="468"/>
      <c r="AB8" s="468"/>
      <c r="AC8" s="468"/>
      <c r="AD8" s="468"/>
      <c r="AE8" s="468"/>
      <c r="AF8" s="468"/>
    </row>
    <row r="9" spans="1:34">
      <c r="A9" s="455" t="s">
        <v>300</v>
      </c>
      <c r="B9" s="456"/>
      <c r="C9" s="456"/>
      <c r="D9" s="456"/>
      <c r="E9" s="456"/>
      <c r="F9" s="456"/>
      <c r="G9" s="457"/>
      <c r="H9" s="458"/>
      <c r="I9" s="458"/>
      <c r="J9" s="458"/>
      <c r="K9" s="458"/>
      <c r="L9" s="458"/>
      <c r="M9" s="458"/>
      <c r="N9" s="461"/>
      <c r="O9" s="461"/>
      <c r="P9" s="461"/>
      <c r="Q9" s="462"/>
      <c r="R9" s="462"/>
      <c r="S9" s="462"/>
      <c r="T9" s="462"/>
      <c r="U9" s="462"/>
      <c r="V9" s="462"/>
      <c r="W9" s="462"/>
      <c r="X9" s="462"/>
      <c r="Y9" s="462"/>
      <c r="Z9" s="462"/>
      <c r="AA9" s="462"/>
      <c r="AB9" s="462"/>
      <c r="AC9" s="462"/>
      <c r="AD9" s="462"/>
      <c r="AE9" s="462"/>
      <c r="AF9" s="462"/>
    </row>
    <row r="10" spans="1:34">
      <c r="A10" s="77"/>
      <c r="B10" s="57"/>
      <c r="C10" s="57"/>
      <c r="D10" s="57"/>
      <c r="E10" s="57"/>
      <c r="F10" s="57"/>
      <c r="G10" s="56"/>
      <c r="H10" s="95"/>
      <c r="I10" s="95"/>
      <c r="J10" s="95"/>
      <c r="K10" s="95"/>
      <c r="L10" s="95"/>
      <c r="M10" s="95"/>
      <c r="N10" s="159"/>
      <c r="O10" s="159"/>
      <c r="P10" s="159"/>
      <c r="Q10" s="160"/>
      <c r="R10" s="160"/>
      <c r="S10" s="156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</row>
    <row r="11" spans="1:34">
      <c r="A11" s="77" t="s">
        <v>301</v>
      </c>
      <c r="B11" s="57"/>
      <c r="C11" s="57"/>
      <c r="D11" s="57"/>
      <c r="E11" s="57"/>
      <c r="F11" s="57"/>
      <c r="G11" s="56"/>
      <c r="H11" s="95"/>
      <c r="I11" s="95"/>
      <c r="J11" s="95"/>
      <c r="K11" s="95"/>
      <c r="L11" s="95"/>
      <c r="M11" s="95"/>
      <c r="N11" s="159"/>
      <c r="O11" s="159"/>
      <c r="P11" s="159"/>
      <c r="Q11" s="160"/>
      <c r="R11" s="160"/>
      <c r="S11" s="161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</row>
    <row r="12" spans="1:34" outlineLevel="1">
      <c r="A12" s="162"/>
      <c r="B12" s="163" t="str">
        <f>A99</f>
        <v>Petty cash</v>
      </c>
      <c r="C12" s="163"/>
      <c r="D12" s="163"/>
      <c r="E12" s="163"/>
      <c r="F12" s="163"/>
      <c r="G12" s="164"/>
      <c r="H12" s="165"/>
      <c r="I12" s="165"/>
      <c r="J12" s="165"/>
      <c r="K12" s="165"/>
      <c r="L12" s="165"/>
      <c r="M12" s="165"/>
      <c r="N12" s="166">
        <f t="shared" ref="N12:R16" si="0">N99</f>
        <v>4050</v>
      </c>
      <c r="O12" s="166">
        <f t="shared" si="0"/>
        <v>4300</v>
      </c>
      <c r="P12" s="166">
        <f t="shared" si="0"/>
        <v>4350</v>
      </c>
      <c r="Q12" s="166">
        <f t="shared" si="0"/>
        <v>6200</v>
      </c>
      <c r="R12" s="166">
        <f t="shared" si="0"/>
        <v>1500</v>
      </c>
      <c r="S12" s="166">
        <f t="shared" ref="S12:U12" si="1">S99</f>
        <v>800</v>
      </c>
      <c r="T12" s="166">
        <f t="shared" si="1"/>
        <v>800</v>
      </c>
      <c r="U12" s="166">
        <f t="shared" si="1"/>
        <v>784</v>
      </c>
      <c r="V12" s="166">
        <f t="shared" ref="V12:AA12" si="2">V99</f>
        <v>700</v>
      </c>
      <c r="W12" s="166">
        <f t="shared" si="2"/>
        <v>0</v>
      </c>
      <c r="X12" s="166">
        <f t="shared" si="2"/>
        <v>0</v>
      </c>
      <c r="Y12" s="166">
        <f t="shared" si="2"/>
        <v>0</v>
      </c>
      <c r="Z12" s="166">
        <f t="shared" si="2"/>
        <v>0</v>
      </c>
      <c r="AA12" s="166">
        <f t="shared" si="2"/>
        <v>0</v>
      </c>
      <c r="AB12" s="166">
        <f t="shared" ref="AB12:AD12" si="3">AB99</f>
        <v>0</v>
      </c>
      <c r="AC12" s="166">
        <f t="shared" si="3"/>
        <v>0</v>
      </c>
      <c r="AD12" s="166">
        <f t="shared" si="3"/>
        <v>0</v>
      </c>
      <c r="AE12" s="166">
        <f t="shared" ref="AE12:AF12" si="4">AE99</f>
        <v>0</v>
      </c>
      <c r="AF12" s="166">
        <f t="shared" si="4"/>
        <v>0</v>
      </c>
      <c r="AG12" s="167"/>
      <c r="AH12" s="167"/>
    </row>
    <row r="13" spans="1:34" outlineLevel="1">
      <c r="A13" s="162"/>
      <c r="B13" s="163" t="str">
        <f>A100</f>
        <v>Cash</v>
      </c>
      <c r="C13" s="163"/>
      <c r="D13" s="163"/>
      <c r="E13" s="163"/>
      <c r="F13" s="163"/>
      <c r="G13" s="164"/>
      <c r="H13" s="165"/>
      <c r="I13" s="165"/>
      <c r="J13" s="165"/>
      <c r="K13" s="165"/>
      <c r="L13" s="165"/>
      <c r="M13" s="165"/>
      <c r="N13" s="166">
        <f t="shared" si="0"/>
        <v>399535</v>
      </c>
      <c r="O13" s="166">
        <f t="shared" si="0"/>
        <v>4218726</v>
      </c>
      <c r="P13" s="166">
        <f t="shared" si="0"/>
        <v>4820603</v>
      </c>
      <c r="Q13" s="166">
        <f t="shared" si="0"/>
        <v>5603195</v>
      </c>
      <c r="R13" s="166">
        <f t="shared" si="0"/>
        <v>5618755</v>
      </c>
      <c r="S13" s="166">
        <f t="shared" ref="S13:U13" si="5">S100</f>
        <v>8047307</v>
      </c>
      <c r="T13" s="166">
        <f t="shared" si="5"/>
        <v>5794491</v>
      </c>
      <c r="U13" s="166">
        <f t="shared" si="5"/>
        <v>5355851</v>
      </c>
      <c r="V13" s="166">
        <f t="shared" ref="V13:AA13" si="6">V100</f>
        <v>5118284</v>
      </c>
      <c r="W13" s="166">
        <f t="shared" si="6"/>
        <v>0</v>
      </c>
      <c r="X13" s="166">
        <f t="shared" si="6"/>
        <v>0</v>
      </c>
      <c r="Y13" s="166">
        <f t="shared" si="6"/>
        <v>0</v>
      </c>
      <c r="Z13" s="166">
        <f t="shared" si="6"/>
        <v>0</v>
      </c>
      <c r="AA13" s="166">
        <f t="shared" si="6"/>
        <v>0</v>
      </c>
      <c r="AB13" s="166">
        <f t="shared" ref="AB13:AD13" si="7">AB100</f>
        <v>0</v>
      </c>
      <c r="AC13" s="166">
        <f t="shared" si="7"/>
        <v>0</v>
      </c>
      <c r="AD13" s="166">
        <f t="shared" si="7"/>
        <v>0</v>
      </c>
      <c r="AE13" s="166">
        <f t="shared" ref="AE13:AF13" si="8">AE100</f>
        <v>0</v>
      </c>
      <c r="AF13" s="166">
        <f t="shared" si="8"/>
        <v>0</v>
      </c>
      <c r="AG13" s="167"/>
      <c r="AH13" s="167"/>
    </row>
    <row r="14" spans="1:34" outlineLevel="1">
      <c r="A14" s="162"/>
      <c r="B14" s="163" t="str">
        <f>A101</f>
        <v>Cash in banks</v>
      </c>
      <c r="C14" s="163"/>
      <c r="D14" s="163"/>
      <c r="E14" s="163"/>
      <c r="F14" s="163"/>
      <c r="G14" s="164"/>
      <c r="H14" s="165"/>
      <c r="I14" s="165"/>
      <c r="J14" s="165"/>
      <c r="K14" s="165"/>
      <c r="L14" s="165"/>
      <c r="M14" s="165"/>
      <c r="N14" s="166">
        <f t="shared" si="0"/>
        <v>7145598</v>
      </c>
      <c r="O14" s="166">
        <f t="shared" si="0"/>
        <v>9791854</v>
      </c>
      <c r="P14" s="166">
        <f t="shared" si="0"/>
        <v>15881995</v>
      </c>
      <c r="Q14" s="166">
        <f t="shared" si="0"/>
        <v>16342265</v>
      </c>
      <c r="R14" s="166">
        <f t="shared" si="0"/>
        <v>17516874</v>
      </c>
      <c r="S14" s="166">
        <f t="shared" ref="S14:U14" si="9">S101</f>
        <v>17643599</v>
      </c>
      <c r="T14" s="166">
        <f t="shared" si="9"/>
        <v>22754877</v>
      </c>
      <c r="U14" s="166">
        <f t="shared" si="9"/>
        <v>14735032</v>
      </c>
      <c r="V14" s="166">
        <f t="shared" ref="V14:AA14" si="10">V101</f>
        <v>17528894</v>
      </c>
      <c r="W14" s="166">
        <f t="shared" si="10"/>
        <v>0</v>
      </c>
      <c r="X14" s="166">
        <f t="shared" si="10"/>
        <v>0</v>
      </c>
      <c r="Y14" s="166">
        <f t="shared" si="10"/>
        <v>0</v>
      </c>
      <c r="Z14" s="166">
        <f t="shared" si="10"/>
        <v>0</v>
      </c>
      <c r="AA14" s="166">
        <f t="shared" si="10"/>
        <v>0</v>
      </c>
      <c r="AB14" s="166">
        <f t="shared" ref="AB14:AD14" si="11">AB101</f>
        <v>0</v>
      </c>
      <c r="AC14" s="166">
        <f t="shared" si="11"/>
        <v>0</v>
      </c>
      <c r="AD14" s="166">
        <f t="shared" si="11"/>
        <v>0</v>
      </c>
      <c r="AE14" s="166">
        <f t="shared" ref="AE14:AF14" si="12">AE101</f>
        <v>0</v>
      </c>
      <c r="AF14" s="166">
        <f t="shared" si="12"/>
        <v>0</v>
      </c>
      <c r="AG14" s="167"/>
      <c r="AH14" s="167"/>
    </row>
    <row r="15" spans="1:34" outlineLevel="1">
      <c r="A15" s="162"/>
      <c r="B15" s="163" t="str">
        <f>A102</f>
        <v>Cash held by investment manager</v>
      </c>
      <c r="C15" s="163"/>
      <c r="D15" s="163"/>
      <c r="E15" s="163"/>
      <c r="F15" s="163"/>
      <c r="G15" s="164"/>
      <c r="H15" s="165"/>
      <c r="I15" s="165"/>
      <c r="J15" s="165"/>
      <c r="K15" s="165"/>
      <c r="L15" s="165"/>
      <c r="M15" s="165"/>
      <c r="N15" s="166">
        <f t="shared" si="0"/>
        <v>2919359</v>
      </c>
      <c r="O15" s="166">
        <f t="shared" si="0"/>
        <v>3696227</v>
      </c>
      <c r="P15" s="166">
        <f t="shared" si="0"/>
        <v>4778745</v>
      </c>
      <c r="Q15" s="166">
        <f t="shared" si="0"/>
        <v>3785557</v>
      </c>
      <c r="R15" s="166">
        <f t="shared" si="0"/>
        <v>6732554</v>
      </c>
      <c r="S15" s="166">
        <f t="shared" ref="S15:U15" si="13">S102</f>
        <v>9380389</v>
      </c>
      <c r="T15" s="166">
        <f t="shared" si="13"/>
        <v>4498433</v>
      </c>
      <c r="U15" s="166">
        <f t="shared" si="13"/>
        <v>4685289</v>
      </c>
      <c r="V15" s="166">
        <f t="shared" ref="V15:AA15" si="14">V102</f>
        <v>3925659</v>
      </c>
      <c r="W15" s="166">
        <f t="shared" si="14"/>
        <v>0</v>
      </c>
      <c r="X15" s="166">
        <f t="shared" si="14"/>
        <v>0</v>
      </c>
      <c r="Y15" s="166">
        <f t="shared" si="14"/>
        <v>0</v>
      </c>
      <c r="Z15" s="166">
        <f t="shared" si="14"/>
        <v>0</v>
      </c>
      <c r="AA15" s="166">
        <f t="shared" si="14"/>
        <v>0</v>
      </c>
      <c r="AB15" s="166">
        <f t="shared" ref="AB15:AD15" si="15">AB102</f>
        <v>0</v>
      </c>
      <c r="AC15" s="166">
        <f t="shared" si="15"/>
        <v>0</v>
      </c>
      <c r="AD15" s="166">
        <f t="shared" si="15"/>
        <v>0</v>
      </c>
      <c r="AE15" s="166">
        <f t="shared" ref="AE15:AF15" si="16">AE102</f>
        <v>0</v>
      </c>
      <c r="AF15" s="166">
        <f t="shared" si="16"/>
        <v>0</v>
      </c>
      <c r="AG15" s="167"/>
      <c r="AH15" s="167"/>
    </row>
    <row r="16" spans="1:34" outlineLevel="1">
      <c r="A16" s="162"/>
      <c r="B16" s="168" t="str">
        <f>A103</f>
        <v>Restricted cash</v>
      </c>
      <c r="C16" s="168"/>
      <c r="D16" s="168"/>
      <c r="E16" s="168"/>
      <c r="F16" s="168"/>
      <c r="G16" s="169"/>
      <c r="H16" s="170"/>
      <c r="I16" s="170"/>
      <c r="J16" s="170"/>
      <c r="K16" s="170"/>
      <c r="L16" s="170"/>
      <c r="M16" s="170"/>
      <c r="N16" s="166">
        <f t="shared" si="0"/>
        <v>0</v>
      </c>
      <c r="O16" s="166">
        <f t="shared" si="0"/>
        <v>100239</v>
      </c>
      <c r="P16" s="166">
        <f t="shared" si="0"/>
        <v>70051</v>
      </c>
      <c r="Q16" s="166">
        <f t="shared" si="0"/>
        <v>243903</v>
      </c>
      <c r="R16" s="166">
        <f t="shared" si="0"/>
        <v>111955</v>
      </c>
      <c r="S16" s="166">
        <f t="shared" ref="S16:U16" si="17">S103</f>
        <v>184230</v>
      </c>
      <c r="T16" s="166">
        <f t="shared" si="17"/>
        <v>365259</v>
      </c>
      <c r="U16" s="166">
        <f t="shared" si="17"/>
        <v>294142</v>
      </c>
      <c r="V16" s="166">
        <f t="shared" ref="V16:AA16" si="18">V103</f>
        <v>284790</v>
      </c>
      <c r="W16" s="166">
        <f t="shared" si="18"/>
        <v>0</v>
      </c>
      <c r="X16" s="166">
        <f t="shared" si="18"/>
        <v>0</v>
      </c>
      <c r="Y16" s="166">
        <f t="shared" si="18"/>
        <v>0</v>
      </c>
      <c r="Z16" s="166">
        <f t="shared" si="18"/>
        <v>0</v>
      </c>
      <c r="AA16" s="166">
        <f t="shared" si="18"/>
        <v>0</v>
      </c>
      <c r="AB16" s="166">
        <f t="shared" ref="AB16:AD16" si="19">AB103</f>
        <v>0</v>
      </c>
      <c r="AC16" s="166">
        <f t="shared" si="19"/>
        <v>0</v>
      </c>
      <c r="AD16" s="166">
        <f t="shared" si="19"/>
        <v>0</v>
      </c>
      <c r="AE16" s="166">
        <f t="shared" ref="AE16:AF16" si="20">AE103</f>
        <v>0</v>
      </c>
      <c r="AF16" s="166">
        <f t="shared" si="20"/>
        <v>0</v>
      </c>
      <c r="AG16" s="167"/>
      <c r="AH16" s="167"/>
    </row>
    <row r="17" spans="1:36">
      <c r="A17" s="162"/>
      <c r="B17" s="11"/>
      <c r="C17" s="11"/>
      <c r="D17" s="11"/>
      <c r="E17" s="11"/>
      <c r="F17" s="11"/>
      <c r="G17" s="171"/>
      <c r="H17" s="154"/>
      <c r="I17" s="154"/>
      <c r="J17" s="154"/>
      <c r="K17" s="154"/>
      <c r="L17" s="154"/>
      <c r="M17" s="154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67"/>
      <c r="AH17" s="167"/>
    </row>
    <row r="18" spans="1:36" s="57" customFormat="1" collapsed="1">
      <c r="A18" s="77"/>
      <c r="B18" s="173"/>
      <c r="C18" s="173"/>
      <c r="D18" s="173"/>
      <c r="E18" s="173"/>
      <c r="F18" s="174" t="s">
        <v>80</v>
      </c>
      <c r="G18" s="175"/>
      <c r="H18" s="173"/>
      <c r="I18" s="173"/>
      <c r="J18" s="173"/>
      <c r="K18" s="173"/>
      <c r="L18" s="173"/>
      <c r="M18" s="173"/>
      <c r="N18" s="176">
        <f>SUM(N12:N17)</f>
        <v>10468542</v>
      </c>
      <c r="O18" s="176">
        <f>SUM(O12:O17)</f>
        <v>17811346</v>
      </c>
      <c r="P18" s="176">
        <f>SUM(P12:P17)</f>
        <v>25555744</v>
      </c>
      <c r="Q18" s="176">
        <f>SUM(Q12:Q17)</f>
        <v>25981120</v>
      </c>
      <c r="R18" s="176">
        <f>SUM(R12:R17)</f>
        <v>29981638</v>
      </c>
      <c r="S18" s="176">
        <f t="shared" ref="S18:U18" si="21">SUM(S12:S17)</f>
        <v>35256325</v>
      </c>
      <c r="T18" s="176">
        <f t="shared" si="21"/>
        <v>33413860</v>
      </c>
      <c r="U18" s="176">
        <f t="shared" si="21"/>
        <v>25071098</v>
      </c>
      <c r="V18" s="176">
        <f t="shared" ref="V18:AA18" si="22">SUM(V12:V17)</f>
        <v>26858327</v>
      </c>
      <c r="W18" s="176">
        <f t="shared" si="22"/>
        <v>0</v>
      </c>
      <c r="X18" s="176">
        <f t="shared" si="22"/>
        <v>0</v>
      </c>
      <c r="Y18" s="176">
        <f t="shared" si="22"/>
        <v>0</v>
      </c>
      <c r="Z18" s="176">
        <f t="shared" si="22"/>
        <v>0</v>
      </c>
      <c r="AA18" s="176">
        <f t="shared" si="22"/>
        <v>0</v>
      </c>
      <c r="AB18" s="176">
        <f t="shared" ref="AB18:AD18" si="23">SUM(AB12:AB17)</f>
        <v>0</v>
      </c>
      <c r="AC18" s="176">
        <f t="shared" si="23"/>
        <v>0</v>
      </c>
      <c r="AD18" s="176">
        <f t="shared" si="23"/>
        <v>0</v>
      </c>
      <c r="AE18" s="176">
        <f t="shared" ref="AE18:AF18" si="24">SUM(AE12:AE17)</f>
        <v>0</v>
      </c>
      <c r="AF18" s="176">
        <f t="shared" si="24"/>
        <v>0</v>
      </c>
      <c r="AG18" s="63"/>
      <c r="AH18" s="63"/>
    </row>
    <row r="19" spans="1:36" s="57" customFormat="1">
      <c r="A19" s="139"/>
      <c r="B19" s="140"/>
      <c r="C19" s="140"/>
      <c r="D19" s="140"/>
      <c r="E19" s="140"/>
      <c r="F19" s="140"/>
      <c r="G19" s="141"/>
      <c r="H19" s="142"/>
      <c r="I19" s="142"/>
      <c r="J19" s="142"/>
      <c r="K19" s="142"/>
      <c r="L19" s="142"/>
      <c r="M19" s="142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</row>
    <row r="20" spans="1:36" s="57" customFormat="1">
      <c r="A20" s="139" t="s">
        <v>302</v>
      </c>
      <c r="B20" s="140"/>
      <c r="C20" s="140"/>
      <c r="D20" s="140"/>
      <c r="E20" s="140"/>
      <c r="F20" s="140"/>
      <c r="G20" s="141"/>
      <c r="H20" s="142"/>
      <c r="I20" s="142"/>
      <c r="J20" s="142"/>
      <c r="K20" s="142"/>
      <c r="L20" s="142"/>
      <c r="M20" s="142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</row>
    <row r="21" spans="1:36" outlineLevel="1">
      <c r="A21" s="162"/>
      <c r="B21" s="163" t="str">
        <f t="shared" ref="B21:B29" si="25">A104</f>
        <v>Accounts receivable</v>
      </c>
      <c r="C21" s="163"/>
      <c r="D21" s="163"/>
      <c r="E21" s="163"/>
      <c r="F21" s="163"/>
      <c r="G21" s="164"/>
      <c r="H21" s="165"/>
      <c r="I21" s="165"/>
      <c r="J21" s="165"/>
      <c r="K21" s="165"/>
      <c r="L21" s="165"/>
      <c r="M21" s="165"/>
      <c r="N21" s="166">
        <f t="shared" ref="N21:R29" si="26">N104</f>
        <v>39700175</v>
      </c>
      <c r="O21" s="166">
        <f t="shared" si="26"/>
        <v>201507366</v>
      </c>
      <c r="P21" s="166">
        <f t="shared" si="26"/>
        <v>5560257</v>
      </c>
      <c r="Q21" s="166">
        <f t="shared" si="26"/>
        <v>18744313</v>
      </c>
      <c r="R21" s="166">
        <f t="shared" si="26"/>
        <v>8766110</v>
      </c>
      <c r="S21" s="166">
        <f t="shared" ref="S21:U21" si="27">S104</f>
        <v>4771991</v>
      </c>
      <c r="T21" s="166">
        <f t="shared" si="27"/>
        <v>364228</v>
      </c>
      <c r="U21" s="166">
        <f t="shared" si="27"/>
        <v>2029739</v>
      </c>
      <c r="V21" s="166">
        <f t="shared" ref="V21:AA21" si="28">V104</f>
        <v>2253707</v>
      </c>
      <c r="W21" s="166">
        <f t="shared" si="28"/>
        <v>0</v>
      </c>
      <c r="X21" s="166">
        <f t="shared" si="28"/>
        <v>0</v>
      </c>
      <c r="Y21" s="166">
        <f t="shared" si="28"/>
        <v>0</v>
      </c>
      <c r="Z21" s="166">
        <f t="shared" si="28"/>
        <v>0</v>
      </c>
      <c r="AA21" s="166">
        <f t="shared" si="28"/>
        <v>0</v>
      </c>
      <c r="AB21" s="166">
        <f t="shared" ref="AB21:AD21" si="29">AB104</f>
        <v>0</v>
      </c>
      <c r="AC21" s="166">
        <f t="shared" si="29"/>
        <v>0</v>
      </c>
      <c r="AD21" s="166">
        <f t="shared" si="29"/>
        <v>0</v>
      </c>
      <c r="AE21" s="166">
        <f t="shared" ref="AE21:AF21" si="30">AE104</f>
        <v>0</v>
      </c>
      <c r="AF21" s="166">
        <f t="shared" si="30"/>
        <v>0</v>
      </c>
      <c r="AG21" s="167"/>
      <c r="AH21" s="167"/>
    </row>
    <row r="22" spans="1:36" outlineLevel="1">
      <c r="A22" s="162"/>
      <c r="B22" s="163" t="str">
        <f t="shared" si="25"/>
        <v>Due from other fund</v>
      </c>
      <c r="C22" s="163"/>
      <c r="D22" s="163"/>
      <c r="E22" s="163"/>
      <c r="F22" s="163"/>
      <c r="G22" s="164"/>
      <c r="H22" s="165"/>
      <c r="I22" s="165"/>
      <c r="J22" s="165"/>
      <c r="K22" s="165"/>
      <c r="L22" s="165"/>
      <c r="M22" s="165"/>
      <c r="N22" s="166">
        <f t="shared" si="26"/>
        <v>0</v>
      </c>
      <c r="O22" s="166">
        <f t="shared" si="26"/>
        <v>50000</v>
      </c>
      <c r="P22" s="166">
        <f t="shared" si="26"/>
        <v>454654</v>
      </c>
      <c r="Q22" s="166">
        <f t="shared" si="26"/>
        <v>0</v>
      </c>
      <c r="R22" s="166">
        <f t="shared" si="26"/>
        <v>0</v>
      </c>
      <c r="S22" s="166">
        <f t="shared" ref="S22:U22" si="31">S105</f>
        <v>0</v>
      </c>
      <c r="T22" s="166">
        <f t="shared" si="31"/>
        <v>0</v>
      </c>
      <c r="U22" s="166">
        <f t="shared" si="31"/>
        <v>0</v>
      </c>
      <c r="V22" s="166">
        <f t="shared" ref="V22:AA22" si="32">V105</f>
        <v>0</v>
      </c>
      <c r="W22" s="166">
        <f t="shared" si="32"/>
        <v>0</v>
      </c>
      <c r="X22" s="166">
        <f t="shared" si="32"/>
        <v>0</v>
      </c>
      <c r="Y22" s="166">
        <f t="shared" si="32"/>
        <v>0</v>
      </c>
      <c r="Z22" s="166">
        <f t="shared" si="32"/>
        <v>0</v>
      </c>
      <c r="AA22" s="166">
        <f t="shared" si="32"/>
        <v>0</v>
      </c>
      <c r="AB22" s="166">
        <f t="shared" ref="AB22:AD22" si="33">AB105</f>
        <v>0</v>
      </c>
      <c r="AC22" s="166">
        <f t="shared" si="33"/>
        <v>0</v>
      </c>
      <c r="AD22" s="166">
        <f t="shared" si="33"/>
        <v>0</v>
      </c>
      <c r="AE22" s="166">
        <f t="shared" ref="AE22:AF22" si="34">AE105</f>
        <v>0</v>
      </c>
      <c r="AF22" s="166">
        <f t="shared" si="34"/>
        <v>0</v>
      </c>
      <c r="AG22" s="167"/>
      <c r="AH22" s="167"/>
    </row>
    <row r="23" spans="1:36" outlineLevel="1">
      <c r="A23" s="162"/>
      <c r="B23" s="163" t="str">
        <f t="shared" si="25"/>
        <v>Interest and dividends receivable</v>
      </c>
      <c r="C23" s="163"/>
      <c r="D23" s="163"/>
      <c r="E23" s="163"/>
      <c r="F23" s="163"/>
      <c r="G23" s="164"/>
      <c r="H23" s="165"/>
      <c r="I23" s="165"/>
      <c r="J23" s="165"/>
      <c r="K23" s="165"/>
      <c r="L23" s="165"/>
      <c r="M23" s="165"/>
      <c r="N23" s="166">
        <f t="shared" si="26"/>
        <v>748377</v>
      </c>
      <c r="O23" s="166">
        <f t="shared" si="26"/>
        <v>384966</v>
      </c>
      <c r="P23" s="166">
        <f t="shared" si="26"/>
        <v>292428</v>
      </c>
      <c r="Q23" s="166">
        <f t="shared" si="26"/>
        <v>337273</v>
      </c>
      <c r="R23" s="166">
        <f t="shared" si="26"/>
        <v>55935</v>
      </c>
      <c r="S23" s="166">
        <f t="shared" ref="S23:U23" si="35">S106</f>
        <v>41741</v>
      </c>
      <c r="T23" s="166">
        <f t="shared" si="35"/>
        <v>69291</v>
      </c>
      <c r="U23" s="166">
        <f t="shared" si="35"/>
        <v>83425</v>
      </c>
      <c r="V23" s="166">
        <f t="shared" ref="V23:AA23" si="36">V106</f>
        <v>172599</v>
      </c>
      <c r="W23" s="166">
        <f t="shared" si="36"/>
        <v>0</v>
      </c>
      <c r="X23" s="166">
        <f t="shared" si="36"/>
        <v>0</v>
      </c>
      <c r="Y23" s="166">
        <f t="shared" si="36"/>
        <v>0</v>
      </c>
      <c r="Z23" s="166">
        <f t="shared" si="36"/>
        <v>0</v>
      </c>
      <c r="AA23" s="166">
        <f t="shared" si="36"/>
        <v>0</v>
      </c>
      <c r="AB23" s="166">
        <f t="shared" ref="AB23:AD23" si="37">AB106</f>
        <v>0</v>
      </c>
      <c r="AC23" s="166">
        <f t="shared" si="37"/>
        <v>0</v>
      </c>
      <c r="AD23" s="166">
        <f t="shared" si="37"/>
        <v>0</v>
      </c>
      <c r="AE23" s="166">
        <f t="shared" ref="AE23:AF23" si="38">AE106</f>
        <v>0</v>
      </c>
      <c r="AF23" s="166">
        <f t="shared" si="38"/>
        <v>0</v>
      </c>
    </row>
    <row r="24" spans="1:36" outlineLevel="1">
      <c r="A24" s="162"/>
      <c r="B24" s="163" t="str">
        <f t="shared" si="25"/>
        <v>Inventory, prepaid items and other assets</v>
      </c>
      <c r="C24" s="163"/>
      <c r="D24" s="163"/>
      <c r="E24" s="163"/>
      <c r="F24" s="163"/>
      <c r="G24" s="164"/>
      <c r="H24" s="165"/>
      <c r="I24" s="165"/>
      <c r="J24" s="165"/>
      <c r="K24" s="165"/>
      <c r="L24" s="165"/>
      <c r="M24" s="165"/>
      <c r="N24" s="166">
        <f t="shared" si="26"/>
        <v>714653</v>
      </c>
      <c r="O24" s="166">
        <f t="shared" si="26"/>
        <v>734051</v>
      </c>
      <c r="P24" s="166">
        <f t="shared" si="26"/>
        <v>630840</v>
      </c>
      <c r="Q24" s="166">
        <f t="shared" si="26"/>
        <v>892233</v>
      </c>
      <c r="R24" s="166">
        <f t="shared" si="26"/>
        <v>1208421</v>
      </c>
      <c r="S24" s="166">
        <f t="shared" ref="S24:U24" si="39">S107</f>
        <v>1295094</v>
      </c>
      <c r="T24" s="166">
        <f t="shared" si="39"/>
        <v>1120233</v>
      </c>
      <c r="U24" s="166">
        <f t="shared" si="39"/>
        <v>1166716</v>
      </c>
      <c r="V24" s="166">
        <f t="shared" ref="V24:AA24" si="40">V107</f>
        <v>1181746</v>
      </c>
      <c r="W24" s="166">
        <f t="shared" si="40"/>
        <v>0</v>
      </c>
      <c r="X24" s="166">
        <f t="shared" si="40"/>
        <v>0</v>
      </c>
      <c r="Y24" s="166">
        <f t="shared" si="40"/>
        <v>0</v>
      </c>
      <c r="Z24" s="166">
        <f t="shared" si="40"/>
        <v>0</v>
      </c>
      <c r="AA24" s="166">
        <f t="shared" si="40"/>
        <v>0</v>
      </c>
      <c r="AB24" s="166">
        <f t="shared" ref="AB24:AD24" si="41">AB107</f>
        <v>0</v>
      </c>
      <c r="AC24" s="166">
        <f t="shared" si="41"/>
        <v>0</v>
      </c>
      <c r="AD24" s="166">
        <f t="shared" si="41"/>
        <v>0</v>
      </c>
      <c r="AE24" s="166">
        <f t="shared" ref="AE24:AF24" si="42">AE107</f>
        <v>0</v>
      </c>
      <c r="AF24" s="166">
        <f t="shared" si="42"/>
        <v>0</v>
      </c>
    </row>
    <row r="25" spans="1:36" outlineLevel="1">
      <c r="A25" s="162"/>
      <c r="B25" s="163" t="str">
        <f t="shared" si="25"/>
        <v>Notes receivable - due within one year</v>
      </c>
      <c r="C25" s="163"/>
      <c r="D25" s="163"/>
      <c r="E25" s="163"/>
      <c r="F25" s="163"/>
      <c r="G25" s="164"/>
      <c r="H25" s="165"/>
      <c r="I25" s="165"/>
      <c r="J25" s="165"/>
      <c r="K25" s="165"/>
      <c r="L25" s="165"/>
      <c r="M25" s="165"/>
      <c r="N25" s="166">
        <f t="shared" si="26"/>
        <v>2513763</v>
      </c>
      <c r="O25" s="166">
        <f t="shared" si="26"/>
        <v>4011579</v>
      </c>
      <c r="P25" s="166">
        <f t="shared" si="26"/>
        <v>4897615</v>
      </c>
      <c r="Q25" s="166">
        <f t="shared" si="26"/>
        <v>4318104</v>
      </c>
      <c r="R25" s="166">
        <f t="shared" si="26"/>
        <v>2658512</v>
      </c>
      <c r="S25" s="166">
        <f t="shared" ref="S25:U25" si="43">S108</f>
        <v>2524267</v>
      </c>
      <c r="T25" s="166">
        <f t="shared" si="43"/>
        <v>2146507</v>
      </c>
      <c r="U25" s="166">
        <f t="shared" si="43"/>
        <v>1775892</v>
      </c>
      <c r="V25" s="166">
        <f t="shared" ref="V25:AA25" si="44">V108</f>
        <v>1477076</v>
      </c>
      <c r="W25" s="166">
        <f t="shared" si="44"/>
        <v>0</v>
      </c>
      <c r="X25" s="166">
        <f t="shared" si="44"/>
        <v>0</v>
      </c>
      <c r="Y25" s="166">
        <f t="shared" si="44"/>
        <v>0</v>
      </c>
      <c r="Z25" s="166">
        <f t="shared" si="44"/>
        <v>0</v>
      </c>
      <c r="AA25" s="166">
        <f t="shared" si="44"/>
        <v>0</v>
      </c>
      <c r="AB25" s="166">
        <f t="shared" ref="AB25:AD25" si="45">AB108</f>
        <v>0</v>
      </c>
      <c r="AC25" s="166">
        <f t="shared" si="45"/>
        <v>0</v>
      </c>
      <c r="AD25" s="166">
        <f t="shared" si="45"/>
        <v>0</v>
      </c>
      <c r="AE25" s="166">
        <f t="shared" ref="AE25:AF25" si="46">AE108</f>
        <v>0</v>
      </c>
      <c r="AF25" s="166">
        <f t="shared" si="46"/>
        <v>0</v>
      </c>
    </row>
    <row r="26" spans="1:36" outlineLevel="1">
      <c r="A26" s="162"/>
      <c r="B26" s="163" t="str">
        <f t="shared" si="25"/>
        <v>Notes receivable - due after one year</v>
      </c>
      <c r="C26" s="163"/>
      <c r="D26" s="163"/>
      <c r="E26" s="163"/>
      <c r="F26" s="163"/>
      <c r="G26" s="164"/>
      <c r="H26" s="165"/>
      <c r="I26" s="165"/>
      <c r="J26" s="165"/>
      <c r="K26" s="165"/>
      <c r="L26" s="165"/>
      <c r="M26" s="165"/>
      <c r="N26" s="166">
        <f t="shared" si="26"/>
        <v>8104820</v>
      </c>
      <c r="O26" s="166">
        <f t="shared" si="26"/>
        <v>16342693</v>
      </c>
      <c r="P26" s="166">
        <f t="shared" si="26"/>
        <v>15036875</v>
      </c>
      <c r="Q26" s="166">
        <f t="shared" si="26"/>
        <v>12073155</v>
      </c>
      <c r="R26" s="166">
        <f t="shared" si="26"/>
        <v>9378030</v>
      </c>
      <c r="S26" s="166">
        <f t="shared" ref="S26:U26" si="47">S109</f>
        <v>6688754</v>
      </c>
      <c r="T26" s="166">
        <f t="shared" si="47"/>
        <v>4136100</v>
      </c>
      <c r="U26" s="166">
        <f t="shared" si="47"/>
        <v>3546701</v>
      </c>
      <c r="V26" s="166">
        <f t="shared" ref="V26:AA26" si="48">V109</f>
        <v>4977748</v>
      </c>
      <c r="W26" s="166">
        <f t="shared" si="48"/>
        <v>0</v>
      </c>
      <c r="X26" s="166">
        <f t="shared" si="48"/>
        <v>0</v>
      </c>
      <c r="Y26" s="166">
        <f t="shared" si="48"/>
        <v>0</v>
      </c>
      <c r="Z26" s="166">
        <f t="shared" si="48"/>
        <v>0</v>
      </c>
      <c r="AA26" s="166">
        <f t="shared" si="48"/>
        <v>0</v>
      </c>
      <c r="AB26" s="166">
        <f t="shared" ref="AB26:AD26" si="49">AB109</f>
        <v>0</v>
      </c>
      <c r="AC26" s="166">
        <f t="shared" si="49"/>
        <v>0</v>
      </c>
      <c r="AD26" s="166">
        <f t="shared" si="49"/>
        <v>0</v>
      </c>
      <c r="AE26" s="166">
        <f t="shared" ref="AE26:AF26" si="50">AE109</f>
        <v>0</v>
      </c>
      <c r="AF26" s="166">
        <f t="shared" si="50"/>
        <v>0</v>
      </c>
    </row>
    <row r="27" spans="1:36" outlineLevel="1">
      <c r="A27" s="162"/>
      <c r="B27" s="163" t="str">
        <f t="shared" si="25"/>
        <v>Security Deposits</v>
      </c>
      <c r="C27" s="163"/>
      <c r="D27" s="163"/>
      <c r="E27" s="163"/>
      <c r="F27" s="163"/>
      <c r="G27" s="164"/>
      <c r="H27" s="165"/>
      <c r="I27" s="165"/>
      <c r="J27" s="165"/>
      <c r="K27" s="165"/>
      <c r="L27" s="165"/>
      <c r="M27" s="165"/>
      <c r="N27" s="166">
        <f t="shared" si="26"/>
        <v>1578</v>
      </c>
      <c r="O27" s="166">
        <f t="shared" si="26"/>
        <v>451578</v>
      </c>
      <c r="P27" s="166">
        <f t="shared" si="26"/>
        <v>0</v>
      </c>
      <c r="Q27" s="166">
        <f t="shared" si="26"/>
        <v>0</v>
      </c>
      <c r="R27" s="166">
        <f t="shared" si="26"/>
        <v>0</v>
      </c>
      <c r="S27" s="166">
        <f t="shared" ref="S27:U27" si="51">S110</f>
        <v>0</v>
      </c>
      <c r="T27" s="166">
        <f t="shared" si="51"/>
        <v>0</v>
      </c>
      <c r="U27" s="166">
        <f t="shared" si="51"/>
        <v>0</v>
      </c>
      <c r="V27" s="166">
        <f t="shared" ref="V27:AA27" si="52">V110</f>
        <v>0</v>
      </c>
      <c r="W27" s="166">
        <f t="shared" si="52"/>
        <v>0</v>
      </c>
      <c r="X27" s="166">
        <f t="shared" si="52"/>
        <v>0</v>
      </c>
      <c r="Y27" s="166">
        <f t="shared" si="52"/>
        <v>0</v>
      </c>
      <c r="Z27" s="166">
        <f t="shared" si="52"/>
        <v>0</v>
      </c>
      <c r="AA27" s="166">
        <f t="shared" si="52"/>
        <v>0</v>
      </c>
      <c r="AB27" s="166">
        <f t="shared" ref="AB27:AD27" si="53">AB110</f>
        <v>0</v>
      </c>
      <c r="AC27" s="166">
        <f t="shared" si="53"/>
        <v>0</v>
      </c>
      <c r="AD27" s="166">
        <f t="shared" si="53"/>
        <v>0</v>
      </c>
      <c r="AE27" s="166">
        <f t="shared" ref="AE27:AF27" si="54">AE110</f>
        <v>0</v>
      </c>
      <c r="AF27" s="166">
        <f t="shared" si="54"/>
        <v>0</v>
      </c>
      <c r="AG27" s="167"/>
      <c r="AH27" s="167"/>
    </row>
    <row r="28" spans="1:36" outlineLevel="1">
      <c r="A28" s="162"/>
      <c r="B28" s="163" t="str">
        <f t="shared" si="25"/>
        <v>Investments</v>
      </c>
      <c r="C28" s="163"/>
      <c r="D28" s="163"/>
      <c r="E28" s="163"/>
      <c r="F28" s="163"/>
      <c r="G28" s="164"/>
      <c r="H28" s="165"/>
      <c r="I28" s="165"/>
      <c r="J28" s="165"/>
      <c r="K28" s="165"/>
      <c r="L28" s="165"/>
      <c r="M28" s="165"/>
      <c r="N28" s="166">
        <f t="shared" si="26"/>
        <v>357704227</v>
      </c>
      <c r="O28" s="166">
        <f t="shared" si="26"/>
        <v>340994653</v>
      </c>
      <c r="P28" s="166">
        <f t="shared" si="26"/>
        <v>342664961</v>
      </c>
      <c r="Q28" s="166">
        <f t="shared" si="26"/>
        <v>370286868</v>
      </c>
      <c r="R28" s="166">
        <f t="shared" si="26"/>
        <v>354154373</v>
      </c>
      <c r="S28" s="166">
        <f t="shared" ref="S28:U28" si="55">S111</f>
        <v>334345909</v>
      </c>
      <c r="T28" s="166">
        <f t="shared" si="55"/>
        <v>370321707</v>
      </c>
      <c r="U28" s="166">
        <f t="shared" si="55"/>
        <v>397828863</v>
      </c>
      <c r="V28" s="166">
        <f t="shared" ref="V28:AA28" si="56">V111</f>
        <v>406095881</v>
      </c>
      <c r="W28" s="166">
        <f t="shared" si="56"/>
        <v>0</v>
      </c>
      <c r="X28" s="166">
        <f t="shared" si="56"/>
        <v>0</v>
      </c>
      <c r="Y28" s="166">
        <f t="shared" si="56"/>
        <v>0</v>
      </c>
      <c r="Z28" s="166">
        <f t="shared" si="56"/>
        <v>0</v>
      </c>
      <c r="AA28" s="166">
        <f t="shared" si="56"/>
        <v>0</v>
      </c>
      <c r="AB28" s="166">
        <f t="shared" ref="AB28:AD28" si="57">AB111</f>
        <v>0</v>
      </c>
      <c r="AC28" s="166">
        <f t="shared" si="57"/>
        <v>0</v>
      </c>
      <c r="AD28" s="166">
        <f t="shared" si="57"/>
        <v>0</v>
      </c>
      <c r="AE28" s="166">
        <f t="shared" ref="AE28:AF28" si="58">AE111</f>
        <v>0</v>
      </c>
      <c r="AF28" s="166">
        <f t="shared" si="58"/>
        <v>0</v>
      </c>
    </row>
    <row r="29" spans="1:36" outlineLevel="1">
      <c r="A29" s="162"/>
      <c r="B29" s="178" t="str">
        <f t="shared" si="25"/>
        <v>Capital assets - net</v>
      </c>
      <c r="C29" s="163"/>
      <c r="D29" s="163"/>
      <c r="E29" s="163"/>
      <c r="F29" s="163"/>
      <c r="G29" s="164"/>
      <c r="H29" s="165"/>
      <c r="I29" s="165"/>
      <c r="J29" s="165"/>
      <c r="K29" s="165"/>
      <c r="L29" s="165"/>
      <c r="M29" s="165"/>
      <c r="N29" s="166">
        <f t="shared" si="26"/>
        <v>26987107</v>
      </c>
      <c r="O29" s="166">
        <f t="shared" si="26"/>
        <v>27225075</v>
      </c>
      <c r="P29" s="166">
        <f t="shared" si="26"/>
        <v>252198625</v>
      </c>
      <c r="Q29" s="166">
        <f t="shared" si="26"/>
        <v>257128051</v>
      </c>
      <c r="R29" s="166">
        <f t="shared" si="26"/>
        <v>254927397</v>
      </c>
      <c r="S29" s="166">
        <f t="shared" ref="S29:U29" si="59">S112</f>
        <v>252871530</v>
      </c>
      <c r="T29" s="166">
        <f t="shared" si="59"/>
        <v>250931473</v>
      </c>
      <c r="U29" s="166">
        <f t="shared" si="59"/>
        <v>249052159</v>
      </c>
      <c r="V29" s="166">
        <f t="shared" ref="V29:AA29" si="60">V112</f>
        <v>247480101</v>
      </c>
      <c r="W29" s="166">
        <f t="shared" si="60"/>
        <v>0</v>
      </c>
      <c r="X29" s="166">
        <f t="shared" si="60"/>
        <v>0</v>
      </c>
      <c r="Y29" s="166">
        <f t="shared" si="60"/>
        <v>0</v>
      </c>
      <c r="Z29" s="166">
        <f t="shared" si="60"/>
        <v>0</v>
      </c>
      <c r="AA29" s="166">
        <f t="shared" si="60"/>
        <v>0</v>
      </c>
      <c r="AB29" s="166">
        <f t="shared" ref="AB29:AD29" si="61">AB112</f>
        <v>0</v>
      </c>
      <c r="AC29" s="166">
        <f t="shared" si="61"/>
        <v>0</v>
      </c>
      <c r="AD29" s="166">
        <f t="shared" si="61"/>
        <v>0</v>
      </c>
      <c r="AE29" s="166">
        <f t="shared" ref="AE29:AF29" si="62">AE112</f>
        <v>0</v>
      </c>
      <c r="AF29" s="166">
        <f t="shared" si="62"/>
        <v>0</v>
      </c>
      <c r="AG29" s="167"/>
      <c r="AH29" s="167"/>
      <c r="AJ29" s="167"/>
    </row>
    <row r="30" spans="1:36" s="57" customFormat="1">
      <c r="A30" s="77"/>
      <c r="C30" s="173"/>
      <c r="D30" s="173"/>
      <c r="E30" s="173"/>
      <c r="F30" s="174" t="s">
        <v>114</v>
      </c>
      <c r="G30" s="175"/>
      <c r="H30" s="173"/>
      <c r="I30" s="173"/>
      <c r="J30" s="173"/>
      <c r="K30" s="173"/>
      <c r="L30" s="173"/>
      <c r="M30" s="173"/>
      <c r="N30" s="176">
        <f>SUM(N18:N29)</f>
        <v>446943242</v>
      </c>
      <c r="O30" s="176">
        <f>SUM(O18:O29)</f>
        <v>609513307</v>
      </c>
      <c r="P30" s="176">
        <f>SUM(P18:P29)</f>
        <v>647291999</v>
      </c>
      <c r="Q30" s="176">
        <f>SUM(Q18:Q29)</f>
        <v>689761117</v>
      </c>
      <c r="R30" s="176">
        <f>SUM(R18:R29)</f>
        <v>661130416</v>
      </c>
      <c r="S30" s="176">
        <f t="shared" ref="S30:U30" si="63">SUM(S18:S29)</f>
        <v>637795611</v>
      </c>
      <c r="T30" s="176">
        <f t="shared" si="63"/>
        <v>662503399</v>
      </c>
      <c r="U30" s="176">
        <f t="shared" si="63"/>
        <v>680554593</v>
      </c>
      <c r="V30" s="176">
        <f t="shared" ref="V30:AA30" si="64">SUM(V18:V29)</f>
        <v>690497185</v>
      </c>
      <c r="W30" s="176">
        <f t="shared" si="64"/>
        <v>0</v>
      </c>
      <c r="X30" s="176">
        <f t="shared" si="64"/>
        <v>0</v>
      </c>
      <c r="Y30" s="176">
        <f t="shared" si="64"/>
        <v>0</v>
      </c>
      <c r="Z30" s="176">
        <f t="shared" si="64"/>
        <v>0</v>
      </c>
      <c r="AA30" s="176">
        <f t="shared" si="64"/>
        <v>0</v>
      </c>
      <c r="AB30" s="176">
        <f t="shared" ref="AB30:AD30" si="65">SUM(AB18:AB29)</f>
        <v>0</v>
      </c>
      <c r="AC30" s="176">
        <f t="shared" si="65"/>
        <v>0</v>
      </c>
      <c r="AD30" s="176">
        <f t="shared" si="65"/>
        <v>0</v>
      </c>
      <c r="AE30" s="176">
        <f t="shared" ref="AE30:AF30" si="66">SUM(AE18:AE29)</f>
        <v>0</v>
      </c>
      <c r="AF30" s="176">
        <f t="shared" si="66"/>
        <v>0</v>
      </c>
      <c r="AG30" s="63"/>
      <c r="AH30" s="63"/>
      <c r="AI30" s="179"/>
      <c r="AJ30" s="167"/>
    </row>
    <row r="31" spans="1:36" s="57" customFormat="1" outlineLevel="1">
      <c r="A31" s="77"/>
      <c r="B31" s="178" t="str">
        <f>A113</f>
        <v>Deferred outflows of resources</v>
      </c>
      <c r="C31" s="163"/>
      <c r="D31" s="163"/>
      <c r="E31" s="163"/>
      <c r="F31" s="163"/>
      <c r="G31" s="164"/>
      <c r="H31" s="165"/>
      <c r="I31" s="165"/>
      <c r="J31" s="165"/>
      <c r="K31" s="165"/>
      <c r="L31" s="165"/>
      <c r="M31" s="165"/>
      <c r="N31" s="166">
        <f>N113</f>
        <v>0</v>
      </c>
      <c r="O31" s="166">
        <f>O113</f>
        <v>0</v>
      </c>
      <c r="P31" s="166">
        <f>P113</f>
        <v>0</v>
      </c>
      <c r="Q31" s="166">
        <f>Q113</f>
        <v>0</v>
      </c>
      <c r="R31" s="166">
        <f>R113</f>
        <v>2526642</v>
      </c>
      <c r="S31" s="166">
        <f t="shared" ref="S31:U31" si="67">S113</f>
        <v>3070777</v>
      </c>
      <c r="T31" s="166">
        <f t="shared" si="67"/>
        <v>10362562</v>
      </c>
      <c r="U31" s="166">
        <f t="shared" si="67"/>
        <v>8970826</v>
      </c>
      <c r="V31" s="166">
        <f t="shared" ref="V31:AA31" si="68">V113</f>
        <v>8219515</v>
      </c>
      <c r="W31" s="166">
        <f t="shared" si="68"/>
        <v>0</v>
      </c>
      <c r="X31" s="166">
        <f t="shared" si="68"/>
        <v>0</v>
      </c>
      <c r="Y31" s="166">
        <f t="shared" si="68"/>
        <v>0</v>
      </c>
      <c r="Z31" s="166">
        <f t="shared" si="68"/>
        <v>0</v>
      </c>
      <c r="AA31" s="166">
        <f t="shared" si="68"/>
        <v>0</v>
      </c>
      <c r="AB31" s="166">
        <f t="shared" ref="AB31:AD31" si="69">AB113</f>
        <v>0</v>
      </c>
      <c r="AC31" s="166">
        <f t="shared" si="69"/>
        <v>0</v>
      </c>
      <c r="AD31" s="166">
        <f t="shared" si="69"/>
        <v>0</v>
      </c>
      <c r="AE31" s="166">
        <f t="shared" ref="AE31:AF31" si="70">AE113</f>
        <v>0</v>
      </c>
      <c r="AF31" s="166">
        <f t="shared" si="70"/>
        <v>0</v>
      </c>
      <c r="AI31" s="179"/>
      <c r="AJ31" s="167"/>
    </row>
    <row r="32" spans="1:36" s="57" customFormat="1" ht="15" thickBot="1">
      <c r="A32" s="77"/>
      <c r="B32" s="180"/>
      <c r="C32" s="181"/>
      <c r="D32" s="181"/>
      <c r="E32" s="181"/>
      <c r="F32" s="182" t="s">
        <v>117</v>
      </c>
      <c r="G32" s="183"/>
      <c r="H32" s="181"/>
      <c r="I32" s="181"/>
      <c r="J32" s="181"/>
      <c r="K32" s="181"/>
      <c r="L32" s="181"/>
      <c r="M32" s="181"/>
      <c r="N32" s="184">
        <f>SUM(N30:N31)</f>
        <v>446943242</v>
      </c>
      <c r="O32" s="184">
        <f>SUM(O30:O31)</f>
        <v>609513307</v>
      </c>
      <c r="P32" s="184">
        <f>SUM(P30:P31)</f>
        <v>647291999</v>
      </c>
      <c r="Q32" s="184">
        <f>SUM(Q30:Q31)</f>
        <v>689761117</v>
      </c>
      <c r="R32" s="184">
        <f>SUM(R30:R31)</f>
        <v>663657058</v>
      </c>
      <c r="S32" s="184">
        <f t="shared" ref="S32:U32" si="71">SUM(S30:S31)</f>
        <v>640866388</v>
      </c>
      <c r="T32" s="184">
        <f t="shared" si="71"/>
        <v>672865961</v>
      </c>
      <c r="U32" s="184">
        <f t="shared" si="71"/>
        <v>689525419</v>
      </c>
      <c r="V32" s="184">
        <f t="shared" ref="V32:AA32" si="72">SUM(V30:V31)</f>
        <v>698716700</v>
      </c>
      <c r="W32" s="184">
        <f t="shared" si="72"/>
        <v>0</v>
      </c>
      <c r="X32" s="184">
        <f t="shared" si="72"/>
        <v>0</v>
      </c>
      <c r="Y32" s="184">
        <f t="shared" si="72"/>
        <v>0</v>
      </c>
      <c r="Z32" s="184">
        <f t="shared" si="72"/>
        <v>0</v>
      </c>
      <c r="AA32" s="184">
        <f t="shared" si="72"/>
        <v>0</v>
      </c>
      <c r="AB32" s="184">
        <f t="shared" ref="AB32:AD32" si="73">SUM(AB30:AB31)</f>
        <v>0</v>
      </c>
      <c r="AC32" s="184">
        <f t="shared" si="73"/>
        <v>0</v>
      </c>
      <c r="AD32" s="184">
        <f t="shared" si="73"/>
        <v>0</v>
      </c>
      <c r="AE32" s="184">
        <f t="shared" ref="AE32:AF32" si="74">SUM(AE30:AE31)</f>
        <v>0</v>
      </c>
      <c r="AF32" s="184">
        <f t="shared" si="74"/>
        <v>0</v>
      </c>
      <c r="AG32" s="63"/>
      <c r="AH32" s="63"/>
      <c r="AI32" s="179"/>
      <c r="AJ32" s="167"/>
    </row>
    <row r="33" spans="1:36" ht="15" thickTop="1">
      <c r="A33" s="185"/>
      <c r="B33" s="186"/>
      <c r="C33" s="186"/>
      <c r="D33" s="186"/>
      <c r="E33" s="186"/>
      <c r="F33" s="186"/>
      <c r="G33" s="169"/>
      <c r="H33" s="187"/>
      <c r="I33" s="187"/>
      <c r="J33" s="187"/>
      <c r="K33" s="187"/>
      <c r="L33" s="187"/>
      <c r="M33" s="187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I33" s="179"/>
      <c r="AJ33" s="167"/>
    </row>
    <row r="34" spans="1:36">
      <c r="A34" s="189" t="s">
        <v>303</v>
      </c>
      <c r="B34" s="190"/>
      <c r="C34" s="190"/>
      <c r="D34" s="190"/>
      <c r="E34" s="190"/>
      <c r="F34" s="190"/>
      <c r="G34" s="169"/>
      <c r="H34" s="187"/>
      <c r="I34" s="187"/>
      <c r="J34" s="187"/>
      <c r="K34" s="187"/>
      <c r="L34" s="187"/>
      <c r="M34" s="187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I34" s="179"/>
      <c r="AJ34" s="167"/>
    </row>
    <row r="35" spans="1:36" outlineLevel="1">
      <c r="A35" s="162"/>
      <c r="B35" s="162" t="str">
        <f>A114</f>
        <v>Accounts payable and accrued liabilities</v>
      </c>
      <c r="G35" s="5"/>
      <c r="H35" s="165"/>
      <c r="I35" s="165"/>
      <c r="J35" s="165"/>
      <c r="K35" s="165"/>
      <c r="L35" s="165"/>
      <c r="M35" s="165"/>
      <c r="N35" s="166">
        <f t="shared" ref="N35:R39" si="75">N114</f>
        <v>16450925</v>
      </c>
      <c r="O35" s="166">
        <f t="shared" si="75"/>
        <v>8197464</v>
      </c>
      <c r="P35" s="166">
        <f t="shared" si="75"/>
        <v>8287517</v>
      </c>
      <c r="Q35" s="166">
        <f t="shared" si="75"/>
        <v>16931048</v>
      </c>
      <c r="R35" s="166">
        <f t="shared" si="75"/>
        <v>6741593</v>
      </c>
      <c r="S35" s="166">
        <f t="shared" ref="S35:U35" si="76">S114</f>
        <v>6653737</v>
      </c>
      <c r="T35" s="166">
        <f t="shared" si="76"/>
        <v>5386031</v>
      </c>
      <c r="U35" s="166">
        <f t="shared" si="76"/>
        <v>7225413</v>
      </c>
      <c r="V35" s="166">
        <f t="shared" ref="V35:AA35" si="77">V114</f>
        <v>6730596</v>
      </c>
      <c r="W35" s="166">
        <f t="shared" si="77"/>
        <v>0</v>
      </c>
      <c r="X35" s="166">
        <f t="shared" si="77"/>
        <v>0</v>
      </c>
      <c r="Y35" s="166">
        <f t="shared" si="77"/>
        <v>0</v>
      </c>
      <c r="Z35" s="166">
        <f t="shared" si="77"/>
        <v>0</v>
      </c>
      <c r="AA35" s="166">
        <f t="shared" si="77"/>
        <v>0</v>
      </c>
      <c r="AB35" s="166">
        <f t="shared" ref="AB35:AD35" si="78">AB114</f>
        <v>0</v>
      </c>
      <c r="AC35" s="166">
        <f t="shared" si="78"/>
        <v>0</v>
      </c>
      <c r="AD35" s="166">
        <f t="shared" si="78"/>
        <v>0</v>
      </c>
      <c r="AE35" s="166">
        <f t="shared" ref="AE35:AF35" si="79">AE114</f>
        <v>0</v>
      </c>
      <c r="AF35" s="166">
        <f t="shared" si="79"/>
        <v>0</v>
      </c>
      <c r="AI35" s="179"/>
      <c r="AJ35" s="167"/>
    </row>
    <row r="36" spans="1:36" outlineLevel="1">
      <c r="A36" s="162"/>
      <c r="B36" s="162" t="str">
        <f>A115</f>
        <v>Due to fund</v>
      </c>
      <c r="G36" s="5"/>
      <c r="H36" s="165"/>
      <c r="I36" s="165"/>
      <c r="J36" s="165"/>
      <c r="K36" s="165"/>
      <c r="L36" s="165"/>
      <c r="M36" s="165"/>
      <c r="N36" s="166">
        <f t="shared" si="75"/>
        <v>0</v>
      </c>
      <c r="O36" s="166">
        <f t="shared" si="75"/>
        <v>218144</v>
      </c>
      <c r="P36" s="166">
        <f t="shared" si="75"/>
        <v>740648</v>
      </c>
      <c r="Q36" s="166">
        <f t="shared" si="75"/>
        <v>1257376</v>
      </c>
      <c r="R36" s="166">
        <f t="shared" si="75"/>
        <v>894536</v>
      </c>
      <c r="S36" s="166">
        <f t="shared" ref="S36:U36" si="80">S115</f>
        <v>3359468</v>
      </c>
      <c r="T36" s="166">
        <f t="shared" si="80"/>
        <v>1138542</v>
      </c>
      <c r="U36" s="166">
        <f t="shared" si="80"/>
        <v>332397</v>
      </c>
      <c r="V36" s="166">
        <f t="shared" ref="V36:AA36" si="81">V115</f>
        <v>300000</v>
      </c>
      <c r="W36" s="166">
        <f t="shared" si="81"/>
        <v>0</v>
      </c>
      <c r="X36" s="166">
        <f t="shared" si="81"/>
        <v>0</v>
      </c>
      <c r="Y36" s="166">
        <f t="shared" si="81"/>
        <v>0</v>
      </c>
      <c r="Z36" s="166">
        <f t="shared" si="81"/>
        <v>0</v>
      </c>
      <c r="AA36" s="166">
        <f t="shared" si="81"/>
        <v>0</v>
      </c>
      <c r="AB36" s="166">
        <f t="shared" ref="AB36:AD36" si="82">AB115</f>
        <v>0</v>
      </c>
      <c r="AC36" s="166">
        <f t="shared" si="82"/>
        <v>0</v>
      </c>
      <c r="AD36" s="166">
        <f t="shared" si="82"/>
        <v>0</v>
      </c>
      <c r="AE36" s="166">
        <f t="shared" ref="AE36:AF36" si="83">AE115</f>
        <v>0</v>
      </c>
      <c r="AF36" s="166">
        <f t="shared" si="83"/>
        <v>0</v>
      </c>
      <c r="AI36" s="179"/>
      <c r="AJ36" s="167"/>
    </row>
    <row r="37" spans="1:36" outlineLevel="1">
      <c r="A37" s="162"/>
      <c r="B37" s="162" t="str">
        <f>A116</f>
        <v>Due to other fund</v>
      </c>
      <c r="G37" s="5"/>
      <c r="H37" s="165"/>
      <c r="I37" s="165"/>
      <c r="J37" s="165"/>
      <c r="K37" s="165"/>
      <c r="L37" s="165"/>
      <c r="M37" s="165"/>
      <c r="N37" s="166">
        <f t="shared" si="75"/>
        <v>0</v>
      </c>
      <c r="O37" s="166">
        <f t="shared" si="75"/>
        <v>50000</v>
      </c>
      <c r="P37" s="166">
        <f t="shared" si="75"/>
        <v>454654</v>
      </c>
      <c r="Q37" s="166">
        <f t="shared" si="75"/>
        <v>0</v>
      </c>
      <c r="R37" s="166">
        <f t="shared" si="75"/>
        <v>143000</v>
      </c>
      <c r="S37" s="166">
        <f t="shared" ref="S37:U37" si="84">S116</f>
        <v>0</v>
      </c>
      <c r="T37" s="166">
        <f t="shared" si="84"/>
        <v>0</v>
      </c>
      <c r="U37" s="166">
        <f t="shared" si="84"/>
        <v>0</v>
      </c>
      <c r="V37" s="166">
        <f t="shared" ref="V37:AA37" si="85">V116</f>
        <v>0</v>
      </c>
      <c r="W37" s="166">
        <f t="shared" si="85"/>
        <v>0</v>
      </c>
      <c r="X37" s="166">
        <f t="shared" si="85"/>
        <v>0</v>
      </c>
      <c r="Y37" s="166">
        <f t="shared" si="85"/>
        <v>0</v>
      </c>
      <c r="Z37" s="166">
        <f t="shared" si="85"/>
        <v>0</v>
      </c>
      <c r="AA37" s="166">
        <f t="shared" si="85"/>
        <v>0</v>
      </c>
      <c r="AB37" s="166">
        <f t="shared" ref="AB37:AD37" si="86">AB116</f>
        <v>0</v>
      </c>
      <c r="AC37" s="166">
        <f t="shared" si="86"/>
        <v>0</v>
      </c>
      <c r="AD37" s="166">
        <f t="shared" si="86"/>
        <v>0</v>
      </c>
      <c r="AE37" s="166">
        <f t="shared" ref="AE37:AF37" si="87">AE116</f>
        <v>0</v>
      </c>
      <c r="AF37" s="166">
        <f t="shared" si="87"/>
        <v>0</v>
      </c>
      <c r="AG37" s="167"/>
      <c r="AH37" s="167"/>
      <c r="AI37" s="179"/>
      <c r="AJ37" s="167"/>
    </row>
    <row r="38" spans="1:36" outlineLevel="1">
      <c r="A38" s="162"/>
      <c r="B38" s="162" t="str">
        <f>A117</f>
        <v>Long-term liabilities - due within one year</v>
      </c>
      <c r="G38" s="5"/>
      <c r="H38" s="165"/>
      <c r="I38" s="165"/>
      <c r="J38" s="165"/>
      <c r="K38" s="165"/>
      <c r="L38" s="165"/>
      <c r="M38" s="165"/>
      <c r="N38" s="166">
        <f t="shared" si="75"/>
        <v>878855</v>
      </c>
      <c r="O38" s="166">
        <f t="shared" si="75"/>
        <v>699078</v>
      </c>
      <c r="P38" s="166">
        <f t="shared" si="75"/>
        <v>916164</v>
      </c>
      <c r="Q38" s="166">
        <f t="shared" si="75"/>
        <v>772340</v>
      </c>
      <c r="R38" s="166">
        <f t="shared" si="75"/>
        <v>1014761</v>
      </c>
      <c r="S38" s="166">
        <f t="shared" ref="S38:U38" si="88">S117</f>
        <v>2009067</v>
      </c>
      <c r="T38" s="166">
        <f t="shared" si="88"/>
        <v>3217912</v>
      </c>
      <c r="U38" s="166">
        <f t="shared" si="88"/>
        <v>3355744</v>
      </c>
      <c r="V38" s="166">
        <f t="shared" ref="V38:AA38" si="89">V117</f>
        <v>3288859</v>
      </c>
      <c r="W38" s="166">
        <f t="shared" si="89"/>
        <v>0</v>
      </c>
      <c r="X38" s="166">
        <f t="shared" si="89"/>
        <v>0</v>
      </c>
      <c r="Y38" s="166">
        <f t="shared" si="89"/>
        <v>0</v>
      </c>
      <c r="Z38" s="166">
        <f t="shared" si="89"/>
        <v>0</v>
      </c>
      <c r="AA38" s="166">
        <f t="shared" si="89"/>
        <v>0</v>
      </c>
      <c r="AB38" s="166">
        <f t="shared" ref="AB38:AD38" si="90">AB117</f>
        <v>0</v>
      </c>
      <c r="AC38" s="166">
        <f t="shared" si="90"/>
        <v>0</v>
      </c>
      <c r="AD38" s="166">
        <f t="shared" si="90"/>
        <v>0</v>
      </c>
      <c r="AE38" s="166">
        <f t="shared" ref="AE38:AF38" si="91">AE117</f>
        <v>0</v>
      </c>
      <c r="AF38" s="166">
        <f t="shared" si="91"/>
        <v>0</v>
      </c>
      <c r="AI38" s="179"/>
      <c r="AJ38" s="167"/>
    </row>
    <row r="39" spans="1:36" outlineLevel="1">
      <c r="A39" s="162"/>
      <c r="B39" s="191" t="str">
        <f>A118</f>
        <v>Long-term liabilities - due after one year</v>
      </c>
      <c r="G39" s="5"/>
      <c r="H39" s="165"/>
      <c r="I39" s="165"/>
      <c r="J39" s="165"/>
      <c r="K39" s="165"/>
      <c r="L39" s="165"/>
      <c r="M39" s="165"/>
      <c r="N39" s="166">
        <f t="shared" si="75"/>
        <v>1185031</v>
      </c>
      <c r="O39" s="166">
        <f t="shared" si="75"/>
        <v>1234926</v>
      </c>
      <c r="P39" s="166">
        <f t="shared" si="75"/>
        <v>23799981</v>
      </c>
      <c r="Q39" s="166">
        <f t="shared" si="75"/>
        <v>28539972</v>
      </c>
      <c r="R39" s="166">
        <f t="shared" si="75"/>
        <v>49757192</v>
      </c>
      <c r="S39" s="166">
        <f t="shared" ref="S39:U39" si="92">S118</f>
        <v>52625146</v>
      </c>
      <c r="T39" s="166">
        <f t="shared" si="92"/>
        <v>61821427</v>
      </c>
      <c r="U39" s="166">
        <f t="shared" si="92"/>
        <v>91692896</v>
      </c>
      <c r="V39" s="166">
        <f t="shared" ref="V39:AA39" si="93">V118</f>
        <v>90399400</v>
      </c>
      <c r="W39" s="166">
        <f t="shared" si="93"/>
        <v>0</v>
      </c>
      <c r="X39" s="166">
        <f t="shared" si="93"/>
        <v>0</v>
      </c>
      <c r="Y39" s="166">
        <f t="shared" si="93"/>
        <v>0</v>
      </c>
      <c r="Z39" s="166">
        <f t="shared" si="93"/>
        <v>0</v>
      </c>
      <c r="AA39" s="166">
        <f t="shared" si="93"/>
        <v>0</v>
      </c>
      <c r="AB39" s="166">
        <f t="shared" ref="AB39:AD39" si="94">AB118</f>
        <v>0</v>
      </c>
      <c r="AC39" s="166">
        <f t="shared" si="94"/>
        <v>0</v>
      </c>
      <c r="AD39" s="166">
        <f t="shared" si="94"/>
        <v>0</v>
      </c>
      <c r="AE39" s="166">
        <f t="shared" ref="AE39:AF39" si="95">AE118</f>
        <v>0</v>
      </c>
      <c r="AF39" s="166">
        <f t="shared" si="95"/>
        <v>0</v>
      </c>
      <c r="AI39" s="179"/>
      <c r="AJ39" s="167"/>
    </row>
    <row r="40" spans="1:36" s="57" customFormat="1">
      <c r="C40" s="192"/>
      <c r="D40" s="192"/>
      <c r="E40" s="192"/>
      <c r="F40" s="193" t="s">
        <v>304</v>
      </c>
      <c r="G40" s="194"/>
      <c r="H40" s="192"/>
      <c r="I40" s="192"/>
      <c r="J40" s="192"/>
      <c r="K40" s="192"/>
      <c r="L40" s="192"/>
      <c r="M40" s="192"/>
      <c r="N40" s="176">
        <f>SUM(N35:N39)</f>
        <v>18514811</v>
      </c>
      <c r="O40" s="176">
        <f>SUM(O35:O39)</f>
        <v>10399612</v>
      </c>
      <c r="P40" s="176">
        <f>SUM(P35:P39)</f>
        <v>34198964</v>
      </c>
      <c r="Q40" s="176">
        <f>SUM(Q35:Q39)</f>
        <v>47500736</v>
      </c>
      <c r="R40" s="176">
        <f>SUM(R35:R39)</f>
        <v>58551082</v>
      </c>
      <c r="S40" s="176">
        <f t="shared" ref="S40:U40" si="96">SUM(S35:S39)</f>
        <v>64647418</v>
      </c>
      <c r="T40" s="176">
        <f t="shared" si="96"/>
        <v>71563912</v>
      </c>
      <c r="U40" s="176">
        <f t="shared" si="96"/>
        <v>102606450</v>
      </c>
      <c r="V40" s="176">
        <f t="shared" ref="V40:AA40" si="97">SUM(V35:V39)</f>
        <v>100718855</v>
      </c>
      <c r="W40" s="176">
        <f t="shared" si="97"/>
        <v>0</v>
      </c>
      <c r="X40" s="176">
        <f t="shared" si="97"/>
        <v>0</v>
      </c>
      <c r="Y40" s="176">
        <f t="shared" si="97"/>
        <v>0</v>
      </c>
      <c r="Z40" s="176">
        <f t="shared" si="97"/>
        <v>0</v>
      </c>
      <c r="AA40" s="176">
        <f t="shared" si="97"/>
        <v>0</v>
      </c>
      <c r="AB40" s="176">
        <f t="shared" ref="AB40:AD40" si="98">SUM(AB35:AB39)</f>
        <v>0</v>
      </c>
      <c r="AC40" s="176">
        <f t="shared" si="98"/>
        <v>0</v>
      </c>
      <c r="AD40" s="176">
        <f t="shared" si="98"/>
        <v>0</v>
      </c>
      <c r="AE40" s="176">
        <f t="shared" ref="AE40:AF40" si="99">SUM(AE35:AE39)</f>
        <v>0</v>
      </c>
      <c r="AF40" s="176">
        <f t="shared" si="99"/>
        <v>0</v>
      </c>
      <c r="AG40" s="63"/>
      <c r="AH40" s="63"/>
      <c r="AI40" s="179"/>
      <c r="AJ40" s="167"/>
    </row>
    <row r="41" spans="1:36" s="57" customFormat="1">
      <c r="A41" s="195"/>
      <c r="B41" s="196"/>
      <c r="C41" s="196"/>
      <c r="D41" s="196"/>
      <c r="E41" s="196"/>
      <c r="F41" s="196"/>
      <c r="G41" s="197"/>
      <c r="H41" s="198"/>
      <c r="I41" s="198"/>
      <c r="J41" s="198"/>
      <c r="K41" s="198"/>
      <c r="L41" s="198"/>
      <c r="M41" s="198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179"/>
      <c r="AJ41" s="167"/>
    </row>
    <row r="42" spans="1:36" s="57" customFormat="1" outlineLevel="1">
      <c r="B42" s="162" t="str">
        <f>A119</f>
        <v>Deferred inflows of resources</v>
      </c>
      <c r="C42" s="50"/>
      <c r="D42" s="50"/>
      <c r="E42" s="50"/>
      <c r="F42" s="50"/>
      <c r="G42" s="5"/>
      <c r="H42" s="165"/>
      <c r="I42" s="165"/>
      <c r="J42" s="165"/>
      <c r="K42" s="165"/>
      <c r="L42" s="165"/>
      <c r="M42" s="165"/>
      <c r="N42" s="166">
        <f>N119</f>
        <v>0</v>
      </c>
      <c r="O42" s="166">
        <f>O119</f>
        <v>0</v>
      </c>
      <c r="P42" s="166">
        <f>P119</f>
        <v>0</v>
      </c>
      <c r="Q42" s="166">
        <f>Q119</f>
        <v>0</v>
      </c>
      <c r="R42" s="166">
        <f>R119</f>
        <v>2300531</v>
      </c>
      <c r="S42" s="166">
        <f t="shared" ref="S42:U43" si="100">S119</f>
        <v>1413791</v>
      </c>
      <c r="T42" s="166">
        <f t="shared" si="100"/>
        <v>575904</v>
      </c>
      <c r="U42" s="166">
        <f t="shared" si="100"/>
        <v>420848</v>
      </c>
      <c r="V42" s="166">
        <f t="shared" ref="V42:AA43" si="101">V119</f>
        <v>528581</v>
      </c>
      <c r="W42" s="166">
        <f t="shared" si="101"/>
        <v>0</v>
      </c>
      <c r="X42" s="166">
        <f t="shared" si="101"/>
        <v>0</v>
      </c>
      <c r="Y42" s="166">
        <f t="shared" si="101"/>
        <v>0</v>
      </c>
      <c r="Z42" s="166">
        <f t="shared" si="101"/>
        <v>0</v>
      </c>
      <c r="AA42" s="166">
        <f t="shared" si="101"/>
        <v>0</v>
      </c>
      <c r="AB42" s="166">
        <f t="shared" ref="AB42:AD43" si="102">AB119</f>
        <v>0</v>
      </c>
      <c r="AC42" s="166">
        <f t="shared" si="102"/>
        <v>0</v>
      </c>
      <c r="AD42" s="166">
        <f t="shared" si="102"/>
        <v>0</v>
      </c>
      <c r="AE42" s="166">
        <f t="shared" ref="AE42:AF42" si="103">AE119</f>
        <v>0</v>
      </c>
      <c r="AF42" s="166">
        <f t="shared" si="103"/>
        <v>0</v>
      </c>
      <c r="AI42" s="179"/>
      <c r="AJ42" s="167"/>
    </row>
    <row r="43" spans="1:36" s="57" customFormat="1" outlineLevel="1">
      <c r="B43" s="162" t="str">
        <f>A120</f>
        <v>Deferred inflows of OPEB</v>
      </c>
      <c r="C43" s="50"/>
      <c r="D43" s="50"/>
      <c r="E43" s="50"/>
      <c r="F43" s="50"/>
      <c r="G43" s="5"/>
      <c r="H43" s="165"/>
      <c r="I43" s="165"/>
      <c r="J43" s="165"/>
      <c r="K43" s="165"/>
      <c r="L43" s="165"/>
      <c r="M43" s="165"/>
      <c r="N43" s="166"/>
      <c r="O43" s="166"/>
      <c r="P43" s="166"/>
      <c r="Q43" s="166"/>
      <c r="R43" s="166"/>
      <c r="S43" s="166">
        <f t="shared" si="100"/>
        <v>0</v>
      </c>
      <c r="T43" s="166">
        <f t="shared" si="100"/>
        <v>0</v>
      </c>
      <c r="U43" s="166">
        <f t="shared" si="100"/>
        <v>38288</v>
      </c>
      <c r="V43" s="166">
        <f t="shared" si="101"/>
        <v>521102</v>
      </c>
      <c r="W43" s="166">
        <f t="shared" si="101"/>
        <v>0</v>
      </c>
      <c r="X43" s="166">
        <f t="shared" si="101"/>
        <v>0</v>
      </c>
      <c r="Y43" s="166">
        <f t="shared" si="101"/>
        <v>0</v>
      </c>
      <c r="Z43" s="166">
        <f t="shared" si="101"/>
        <v>0</v>
      </c>
      <c r="AA43" s="166">
        <f t="shared" si="101"/>
        <v>0</v>
      </c>
      <c r="AB43" s="166">
        <f t="shared" si="102"/>
        <v>0</v>
      </c>
      <c r="AC43" s="166">
        <f t="shared" si="102"/>
        <v>0</v>
      </c>
      <c r="AD43" s="166">
        <f t="shared" si="102"/>
        <v>0</v>
      </c>
      <c r="AE43" s="166">
        <f t="shared" ref="AE43:AF43" si="104">AE120</f>
        <v>0</v>
      </c>
      <c r="AF43" s="166">
        <f t="shared" si="104"/>
        <v>0</v>
      </c>
      <c r="AI43" s="179"/>
      <c r="AJ43" s="167"/>
    </row>
    <row r="44" spans="1:36" s="57" customFormat="1">
      <c r="B44" s="199"/>
      <c r="C44" s="199"/>
      <c r="D44" s="199"/>
      <c r="E44" s="199"/>
      <c r="F44" s="174" t="s">
        <v>141</v>
      </c>
      <c r="G44" s="175"/>
      <c r="H44" s="173"/>
      <c r="I44" s="173"/>
      <c r="J44" s="173"/>
      <c r="K44" s="173"/>
      <c r="L44" s="173"/>
      <c r="M44" s="173"/>
      <c r="N44" s="176">
        <f>SUM(N40:N42)</f>
        <v>18514811</v>
      </c>
      <c r="O44" s="176">
        <f>SUM(O40:O42)</f>
        <v>10399612</v>
      </c>
      <c r="P44" s="176">
        <f>SUM(P40:P42)</f>
        <v>34198964</v>
      </c>
      <c r="Q44" s="176">
        <f>SUM(Q40:Q42)</f>
        <v>47500736</v>
      </c>
      <c r="R44" s="176">
        <f>SUM(R40:R42)</f>
        <v>60851613</v>
      </c>
      <c r="S44" s="176">
        <f>SUM(S40:S43)</f>
        <v>66061209</v>
      </c>
      <c r="T44" s="176">
        <f t="shared" ref="T44:AD44" si="105">SUM(T40:T43)</f>
        <v>72139816</v>
      </c>
      <c r="U44" s="176">
        <f t="shared" si="105"/>
        <v>103065586</v>
      </c>
      <c r="V44" s="176">
        <f t="shared" si="105"/>
        <v>101768538</v>
      </c>
      <c r="W44" s="176">
        <f t="shared" si="105"/>
        <v>0</v>
      </c>
      <c r="X44" s="176">
        <f t="shared" si="105"/>
        <v>0</v>
      </c>
      <c r="Y44" s="176">
        <f t="shared" si="105"/>
        <v>0</v>
      </c>
      <c r="Z44" s="176">
        <f t="shared" si="105"/>
        <v>0</v>
      </c>
      <c r="AA44" s="176">
        <f t="shared" si="105"/>
        <v>0</v>
      </c>
      <c r="AB44" s="176">
        <f t="shared" si="105"/>
        <v>0</v>
      </c>
      <c r="AC44" s="176">
        <f t="shared" si="105"/>
        <v>0</v>
      </c>
      <c r="AD44" s="176">
        <f t="shared" si="105"/>
        <v>0</v>
      </c>
      <c r="AE44" s="176">
        <f t="shared" ref="AE44:AF44" si="106">SUM(AE40:AE43)</f>
        <v>0</v>
      </c>
      <c r="AF44" s="176">
        <f t="shared" si="106"/>
        <v>0</v>
      </c>
      <c r="AG44" s="63"/>
      <c r="AH44" s="63"/>
      <c r="AI44" s="179"/>
      <c r="AJ44" s="167"/>
    </row>
    <row r="45" spans="1:36" s="57" customFormat="1">
      <c r="A45" s="77"/>
      <c r="B45" s="95"/>
      <c r="C45" s="95"/>
      <c r="D45" s="95"/>
      <c r="E45" s="95"/>
      <c r="F45" s="95"/>
      <c r="G45" s="56"/>
      <c r="H45" s="95"/>
      <c r="I45" s="95"/>
      <c r="J45" s="95"/>
      <c r="K45" s="95"/>
      <c r="L45" s="95"/>
      <c r="M45" s="95"/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0"/>
      <c r="Z45" s="200"/>
      <c r="AA45" s="200"/>
      <c r="AB45" s="200"/>
      <c r="AC45" s="200"/>
      <c r="AD45" s="200"/>
      <c r="AE45" s="200"/>
      <c r="AF45" s="200"/>
      <c r="AG45" s="200"/>
      <c r="AH45" s="200"/>
    </row>
    <row r="46" spans="1:36" s="57" customFormat="1">
      <c r="A46" s="77" t="s">
        <v>305</v>
      </c>
      <c r="B46" s="77"/>
      <c r="C46" s="77"/>
      <c r="D46" s="77"/>
      <c r="E46" s="77"/>
      <c r="F46" s="77"/>
      <c r="G46" s="56"/>
      <c r="H46" s="95"/>
      <c r="I46" s="95"/>
      <c r="J46" s="95"/>
      <c r="K46" s="95"/>
      <c r="L46" s="95"/>
      <c r="M46" s="95"/>
      <c r="N46" s="200"/>
      <c r="O46" s="200"/>
      <c r="P46" s="200"/>
      <c r="Q46" s="200"/>
      <c r="R46" s="200"/>
      <c r="S46" s="200"/>
      <c r="T46" s="200"/>
      <c r="U46" s="200"/>
      <c r="V46" s="200"/>
      <c r="W46" s="200"/>
      <c r="X46" s="200"/>
      <c r="Y46" s="200"/>
      <c r="Z46" s="200"/>
      <c r="AA46" s="200"/>
      <c r="AB46" s="200"/>
      <c r="AC46" s="200"/>
      <c r="AD46" s="200"/>
      <c r="AE46" s="200"/>
      <c r="AF46" s="200"/>
      <c r="AG46" s="200"/>
      <c r="AH46" s="200"/>
    </row>
    <row r="47" spans="1:36" outlineLevel="1">
      <c r="A47" s="162"/>
      <c r="B47" s="162" t="str">
        <f>A133</f>
        <v>Invested in capital assets, net of related debt</v>
      </c>
      <c r="G47" s="5"/>
      <c r="H47" s="165"/>
      <c r="I47" s="165"/>
      <c r="J47" s="165"/>
      <c r="K47" s="165"/>
      <c r="L47" s="165"/>
      <c r="M47" s="165"/>
      <c r="N47" s="166">
        <f t="shared" ref="N47:R49" si="107">N133</f>
        <v>26847369</v>
      </c>
      <c r="O47" s="166">
        <f t="shared" si="107"/>
        <v>26991663</v>
      </c>
      <c r="P47" s="166">
        <f t="shared" si="107"/>
        <v>229034192</v>
      </c>
      <c r="Q47" s="166">
        <f t="shared" si="107"/>
        <v>229573413</v>
      </c>
      <c r="R47" s="166">
        <f t="shared" si="107"/>
        <v>226721016</v>
      </c>
      <c r="S47" s="166">
        <f t="shared" ref="S47:U47" si="108">S133</f>
        <v>225290261</v>
      </c>
      <c r="T47" s="166">
        <f t="shared" si="108"/>
        <v>220222616</v>
      </c>
      <c r="U47" s="166">
        <f t="shared" si="108"/>
        <v>220811572</v>
      </c>
      <c r="V47" s="166">
        <f t="shared" ref="V47:AA47" si="109">V133</f>
        <v>221500308</v>
      </c>
      <c r="W47" s="166">
        <f t="shared" si="109"/>
        <v>0</v>
      </c>
      <c r="X47" s="166">
        <f t="shared" si="109"/>
        <v>0</v>
      </c>
      <c r="Y47" s="166">
        <f t="shared" si="109"/>
        <v>0</v>
      </c>
      <c r="Z47" s="166">
        <f t="shared" si="109"/>
        <v>0</v>
      </c>
      <c r="AA47" s="166">
        <f t="shared" si="109"/>
        <v>0</v>
      </c>
      <c r="AB47" s="166">
        <f t="shared" ref="AB47:AD47" si="110">AB133</f>
        <v>0</v>
      </c>
      <c r="AC47" s="166">
        <f t="shared" si="110"/>
        <v>0</v>
      </c>
      <c r="AD47" s="166">
        <f t="shared" si="110"/>
        <v>0</v>
      </c>
      <c r="AE47" s="166">
        <f t="shared" ref="AE47:AF47" si="111">AE133</f>
        <v>0</v>
      </c>
      <c r="AF47" s="166">
        <f t="shared" si="111"/>
        <v>0</v>
      </c>
    </row>
    <row r="48" spans="1:36" outlineLevel="1">
      <c r="A48" s="162"/>
      <c r="B48" s="162" t="str">
        <f>A134</f>
        <v>Restricted - federal funds</v>
      </c>
      <c r="G48" s="5"/>
      <c r="H48" s="165"/>
      <c r="I48" s="165"/>
      <c r="J48" s="165"/>
      <c r="K48" s="165"/>
      <c r="L48" s="165"/>
      <c r="M48" s="165"/>
      <c r="N48" s="166">
        <f t="shared" si="107"/>
        <v>27894651</v>
      </c>
      <c r="O48" s="166">
        <f t="shared" si="107"/>
        <v>27654608</v>
      </c>
      <c r="P48" s="166">
        <f t="shared" si="107"/>
        <v>27784204</v>
      </c>
      <c r="Q48" s="166">
        <f t="shared" si="107"/>
        <v>27540859</v>
      </c>
      <c r="R48" s="166">
        <f t="shared" si="107"/>
        <v>27494848</v>
      </c>
      <c r="S48" s="166">
        <f t="shared" ref="S48:U48" si="112">S134</f>
        <v>26690007</v>
      </c>
      <c r="T48" s="166">
        <f t="shared" si="112"/>
        <v>25498353</v>
      </c>
      <c r="U48" s="166">
        <f t="shared" si="112"/>
        <v>25326992</v>
      </c>
      <c r="V48" s="166">
        <f t="shared" ref="V48:AA48" si="113">V134</f>
        <v>25335251</v>
      </c>
      <c r="W48" s="166">
        <f t="shared" si="113"/>
        <v>0</v>
      </c>
      <c r="X48" s="166">
        <f t="shared" si="113"/>
        <v>0</v>
      </c>
      <c r="Y48" s="166">
        <f t="shared" si="113"/>
        <v>0</v>
      </c>
      <c r="Z48" s="166">
        <f t="shared" si="113"/>
        <v>0</v>
      </c>
      <c r="AA48" s="166">
        <f t="shared" si="113"/>
        <v>0</v>
      </c>
      <c r="AB48" s="166">
        <f t="shared" ref="AB48:AD48" si="114">AB134</f>
        <v>0</v>
      </c>
      <c r="AC48" s="166">
        <f t="shared" si="114"/>
        <v>0</v>
      </c>
      <c r="AD48" s="166">
        <f t="shared" si="114"/>
        <v>0</v>
      </c>
      <c r="AE48" s="166">
        <f t="shared" ref="AE48:AF48" si="115">AE134</f>
        <v>0</v>
      </c>
      <c r="AF48" s="166">
        <f t="shared" si="115"/>
        <v>0</v>
      </c>
    </row>
    <row r="49" spans="1:34" outlineLevel="1">
      <c r="A49" s="162"/>
      <c r="B49" s="162" t="str">
        <f>A135</f>
        <v>Unrestricted</v>
      </c>
      <c r="G49" s="5"/>
      <c r="H49" s="165"/>
      <c r="I49" s="165"/>
      <c r="J49" s="165"/>
      <c r="K49" s="165"/>
      <c r="L49" s="165"/>
      <c r="M49" s="165"/>
      <c r="N49" s="166">
        <f t="shared" si="107"/>
        <v>373686411</v>
      </c>
      <c r="O49" s="166">
        <f t="shared" si="107"/>
        <v>544467424</v>
      </c>
      <c r="P49" s="166">
        <f t="shared" si="107"/>
        <v>356274639</v>
      </c>
      <c r="Q49" s="166">
        <f t="shared" si="107"/>
        <v>385146109</v>
      </c>
      <c r="R49" s="166">
        <f t="shared" si="107"/>
        <v>348589581</v>
      </c>
      <c r="S49" s="166">
        <f t="shared" ref="S49:U49" si="116">S135</f>
        <v>322824911</v>
      </c>
      <c r="T49" s="166">
        <f t="shared" si="116"/>
        <v>355005176</v>
      </c>
      <c r="U49" s="166">
        <f t="shared" si="116"/>
        <v>340321269</v>
      </c>
      <c r="V49" s="166">
        <f t="shared" ref="V49:AA49" si="117">V135</f>
        <v>350112603</v>
      </c>
      <c r="W49" s="166">
        <f t="shared" si="117"/>
        <v>0</v>
      </c>
      <c r="X49" s="166">
        <f t="shared" si="117"/>
        <v>0</v>
      </c>
      <c r="Y49" s="166">
        <f t="shared" si="117"/>
        <v>0</v>
      </c>
      <c r="Z49" s="166">
        <f t="shared" si="117"/>
        <v>0</v>
      </c>
      <c r="AA49" s="166">
        <f t="shared" si="117"/>
        <v>0</v>
      </c>
      <c r="AB49" s="166">
        <f t="shared" ref="AB49:AD49" si="118">AB135</f>
        <v>0</v>
      </c>
      <c r="AC49" s="166">
        <f t="shared" si="118"/>
        <v>0</v>
      </c>
      <c r="AD49" s="166">
        <f t="shared" si="118"/>
        <v>0</v>
      </c>
      <c r="AE49" s="166">
        <f t="shared" ref="AE49:AF49" si="119">AE135</f>
        <v>0</v>
      </c>
      <c r="AF49" s="166">
        <f t="shared" si="119"/>
        <v>0</v>
      </c>
    </row>
    <row r="50" spans="1:34" s="57" customFormat="1">
      <c r="B50" s="192"/>
      <c r="C50" s="192"/>
      <c r="D50" s="192"/>
      <c r="E50" s="192"/>
      <c r="F50" s="193" t="s">
        <v>146</v>
      </c>
      <c r="G50" s="194"/>
      <c r="H50" s="192"/>
      <c r="I50" s="192"/>
      <c r="J50" s="192"/>
      <c r="K50" s="192"/>
      <c r="L50" s="192"/>
      <c r="M50" s="192"/>
      <c r="N50" s="176">
        <f>SUM(N47:N49)</f>
        <v>428428431</v>
      </c>
      <c r="O50" s="176">
        <f>SUM(O47:O49)</f>
        <v>599113695</v>
      </c>
      <c r="P50" s="176">
        <f>SUM(P47:P49)</f>
        <v>613093035</v>
      </c>
      <c r="Q50" s="176">
        <f>SUM(Q47:Q49)</f>
        <v>642260381</v>
      </c>
      <c r="R50" s="176">
        <f>SUM(R47:R49)</f>
        <v>602805445</v>
      </c>
      <c r="S50" s="176">
        <f t="shared" ref="S50:U50" si="120">SUM(S47:S49)</f>
        <v>574805179</v>
      </c>
      <c r="T50" s="176">
        <f>SUM(T47:T49)</f>
        <v>600726145</v>
      </c>
      <c r="U50" s="176">
        <f t="shared" si="120"/>
        <v>586459833</v>
      </c>
      <c r="V50" s="176">
        <f t="shared" ref="V50:AA50" si="121">SUM(V47:V49)</f>
        <v>596948162</v>
      </c>
      <c r="W50" s="176">
        <f t="shared" si="121"/>
        <v>0</v>
      </c>
      <c r="X50" s="176">
        <f t="shared" si="121"/>
        <v>0</v>
      </c>
      <c r="Y50" s="176">
        <f t="shared" si="121"/>
        <v>0</v>
      </c>
      <c r="Z50" s="176">
        <f t="shared" si="121"/>
        <v>0</v>
      </c>
      <c r="AA50" s="176">
        <f t="shared" si="121"/>
        <v>0</v>
      </c>
      <c r="AB50" s="176">
        <f t="shared" ref="AB50:AD50" si="122">SUM(AB47:AB49)</f>
        <v>0</v>
      </c>
      <c r="AC50" s="176">
        <f t="shared" si="122"/>
        <v>0</v>
      </c>
      <c r="AD50" s="176">
        <f t="shared" si="122"/>
        <v>0</v>
      </c>
      <c r="AE50" s="176">
        <f t="shared" ref="AE50:AF50" si="123">SUM(AE47:AE49)</f>
        <v>0</v>
      </c>
      <c r="AF50" s="176">
        <f t="shared" si="123"/>
        <v>0</v>
      </c>
      <c r="AG50" s="63"/>
      <c r="AH50" s="63"/>
    </row>
    <row r="51" spans="1:34" s="57" customFormat="1" ht="15" thickBot="1">
      <c r="B51" s="181"/>
      <c r="C51" s="181"/>
      <c r="D51" s="181"/>
      <c r="E51" s="181"/>
      <c r="F51" s="182" t="s">
        <v>147</v>
      </c>
      <c r="G51" s="183"/>
      <c r="H51" s="181"/>
      <c r="I51" s="181"/>
      <c r="J51" s="181"/>
      <c r="K51" s="181"/>
      <c r="L51" s="181"/>
      <c r="M51" s="181"/>
      <c r="N51" s="184">
        <f t="shared" ref="N51:S51" si="124">N44+N50</f>
        <v>446943242</v>
      </c>
      <c r="O51" s="184">
        <f t="shared" si="124"/>
        <v>609513307</v>
      </c>
      <c r="P51" s="184">
        <f t="shared" si="124"/>
        <v>647291999</v>
      </c>
      <c r="Q51" s="184">
        <f t="shared" si="124"/>
        <v>689761117</v>
      </c>
      <c r="R51" s="184">
        <f t="shared" si="124"/>
        <v>663657058</v>
      </c>
      <c r="S51" s="184">
        <f t="shared" si="124"/>
        <v>640866388</v>
      </c>
      <c r="T51" s="184">
        <f t="shared" ref="T51:U51" si="125">T44+T50</f>
        <v>672865961</v>
      </c>
      <c r="U51" s="184">
        <f t="shared" si="125"/>
        <v>689525419</v>
      </c>
      <c r="V51" s="184">
        <f t="shared" ref="V51:AA51" si="126">V44+V50</f>
        <v>698716700</v>
      </c>
      <c r="W51" s="184">
        <f t="shared" si="126"/>
        <v>0</v>
      </c>
      <c r="X51" s="184">
        <f t="shared" si="126"/>
        <v>0</v>
      </c>
      <c r="Y51" s="184">
        <f t="shared" si="126"/>
        <v>0</v>
      </c>
      <c r="Z51" s="184">
        <f t="shared" si="126"/>
        <v>0</v>
      </c>
      <c r="AA51" s="184">
        <f t="shared" si="126"/>
        <v>0</v>
      </c>
      <c r="AB51" s="184">
        <f t="shared" ref="AB51:AD51" si="127">AB44+AB50</f>
        <v>0</v>
      </c>
      <c r="AC51" s="184">
        <f t="shared" si="127"/>
        <v>0</v>
      </c>
      <c r="AD51" s="184">
        <f t="shared" si="127"/>
        <v>0</v>
      </c>
      <c r="AE51" s="184">
        <f t="shared" ref="AE51:AF51" si="128">AE44+AE50</f>
        <v>0</v>
      </c>
      <c r="AF51" s="184">
        <f t="shared" si="128"/>
        <v>0</v>
      </c>
      <c r="AG51" s="63"/>
      <c r="AH51" s="63"/>
    </row>
    <row r="52" spans="1:34" s="57" customFormat="1" ht="15" thickTop="1">
      <c r="B52" s="201"/>
      <c r="C52" s="201"/>
      <c r="D52" s="201"/>
      <c r="E52" s="201"/>
      <c r="F52" s="454" t="s">
        <v>118</v>
      </c>
      <c r="G52" s="202"/>
      <c r="H52" s="201"/>
      <c r="I52" s="201"/>
      <c r="J52" s="201"/>
      <c r="K52" s="201"/>
      <c r="L52" s="201"/>
      <c r="M52" s="201"/>
      <c r="N52" s="203">
        <f t="shared" ref="N52:U52" si="129">N32-N51</f>
        <v>0</v>
      </c>
      <c r="O52" s="203">
        <f t="shared" si="129"/>
        <v>0</v>
      </c>
      <c r="P52" s="203">
        <f t="shared" si="129"/>
        <v>0</v>
      </c>
      <c r="Q52" s="203">
        <f t="shared" si="129"/>
        <v>0</v>
      </c>
      <c r="R52" s="203">
        <f t="shared" si="129"/>
        <v>0</v>
      </c>
      <c r="S52" s="203">
        <f t="shared" si="129"/>
        <v>0</v>
      </c>
      <c r="T52" s="203">
        <f t="shared" si="129"/>
        <v>0</v>
      </c>
      <c r="U52" s="203">
        <f t="shared" si="129"/>
        <v>0</v>
      </c>
      <c r="V52" s="203">
        <f t="shared" ref="V52:AA52" si="130">V32-V51</f>
        <v>0</v>
      </c>
      <c r="W52" s="203">
        <f t="shared" si="130"/>
        <v>0</v>
      </c>
      <c r="X52" s="203">
        <f t="shared" si="130"/>
        <v>0</v>
      </c>
      <c r="Y52" s="203">
        <f t="shared" si="130"/>
        <v>0</v>
      </c>
      <c r="Z52" s="203">
        <f t="shared" si="130"/>
        <v>0</v>
      </c>
      <c r="AA52" s="203">
        <f t="shared" si="130"/>
        <v>0</v>
      </c>
      <c r="AB52" s="203">
        <f t="shared" ref="AB52:AD52" si="131">AB32-AB51</f>
        <v>0</v>
      </c>
      <c r="AC52" s="203">
        <f t="shared" si="131"/>
        <v>0</v>
      </c>
      <c r="AD52" s="203">
        <f t="shared" si="131"/>
        <v>0</v>
      </c>
      <c r="AE52" s="203">
        <f t="shared" ref="AE52:AF52" si="132">AE32-AE51</f>
        <v>0</v>
      </c>
      <c r="AF52" s="203">
        <f t="shared" si="132"/>
        <v>0</v>
      </c>
      <c r="AG52" s="203"/>
      <c r="AH52" s="203"/>
    </row>
    <row r="53" spans="1:34" collapsed="1">
      <c r="A53" s="204"/>
      <c r="B53" s="11"/>
      <c r="C53" s="11"/>
      <c r="D53" s="11"/>
      <c r="E53" s="11"/>
      <c r="F53" s="11"/>
      <c r="G53" s="171"/>
      <c r="H53" s="205"/>
      <c r="I53" s="205"/>
      <c r="J53" s="205"/>
      <c r="K53" s="205"/>
      <c r="L53" s="205"/>
      <c r="M53" s="205"/>
      <c r="N53" s="206"/>
      <c r="O53" s="207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207"/>
      <c r="AA53" s="207"/>
      <c r="AB53" s="207"/>
      <c r="AC53" s="207"/>
      <c r="AD53" s="207"/>
      <c r="AE53" s="207"/>
      <c r="AF53" s="207"/>
    </row>
    <row r="54" spans="1:34">
      <c r="A54" s="455" t="s">
        <v>306</v>
      </c>
      <c r="B54" s="456"/>
      <c r="C54" s="456"/>
      <c r="D54" s="456"/>
      <c r="E54" s="456"/>
      <c r="F54" s="456"/>
      <c r="G54" s="457"/>
      <c r="H54" s="458"/>
      <c r="I54" s="458"/>
      <c r="J54" s="458"/>
      <c r="K54" s="458"/>
      <c r="L54" s="458"/>
      <c r="M54" s="458"/>
      <c r="N54" s="459"/>
      <c r="O54" s="459"/>
      <c r="P54" s="459"/>
      <c r="Q54" s="460"/>
      <c r="R54" s="460"/>
      <c r="S54" s="460"/>
      <c r="T54" s="460"/>
      <c r="U54" s="460"/>
      <c r="V54" s="460"/>
      <c r="W54" s="460"/>
      <c r="X54" s="460"/>
      <c r="Y54" s="460"/>
      <c r="Z54" s="460"/>
      <c r="AA54" s="460"/>
      <c r="AB54" s="460"/>
      <c r="AC54" s="460"/>
      <c r="AD54" s="460"/>
      <c r="AE54" s="460"/>
      <c r="AF54" s="460"/>
    </row>
    <row r="55" spans="1:34">
      <c r="A55" s="77"/>
      <c r="B55" s="57"/>
      <c r="C55" s="57"/>
      <c r="D55" s="57"/>
      <c r="E55" s="57"/>
      <c r="F55" s="57"/>
      <c r="G55" s="56"/>
      <c r="H55" s="95"/>
      <c r="I55" s="95"/>
      <c r="J55" s="95"/>
      <c r="K55" s="95"/>
      <c r="L55" s="95"/>
      <c r="M55" s="95"/>
      <c r="N55" s="63"/>
      <c r="O55" s="63"/>
      <c r="P55" s="63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</row>
    <row r="56" spans="1:34">
      <c r="A56" s="77" t="s">
        <v>149</v>
      </c>
      <c r="B56" s="57"/>
      <c r="C56" s="57"/>
      <c r="D56" s="57"/>
      <c r="E56" s="57"/>
      <c r="F56" s="57"/>
      <c r="G56" s="56"/>
      <c r="H56" s="95"/>
      <c r="I56" s="95"/>
      <c r="J56" s="95"/>
      <c r="K56" s="95"/>
      <c r="L56" s="95"/>
      <c r="M56" s="95"/>
      <c r="N56" s="63"/>
      <c r="O56" s="63"/>
      <c r="P56" s="63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</row>
    <row r="57" spans="1:34">
      <c r="A57" s="77" t="s">
        <v>160</v>
      </c>
      <c r="B57" s="57"/>
      <c r="C57" s="57"/>
      <c r="D57" s="57"/>
      <c r="E57" s="57"/>
      <c r="F57" s="57"/>
      <c r="G57" s="56"/>
      <c r="H57" s="95"/>
      <c r="I57" s="95"/>
      <c r="J57" s="95"/>
      <c r="K57" s="95"/>
      <c r="L57" s="95"/>
      <c r="M57" s="95"/>
      <c r="N57" s="63"/>
      <c r="O57" s="63"/>
      <c r="P57" s="63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</row>
    <row r="58" spans="1:34" outlineLevel="1">
      <c r="B58" s="204" t="str">
        <f>A136</f>
        <v>Charges for services</v>
      </c>
      <c r="C58" s="11"/>
      <c r="D58" s="11"/>
      <c r="E58" s="11"/>
      <c r="F58" s="11"/>
      <c r="G58" s="171"/>
      <c r="H58" s="165"/>
      <c r="I58" s="165"/>
      <c r="J58" s="165"/>
      <c r="K58" s="165"/>
      <c r="L58" s="165"/>
      <c r="M58" s="165"/>
      <c r="N58" s="166">
        <f t="shared" ref="N58:R60" si="133">N136</f>
        <v>433204</v>
      </c>
      <c r="O58" s="166">
        <f t="shared" si="133"/>
        <v>3181640</v>
      </c>
      <c r="P58" s="166">
        <f t="shared" si="133"/>
        <v>767097</v>
      </c>
      <c r="Q58" s="166">
        <f t="shared" si="133"/>
        <v>714810</v>
      </c>
      <c r="R58" s="166">
        <f t="shared" si="133"/>
        <v>4612702</v>
      </c>
      <c r="S58" s="166">
        <f t="shared" ref="S58:U58" si="134">S136</f>
        <v>9899686</v>
      </c>
      <c r="T58" s="166">
        <f t="shared" si="134"/>
        <v>12500418</v>
      </c>
      <c r="U58" s="166">
        <f t="shared" si="134"/>
        <v>13301050</v>
      </c>
      <c r="V58" s="166">
        <f t="shared" ref="V58:AA58" si="135">V136</f>
        <v>14501281</v>
      </c>
      <c r="W58" s="166">
        <f t="shared" si="135"/>
        <v>0</v>
      </c>
      <c r="X58" s="166">
        <f t="shared" si="135"/>
        <v>0</v>
      </c>
      <c r="Y58" s="166">
        <f t="shared" si="135"/>
        <v>0</v>
      </c>
      <c r="Z58" s="166">
        <f t="shared" si="135"/>
        <v>0</v>
      </c>
      <c r="AA58" s="166">
        <f t="shared" si="135"/>
        <v>0</v>
      </c>
      <c r="AB58" s="166">
        <f t="shared" ref="AB58:AD58" si="136">AB136</f>
        <v>0</v>
      </c>
      <c r="AC58" s="166">
        <f t="shared" si="136"/>
        <v>0</v>
      </c>
      <c r="AD58" s="166">
        <f t="shared" si="136"/>
        <v>0</v>
      </c>
      <c r="AE58" s="166">
        <f t="shared" ref="AE58:AF58" si="137">AE136</f>
        <v>0</v>
      </c>
      <c r="AF58" s="166">
        <f t="shared" si="137"/>
        <v>0</v>
      </c>
    </row>
    <row r="59" spans="1:34" outlineLevel="1">
      <c r="B59" s="204" t="str">
        <f>A137</f>
        <v>Operating grants</v>
      </c>
      <c r="C59" s="11"/>
      <c r="D59" s="11"/>
      <c r="E59" s="11"/>
      <c r="F59" s="11"/>
      <c r="G59" s="171"/>
      <c r="H59" s="165"/>
      <c r="I59" s="165"/>
      <c r="J59" s="165"/>
      <c r="K59" s="165"/>
      <c r="L59" s="165"/>
      <c r="M59" s="165"/>
      <c r="N59" s="166">
        <f t="shared" si="133"/>
        <v>922868</v>
      </c>
      <c r="O59" s="166">
        <f t="shared" si="133"/>
        <v>430055</v>
      </c>
      <c r="P59" s="166">
        <f t="shared" si="133"/>
        <v>403052</v>
      </c>
      <c r="Q59" s="166">
        <f t="shared" si="133"/>
        <v>479036</v>
      </c>
      <c r="R59" s="166">
        <f t="shared" si="133"/>
        <v>1049602</v>
      </c>
      <c r="S59" s="166">
        <f t="shared" ref="S59:U59" si="138">S137</f>
        <v>1164361</v>
      </c>
      <c r="T59" s="166">
        <f t="shared" si="138"/>
        <v>730421</v>
      </c>
      <c r="U59" s="166">
        <f t="shared" si="138"/>
        <v>769960</v>
      </c>
      <c r="V59" s="166">
        <f t="shared" ref="V59:AA59" si="139">V137</f>
        <v>1281115</v>
      </c>
      <c r="W59" s="166">
        <f t="shared" si="139"/>
        <v>0</v>
      </c>
      <c r="X59" s="166">
        <f t="shared" si="139"/>
        <v>0</v>
      </c>
      <c r="Y59" s="166">
        <f t="shared" si="139"/>
        <v>0</v>
      </c>
      <c r="Z59" s="166">
        <f t="shared" si="139"/>
        <v>0</v>
      </c>
      <c r="AA59" s="166">
        <f t="shared" si="139"/>
        <v>0</v>
      </c>
      <c r="AB59" s="166">
        <f t="shared" ref="AB59:AD59" si="140">AB137</f>
        <v>0</v>
      </c>
      <c r="AC59" s="166">
        <f t="shared" si="140"/>
        <v>0</v>
      </c>
      <c r="AD59" s="166">
        <f t="shared" si="140"/>
        <v>0</v>
      </c>
      <c r="AE59" s="166">
        <f t="shared" ref="AE59:AF59" si="141">AE137</f>
        <v>0</v>
      </c>
      <c r="AF59" s="166">
        <f t="shared" si="141"/>
        <v>0</v>
      </c>
    </row>
    <row r="60" spans="1:34" outlineLevel="1">
      <c r="B60" s="204" t="str">
        <f>A138</f>
        <v>Interest and investment earnings</v>
      </c>
      <c r="C60" s="11"/>
      <c r="D60" s="11"/>
      <c r="E60" s="11"/>
      <c r="F60" s="11"/>
      <c r="G60" s="171"/>
      <c r="H60" s="165"/>
      <c r="I60" s="165"/>
      <c r="J60" s="165"/>
      <c r="K60" s="165"/>
      <c r="L60" s="165"/>
      <c r="M60" s="165"/>
      <c r="N60" s="166">
        <f t="shared" si="133"/>
        <v>188085</v>
      </c>
      <c r="O60" s="166">
        <f t="shared" si="133"/>
        <v>102566</v>
      </c>
      <c r="P60" s="166">
        <f t="shared" si="133"/>
        <v>19560</v>
      </c>
      <c r="Q60" s="166">
        <f t="shared" si="133"/>
        <v>5295</v>
      </c>
      <c r="R60" s="166">
        <f t="shared" si="133"/>
        <v>0</v>
      </c>
      <c r="S60" s="166">
        <f t="shared" ref="S60:U60" si="142">S138</f>
        <v>0</v>
      </c>
      <c r="T60" s="166">
        <f t="shared" si="142"/>
        <v>0</v>
      </c>
      <c r="U60" s="166">
        <f t="shared" si="142"/>
        <v>0</v>
      </c>
      <c r="V60" s="166">
        <f t="shared" ref="V60:AA60" si="143">V138</f>
        <v>0</v>
      </c>
      <c r="W60" s="166">
        <f t="shared" si="143"/>
        <v>0</v>
      </c>
      <c r="X60" s="166">
        <f t="shared" si="143"/>
        <v>0</v>
      </c>
      <c r="Y60" s="166">
        <f t="shared" si="143"/>
        <v>0</v>
      </c>
      <c r="Z60" s="166">
        <f t="shared" si="143"/>
        <v>0</v>
      </c>
      <c r="AA60" s="166">
        <f t="shared" si="143"/>
        <v>0</v>
      </c>
      <c r="AB60" s="166">
        <f t="shared" ref="AB60:AD60" si="144">AB138</f>
        <v>0</v>
      </c>
      <c r="AC60" s="166">
        <f t="shared" si="144"/>
        <v>0</v>
      </c>
      <c r="AD60" s="166">
        <f t="shared" si="144"/>
        <v>0</v>
      </c>
      <c r="AE60" s="166">
        <f t="shared" ref="AE60:AF60" si="145">AE138</f>
        <v>0</v>
      </c>
      <c r="AF60" s="166">
        <f t="shared" si="145"/>
        <v>0</v>
      </c>
    </row>
    <row r="61" spans="1:34" s="57" customFormat="1">
      <c r="C61" s="151"/>
      <c r="D61" s="151"/>
      <c r="E61" s="151"/>
      <c r="F61" s="174" t="s">
        <v>162</v>
      </c>
      <c r="G61" s="175"/>
      <c r="H61" s="208"/>
      <c r="I61" s="208"/>
      <c r="J61" s="208"/>
      <c r="K61" s="208"/>
      <c r="L61" s="208"/>
      <c r="M61" s="208"/>
      <c r="N61" s="176">
        <f>SUM(N58:N60)</f>
        <v>1544157</v>
      </c>
      <c r="O61" s="176">
        <f>SUM(O58:O60)</f>
        <v>3714261</v>
      </c>
      <c r="P61" s="176">
        <f>SUM(P58:P60)</f>
        <v>1189709</v>
      </c>
      <c r="Q61" s="176">
        <f>SUM(Q58:Q60)</f>
        <v>1199141</v>
      </c>
      <c r="R61" s="176">
        <f>SUM(R58:R60)</f>
        <v>5662304</v>
      </c>
      <c r="S61" s="176">
        <f t="shared" ref="S61:U61" si="146">SUM(S58:S60)</f>
        <v>11064047</v>
      </c>
      <c r="T61" s="176">
        <f t="shared" si="146"/>
        <v>13230839</v>
      </c>
      <c r="U61" s="176">
        <f t="shared" si="146"/>
        <v>14071010</v>
      </c>
      <c r="V61" s="176">
        <f t="shared" ref="V61:AA61" si="147">SUM(V58:V60)</f>
        <v>15782396</v>
      </c>
      <c r="W61" s="176">
        <f t="shared" si="147"/>
        <v>0</v>
      </c>
      <c r="X61" s="176">
        <f t="shared" si="147"/>
        <v>0</v>
      </c>
      <c r="Y61" s="176">
        <f t="shared" si="147"/>
        <v>0</v>
      </c>
      <c r="Z61" s="176">
        <f t="shared" si="147"/>
        <v>0</v>
      </c>
      <c r="AA61" s="176">
        <f t="shared" si="147"/>
        <v>0</v>
      </c>
      <c r="AB61" s="176">
        <f t="shared" ref="AB61:AD61" si="148">SUM(AB58:AB60)</f>
        <v>0</v>
      </c>
      <c r="AC61" s="176">
        <f t="shared" si="148"/>
        <v>0</v>
      </c>
      <c r="AD61" s="176">
        <f t="shared" si="148"/>
        <v>0</v>
      </c>
      <c r="AE61" s="176">
        <f t="shared" ref="AE61:AF61" si="149">SUM(AE58:AE60)</f>
        <v>0</v>
      </c>
      <c r="AF61" s="176">
        <f t="shared" si="149"/>
        <v>0</v>
      </c>
      <c r="AG61" s="63"/>
      <c r="AH61" s="63"/>
    </row>
    <row r="62" spans="1:34" s="57" customFormat="1">
      <c r="C62" s="151"/>
      <c r="D62" s="151"/>
      <c r="E62" s="151"/>
      <c r="F62" s="139"/>
      <c r="G62" s="141"/>
      <c r="H62" s="170"/>
      <c r="I62" s="170"/>
      <c r="J62" s="170"/>
      <c r="K62" s="170"/>
      <c r="L62" s="170"/>
      <c r="M62" s="170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</row>
    <row r="63" spans="1:34" s="57" customFormat="1">
      <c r="A63" s="57" t="s">
        <v>307</v>
      </c>
      <c r="C63" s="151"/>
      <c r="D63" s="151"/>
      <c r="E63" s="151"/>
      <c r="F63" s="139"/>
      <c r="G63" s="141"/>
      <c r="H63" s="170"/>
      <c r="I63" s="170"/>
      <c r="J63" s="170"/>
      <c r="K63" s="170"/>
      <c r="L63" s="170"/>
      <c r="M63" s="170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</row>
    <row r="64" spans="1:34" outlineLevel="1">
      <c r="B64" s="204" t="str">
        <f t="shared" ref="B64:B70" si="150">A139</f>
        <v>Appropriations, net of lapses</v>
      </c>
      <c r="C64" s="11"/>
      <c r="D64" s="11"/>
      <c r="E64" s="11"/>
      <c r="F64" s="11"/>
      <c r="G64" s="171"/>
      <c r="H64" s="165"/>
      <c r="I64" s="165"/>
      <c r="J64" s="165"/>
      <c r="K64" s="165"/>
      <c r="L64" s="165"/>
      <c r="M64" s="165"/>
      <c r="N64" s="166">
        <f t="shared" ref="N64:R70" si="151">N139</f>
        <v>2311873</v>
      </c>
      <c r="O64" s="166">
        <f t="shared" si="151"/>
        <v>2314338</v>
      </c>
      <c r="P64" s="166">
        <f t="shared" si="151"/>
        <v>2353001</v>
      </c>
      <c r="Q64" s="166">
        <f t="shared" si="151"/>
        <v>3134074</v>
      </c>
      <c r="R64" s="166">
        <f t="shared" si="151"/>
        <v>2741574</v>
      </c>
      <c r="S64" s="166">
        <f t="shared" ref="S64:U64" si="152">S139</f>
        <v>3217099</v>
      </c>
      <c r="T64" s="166">
        <f t="shared" si="152"/>
        <v>2990908</v>
      </c>
      <c r="U64" s="166">
        <f t="shared" si="152"/>
        <v>3037879</v>
      </c>
      <c r="V64" s="166">
        <f t="shared" ref="V64:AA64" si="153">V139</f>
        <v>3018899</v>
      </c>
      <c r="W64" s="166">
        <f t="shared" si="153"/>
        <v>0</v>
      </c>
      <c r="X64" s="166">
        <f t="shared" si="153"/>
        <v>0</v>
      </c>
      <c r="Y64" s="166">
        <f t="shared" si="153"/>
        <v>0</v>
      </c>
      <c r="Z64" s="166">
        <f t="shared" si="153"/>
        <v>0</v>
      </c>
      <c r="AA64" s="166">
        <f t="shared" si="153"/>
        <v>0</v>
      </c>
      <c r="AB64" s="166">
        <f t="shared" ref="AB64:AD64" si="154">AB139</f>
        <v>0</v>
      </c>
      <c r="AC64" s="166">
        <f t="shared" si="154"/>
        <v>0</v>
      </c>
      <c r="AD64" s="166">
        <f t="shared" si="154"/>
        <v>0</v>
      </c>
      <c r="AE64" s="166">
        <f t="shared" ref="AE64:AF64" si="155">AE139</f>
        <v>0</v>
      </c>
      <c r="AF64" s="166">
        <f t="shared" si="155"/>
        <v>0</v>
      </c>
    </row>
    <row r="65" spans="1:34" outlineLevel="1">
      <c r="B65" s="204" t="str">
        <f t="shared" si="150"/>
        <v>Trust</v>
      </c>
      <c r="C65" s="11"/>
      <c r="D65" s="11"/>
      <c r="E65" s="11"/>
      <c r="F65" s="11"/>
      <c r="G65" s="171"/>
      <c r="H65" s="165"/>
      <c r="I65" s="165"/>
      <c r="J65" s="165"/>
      <c r="K65" s="165"/>
      <c r="L65" s="165"/>
      <c r="M65" s="165"/>
      <c r="N65" s="166">
        <f t="shared" si="151"/>
        <v>15100000</v>
      </c>
      <c r="O65" s="166">
        <f t="shared" si="151"/>
        <v>215100000</v>
      </c>
      <c r="P65" s="166">
        <f t="shared" si="151"/>
        <v>19029735</v>
      </c>
      <c r="Q65" s="166">
        <f t="shared" si="151"/>
        <v>19180485</v>
      </c>
      <c r="R65" s="166">
        <f t="shared" si="151"/>
        <v>15100000</v>
      </c>
      <c r="S65" s="166">
        <f t="shared" ref="S65:U65" si="156">S140</f>
        <v>15100000</v>
      </c>
      <c r="T65" s="166">
        <f t="shared" si="156"/>
        <v>15100000</v>
      </c>
      <c r="U65" s="166">
        <f t="shared" si="156"/>
        <v>15100000</v>
      </c>
      <c r="V65" s="166">
        <f t="shared" ref="V65:AA65" si="157">V140</f>
        <v>15100000</v>
      </c>
      <c r="W65" s="166">
        <f t="shared" si="157"/>
        <v>0</v>
      </c>
      <c r="X65" s="166">
        <f t="shared" si="157"/>
        <v>0</v>
      </c>
      <c r="Y65" s="166">
        <f t="shared" si="157"/>
        <v>0</v>
      </c>
      <c r="Z65" s="166">
        <f t="shared" si="157"/>
        <v>0</v>
      </c>
      <c r="AA65" s="166">
        <f t="shared" si="157"/>
        <v>0</v>
      </c>
      <c r="AB65" s="166">
        <f t="shared" ref="AB65:AD65" si="158">AB140</f>
        <v>0</v>
      </c>
      <c r="AC65" s="166">
        <f t="shared" si="158"/>
        <v>0</v>
      </c>
      <c r="AD65" s="166">
        <f t="shared" si="158"/>
        <v>0</v>
      </c>
      <c r="AE65" s="166">
        <f t="shared" ref="AE65:AF65" si="159">AE140</f>
        <v>0</v>
      </c>
      <c r="AF65" s="166">
        <f t="shared" si="159"/>
        <v>0</v>
      </c>
    </row>
    <row r="66" spans="1:34" outlineLevel="1">
      <c r="B66" s="204" t="str">
        <f t="shared" si="150"/>
        <v>Interest and investment (losses) earnings</v>
      </c>
      <c r="C66" s="11"/>
      <c r="D66" s="11"/>
      <c r="E66" s="11"/>
      <c r="F66" s="11"/>
      <c r="G66" s="171"/>
      <c r="H66" s="165"/>
      <c r="I66" s="165"/>
      <c r="J66" s="165"/>
      <c r="K66" s="165"/>
      <c r="L66" s="165"/>
      <c r="M66" s="165"/>
      <c r="N66" s="166">
        <f t="shared" si="151"/>
        <v>68061676</v>
      </c>
      <c r="O66" s="166">
        <f t="shared" si="151"/>
        <v>-4764509</v>
      </c>
      <c r="P66" s="166">
        <f t="shared" si="151"/>
        <v>35089035</v>
      </c>
      <c r="Q66" s="166">
        <f t="shared" si="151"/>
        <v>53858748</v>
      </c>
      <c r="R66" s="166">
        <f t="shared" si="151"/>
        <v>1841431</v>
      </c>
      <c r="S66" s="166">
        <f t="shared" ref="S66:U66" si="160">S141</f>
        <v>-3759322</v>
      </c>
      <c r="T66" s="166">
        <f t="shared" si="160"/>
        <v>39560405</v>
      </c>
      <c r="U66" s="166">
        <f t="shared" si="160"/>
        <v>33085232</v>
      </c>
      <c r="V66" s="166">
        <f t="shared" ref="V66:AA66" si="161">V141</f>
        <v>24595989</v>
      </c>
      <c r="W66" s="166">
        <f t="shared" si="161"/>
        <v>0</v>
      </c>
      <c r="X66" s="166">
        <f t="shared" si="161"/>
        <v>0</v>
      </c>
      <c r="Y66" s="166">
        <f t="shared" si="161"/>
        <v>0</v>
      </c>
      <c r="Z66" s="166">
        <f t="shared" si="161"/>
        <v>0</v>
      </c>
      <c r="AA66" s="166">
        <f t="shared" si="161"/>
        <v>0</v>
      </c>
      <c r="AB66" s="166">
        <f t="shared" ref="AB66:AD66" si="162">AB141</f>
        <v>0</v>
      </c>
      <c r="AC66" s="166">
        <f t="shared" si="162"/>
        <v>0</v>
      </c>
      <c r="AD66" s="166">
        <f t="shared" si="162"/>
        <v>0</v>
      </c>
      <c r="AE66" s="166">
        <f t="shared" ref="AE66:AF66" si="163">AE141</f>
        <v>0</v>
      </c>
      <c r="AF66" s="166">
        <f t="shared" si="163"/>
        <v>0</v>
      </c>
    </row>
    <row r="67" spans="1:34" outlineLevel="1">
      <c r="B67" s="204" t="str">
        <f t="shared" si="150"/>
        <v>Newspaper ads</v>
      </c>
      <c r="C67" s="11"/>
      <c r="D67" s="11"/>
      <c r="E67" s="11"/>
      <c r="F67" s="11"/>
      <c r="G67" s="171"/>
      <c r="H67" s="165"/>
      <c r="I67" s="165"/>
      <c r="J67" s="165"/>
      <c r="K67" s="165"/>
      <c r="L67" s="165"/>
      <c r="M67" s="165"/>
      <c r="N67" s="166">
        <f t="shared" si="151"/>
        <v>106651</v>
      </c>
      <c r="O67" s="166">
        <f t="shared" si="151"/>
        <v>102040</v>
      </c>
      <c r="P67" s="166">
        <f t="shared" si="151"/>
        <v>80356</v>
      </c>
      <c r="Q67" s="166">
        <f t="shared" si="151"/>
        <v>78749</v>
      </c>
      <c r="R67" s="166">
        <f t="shared" si="151"/>
        <v>0</v>
      </c>
      <c r="S67" s="166">
        <f t="shared" ref="S67:U67" si="164">S142</f>
        <v>0</v>
      </c>
      <c r="T67" s="166">
        <f t="shared" si="164"/>
        <v>0</v>
      </c>
      <c r="U67" s="166">
        <f t="shared" si="164"/>
        <v>0</v>
      </c>
      <c r="V67" s="166">
        <f t="shared" ref="V67:AA67" si="165">V142</f>
        <v>0</v>
      </c>
      <c r="W67" s="166">
        <f t="shared" si="165"/>
        <v>0</v>
      </c>
      <c r="X67" s="166">
        <f t="shared" si="165"/>
        <v>0</v>
      </c>
      <c r="Y67" s="166">
        <f t="shared" si="165"/>
        <v>0</v>
      </c>
      <c r="Z67" s="166">
        <f t="shared" si="165"/>
        <v>0</v>
      </c>
      <c r="AA67" s="166">
        <f t="shared" si="165"/>
        <v>0</v>
      </c>
      <c r="AB67" s="166">
        <f t="shared" ref="AB67:AD67" si="166">AB142</f>
        <v>0</v>
      </c>
      <c r="AC67" s="166">
        <f t="shared" si="166"/>
        <v>0</v>
      </c>
      <c r="AD67" s="166">
        <f t="shared" si="166"/>
        <v>0</v>
      </c>
      <c r="AE67" s="166">
        <f t="shared" ref="AE67:AF67" si="167">AE142</f>
        <v>0</v>
      </c>
      <c r="AF67" s="166">
        <f t="shared" si="167"/>
        <v>0</v>
      </c>
    </row>
    <row r="68" spans="1:34" outlineLevel="1">
      <c r="B68" s="204" t="str">
        <f t="shared" si="150"/>
        <v>Donations and other</v>
      </c>
      <c r="C68" s="11"/>
      <c r="D68" s="11"/>
      <c r="E68" s="11"/>
      <c r="F68" s="11"/>
      <c r="G68" s="171"/>
      <c r="H68" s="165"/>
      <c r="I68" s="165"/>
      <c r="J68" s="165"/>
      <c r="K68" s="165"/>
      <c r="L68" s="165"/>
      <c r="M68" s="165"/>
      <c r="N68" s="166">
        <f t="shared" si="151"/>
        <v>685682</v>
      </c>
      <c r="O68" s="166">
        <f t="shared" si="151"/>
        <v>378693</v>
      </c>
      <c r="P68" s="166">
        <f t="shared" si="151"/>
        <v>1137786</v>
      </c>
      <c r="Q68" s="166">
        <f t="shared" si="151"/>
        <v>293486</v>
      </c>
      <c r="R68" s="166">
        <f t="shared" si="151"/>
        <v>709920</v>
      </c>
      <c r="S68" s="166">
        <f t="shared" ref="S68:U68" si="168">S143</f>
        <v>331028</v>
      </c>
      <c r="T68" s="166">
        <f t="shared" si="168"/>
        <v>635326</v>
      </c>
      <c r="U68" s="166">
        <f t="shared" si="168"/>
        <v>375294</v>
      </c>
      <c r="V68" s="166">
        <f t="shared" ref="V68:AA68" si="169">V143</f>
        <v>468624</v>
      </c>
      <c r="W68" s="166">
        <f t="shared" si="169"/>
        <v>0</v>
      </c>
      <c r="X68" s="166">
        <f t="shared" si="169"/>
        <v>0</v>
      </c>
      <c r="Y68" s="166">
        <f t="shared" si="169"/>
        <v>0</v>
      </c>
      <c r="Z68" s="166">
        <f t="shared" si="169"/>
        <v>0</v>
      </c>
      <c r="AA68" s="166">
        <f t="shared" si="169"/>
        <v>0</v>
      </c>
      <c r="AB68" s="166">
        <f t="shared" ref="AB68:AD68" si="170">AB143</f>
        <v>0</v>
      </c>
      <c r="AC68" s="166">
        <f t="shared" si="170"/>
        <v>0</v>
      </c>
      <c r="AD68" s="166">
        <f t="shared" si="170"/>
        <v>0</v>
      </c>
      <c r="AE68" s="166">
        <f t="shared" ref="AE68:AF68" si="171">AE143</f>
        <v>0</v>
      </c>
      <c r="AF68" s="166">
        <f t="shared" si="171"/>
        <v>0</v>
      </c>
    </row>
    <row r="69" spans="1:34" outlineLevel="1">
      <c r="B69" s="204" t="str">
        <f t="shared" si="150"/>
        <v>Limited Liability Company B</v>
      </c>
      <c r="C69" s="11"/>
      <c r="D69" s="11"/>
      <c r="E69" s="11"/>
      <c r="F69" s="11"/>
      <c r="G69" s="171"/>
      <c r="H69" s="165"/>
      <c r="I69" s="165"/>
      <c r="J69" s="165"/>
      <c r="K69" s="165"/>
      <c r="L69" s="165"/>
      <c r="M69" s="165"/>
      <c r="N69" s="166">
        <f t="shared" si="151"/>
        <v>2306531</v>
      </c>
      <c r="O69" s="166">
        <f t="shared" si="151"/>
        <v>0</v>
      </c>
      <c r="P69" s="166">
        <f t="shared" si="151"/>
        <v>3233561</v>
      </c>
      <c r="Q69" s="166">
        <f t="shared" si="151"/>
        <v>4344603</v>
      </c>
      <c r="R69" s="166">
        <f t="shared" si="151"/>
        <v>4029092</v>
      </c>
      <c r="S69" s="166">
        <f t="shared" ref="S69:U69" si="172">S144</f>
        <v>0</v>
      </c>
      <c r="T69" s="166">
        <f t="shared" si="172"/>
        <v>0</v>
      </c>
      <c r="U69" s="166">
        <f t="shared" si="172"/>
        <v>0</v>
      </c>
      <c r="V69" s="166">
        <f t="shared" ref="V69:AA69" si="173">V144</f>
        <v>0</v>
      </c>
      <c r="W69" s="166">
        <f t="shared" si="173"/>
        <v>0</v>
      </c>
      <c r="X69" s="166">
        <f t="shared" si="173"/>
        <v>0</v>
      </c>
      <c r="Y69" s="166">
        <f t="shared" si="173"/>
        <v>0</v>
      </c>
      <c r="Z69" s="166">
        <f t="shared" si="173"/>
        <v>0</v>
      </c>
      <c r="AA69" s="166">
        <f t="shared" si="173"/>
        <v>0</v>
      </c>
      <c r="AB69" s="166">
        <f t="shared" ref="AB69:AD69" si="174">AB144</f>
        <v>0</v>
      </c>
      <c r="AC69" s="166">
        <f t="shared" si="174"/>
        <v>0</v>
      </c>
      <c r="AD69" s="166">
        <f t="shared" si="174"/>
        <v>0</v>
      </c>
      <c r="AE69" s="166">
        <f t="shared" ref="AE69:AF69" si="175">AE144</f>
        <v>0</v>
      </c>
      <c r="AF69" s="166">
        <f t="shared" si="175"/>
        <v>0</v>
      </c>
    </row>
    <row r="70" spans="1:34" outlineLevel="1">
      <c r="B70" s="204" t="str">
        <f t="shared" si="150"/>
        <v>Non-imposed fringe benefits</v>
      </c>
      <c r="C70" s="11"/>
      <c r="D70" s="11"/>
      <c r="E70" s="11"/>
      <c r="F70" s="11"/>
      <c r="G70" s="171"/>
      <c r="H70" s="165"/>
      <c r="I70" s="165"/>
      <c r="J70" s="165"/>
      <c r="K70" s="165"/>
      <c r="L70" s="165"/>
      <c r="M70" s="165"/>
      <c r="N70" s="166">
        <f t="shared" si="151"/>
        <v>214301</v>
      </c>
      <c r="O70" s="166">
        <f t="shared" si="151"/>
        <v>183305</v>
      </c>
      <c r="P70" s="166">
        <f t="shared" si="151"/>
        <v>191152</v>
      </c>
      <c r="Q70" s="166">
        <f t="shared" si="151"/>
        <v>196529</v>
      </c>
      <c r="R70" s="166">
        <f t="shared" si="151"/>
        <v>204692</v>
      </c>
      <c r="S70" s="166">
        <f t="shared" ref="S70:U70" si="176">S145</f>
        <v>213008</v>
      </c>
      <c r="T70" s="166">
        <f t="shared" si="176"/>
        <v>235135</v>
      </c>
      <c r="U70" s="166">
        <f t="shared" si="176"/>
        <v>554408</v>
      </c>
      <c r="V70" s="166">
        <f t="shared" ref="V70:AA70" si="177">V145</f>
        <v>594067</v>
      </c>
      <c r="W70" s="166">
        <f t="shared" si="177"/>
        <v>0</v>
      </c>
      <c r="X70" s="166">
        <f t="shared" si="177"/>
        <v>0</v>
      </c>
      <c r="Y70" s="166">
        <f t="shared" si="177"/>
        <v>0</v>
      </c>
      <c r="Z70" s="166">
        <f t="shared" si="177"/>
        <v>0</v>
      </c>
      <c r="AA70" s="166">
        <f t="shared" si="177"/>
        <v>0</v>
      </c>
      <c r="AB70" s="166">
        <f t="shared" ref="AB70:AD70" si="178">AB145</f>
        <v>0</v>
      </c>
      <c r="AC70" s="166">
        <f t="shared" si="178"/>
        <v>0</v>
      </c>
      <c r="AD70" s="166">
        <f t="shared" si="178"/>
        <v>0</v>
      </c>
      <c r="AE70" s="166">
        <f t="shared" ref="AE70:AF70" si="179">AE145</f>
        <v>0</v>
      </c>
      <c r="AF70" s="166">
        <f t="shared" si="179"/>
        <v>0</v>
      </c>
    </row>
    <row r="71" spans="1:34" s="57" customFormat="1">
      <c r="C71" s="151"/>
      <c r="D71" s="151"/>
      <c r="E71" s="151"/>
      <c r="F71" s="174" t="s">
        <v>308</v>
      </c>
      <c r="G71" s="175"/>
      <c r="H71" s="208"/>
      <c r="I71" s="208"/>
      <c r="J71" s="208"/>
      <c r="K71" s="208"/>
      <c r="L71" s="208"/>
      <c r="M71" s="208"/>
      <c r="N71" s="176">
        <f>SUM(N64:N70)</f>
        <v>88786714</v>
      </c>
      <c r="O71" s="176">
        <f>SUM(O64:O70)</f>
        <v>213313867</v>
      </c>
      <c r="P71" s="176">
        <f>SUM(P64:P70)</f>
        <v>61114626</v>
      </c>
      <c r="Q71" s="176">
        <f>SUM(Q64:Q70)</f>
        <v>81086674</v>
      </c>
      <c r="R71" s="176">
        <f>SUM(R64:R70)</f>
        <v>24626709</v>
      </c>
      <c r="S71" s="176">
        <f t="shared" ref="S71:U71" si="180">SUM(S64:S70)</f>
        <v>15101813</v>
      </c>
      <c r="T71" s="176">
        <f>SUM(T64:T70)</f>
        <v>58521774</v>
      </c>
      <c r="U71" s="176">
        <f t="shared" si="180"/>
        <v>52152813</v>
      </c>
      <c r="V71" s="176">
        <f t="shared" ref="V71:AA71" si="181">SUM(V64:V70)</f>
        <v>43777579</v>
      </c>
      <c r="W71" s="176">
        <f t="shared" si="181"/>
        <v>0</v>
      </c>
      <c r="X71" s="176">
        <f t="shared" si="181"/>
        <v>0</v>
      </c>
      <c r="Y71" s="176">
        <f t="shared" si="181"/>
        <v>0</v>
      </c>
      <c r="Z71" s="176">
        <f t="shared" si="181"/>
        <v>0</v>
      </c>
      <c r="AA71" s="176">
        <f t="shared" si="181"/>
        <v>0</v>
      </c>
      <c r="AB71" s="176">
        <f t="shared" ref="AB71:AD71" si="182">SUM(AB64:AB70)</f>
        <v>0</v>
      </c>
      <c r="AC71" s="176">
        <f t="shared" si="182"/>
        <v>0</v>
      </c>
      <c r="AD71" s="176">
        <f t="shared" si="182"/>
        <v>0</v>
      </c>
      <c r="AE71" s="176">
        <f t="shared" ref="AE71:AF71" si="183">SUM(AE64:AE70)</f>
        <v>0</v>
      </c>
      <c r="AF71" s="176">
        <f t="shared" si="183"/>
        <v>0</v>
      </c>
      <c r="AG71" s="63"/>
      <c r="AH71" s="63"/>
    </row>
    <row r="72" spans="1:34" s="57" customFormat="1" collapsed="1">
      <c r="C72" s="151"/>
      <c r="D72" s="151"/>
      <c r="E72" s="151"/>
      <c r="F72" s="174" t="s">
        <v>309</v>
      </c>
      <c r="G72" s="175"/>
      <c r="H72" s="208"/>
      <c r="I72" s="208"/>
      <c r="J72" s="208"/>
      <c r="K72" s="208"/>
      <c r="L72" s="208"/>
      <c r="M72" s="208"/>
      <c r="N72" s="176">
        <f>N61+N71</f>
        <v>90330871</v>
      </c>
      <c r="O72" s="176">
        <f>O61+O71</f>
        <v>217028128</v>
      </c>
      <c r="P72" s="176">
        <f>P61+P71</f>
        <v>62304335</v>
      </c>
      <c r="Q72" s="176">
        <f>Q61+Q71</f>
        <v>82285815</v>
      </c>
      <c r="R72" s="176">
        <f>R61+R71</f>
        <v>30289013</v>
      </c>
      <c r="S72" s="176">
        <f t="shared" ref="S72:U72" si="184">S61+S71</f>
        <v>26165860</v>
      </c>
      <c r="T72" s="176">
        <f>T61+T71</f>
        <v>71752613</v>
      </c>
      <c r="U72" s="176">
        <f t="shared" si="184"/>
        <v>66223823</v>
      </c>
      <c r="V72" s="176">
        <f t="shared" ref="V72:AA72" si="185">V61+V71</f>
        <v>59559975</v>
      </c>
      <c r="W72" s="176">
        <f t="shared" si="185"/>
        <v>0</v>
      </c>
      <c r="X72" s="176">
        <f t="shared" si="185"/>
        <v>0</v>
      </c>
      <c r="Y72" s="176">
        <f t="shared" si="185"/>
        <v>0</v>
      </c>
      <c r="Z72" s="176">
        <f t="shared" si="185"/>
        <v>0</v>
      </c>
      <c r="AA72" s="176">
        <f t="shared" si="185"/>
        <v>0</v>
      </c>
      <c r="AB72" s="176">
        <f t="shared" ref="AB72:AD72" si="186">AB61+AB71</f>
        <v>0</v>
      </c>
      <c r="AC72" s="176">
        <f t="shared" si="186"/>
        <v>0</v>
      </c>
      <c r="AD72" s="176">
        <f t="shared" si="186"/>
        <v>0</v>
      </c>
      <c r="AE72" s="176">
        <f t="shared" ref="AE72:AF72" si="187">AE61+AE71</f>
        <v>0</v>
      </c>
      <c r="AF72" s="176">
        <f t="shared" si="187"/>
        <v>0</v>
      </c>
      <c r="AG72" s="63"/>
      <c r="AH72" s="63"/>
    </row>
    <row r="73" spans="1:34" s="57" customFormat="1">
      <c r="C73" s="151"/>
      <c r="D73" s="151"/>
      <c r="E73" s="151"/>
      <c r="F73" s="139"/>
      <c r="G73" s="141"/>
      <c r="H73" s="170"/>
      <c r="I73" s="170"/>
      <c r="J73" s="170"/>
      <c r="K73" s="170"/>
      <c r="L73" s="170"/>
      <c r="M73" s="170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</row>
    <row r="74" spans="1:34" s="57" customFormat="1">
      <c r="A74" s="57" t="s">
        <v>49</v>
      </c>
      <c r="C74" s="151"/>
      <c r="D74" s="151"/>
      <c r="E74" s="151"/>
      <c r="F74" s="139"/>
      <c r="G74" s="141"/>
      <c r="H74" s="170"/>
      <c r="I74" s="170"/>
      <c r="J74" s="170"/>
      <c r="K74" s="170"/>
      <c r="L74" s="170"/>
      <c r="M74" s="170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</row>
    <row r="75" spans="1:34" outlineLevel="1">
      <c r="B75" s="204" t="str">
        <f t="shared" ref="B75:B80" si="188">A146</f>
        <v>Management</v>
      </c>
      <c r="C75" s="11"/>
      <c r="D75" s="11"/>
      <c r="E75" s="11"/>
      <c r="F75" s="11"/>
      <c r="G75" s="171"/>
      <c r="H75" s="165"/>
      <c r="I75" s="165"/>
      <c r="J75" s="165"/>
      <c r="K75" s="165"/>
      <c r="L75" s="165"/>
      <c r="M75" s="165"/>
      <c r="N75" s="166">
        <f t="shared" ref="N75:R80" si="189">N146</f>
        <v>1750028</v>
      </c>
      <c r="O75" s="166">
        <f t="shared" si="189"/>
        <v>1958462</v>
      </c>
      <c r="P75" s="166">
        <f t="shared" si="189"/>
        <v>2085809</v>
      </c>
      <c r="Q75" s="166">
        <f t="shared" si="189"/>
        <v>2262864</v>
      </c>
      <c r="R75" s="166">
        <f t="shared" si="189"/>
        <v>2480763</v>
      </c>
      <c r="S75" s="166">
        <f t="shared" ref="S75:U75" si="190">S146</f>
        <v>2721390</v>
      </c>
      <c r="T75" s="166">
        <f t="shared" si="190"/>
        <v>2766255</v>
      </c>
      <c r="U75" s="166">
        <f t="shared" si="190"/>
        <v>2888608</v>
      </c>
      <c r="V75" s="166">
        <f t="shared" ref="V75:AA75" si="191">V146</f>
        <v>3111437</v>
      </c>
      <c r="W75" s="166">
        <f t="shared" si="191"/>
        <v>0</v>
      </c>
      <c r="X75" s="166">
        <f t="shared" si="191"/>
        <v>0</v>
      </c>
      <c r="Y75" s="166">
        <f t="shared" si="191"/>
        <v>0</v>
      </c>
      <c r="Z75" s="166">
        <f t="shared" si="191"/>
        <v>0</v>
      </c>
      <c r="AA75" s="166">
        <f t="shared" si="191"/>
        <v>0</v>
      </c>
      <c r="AB75" s="166">
        <f t="shared" ref="AB75:AD75" si="192">AB146</f>
        <v>0</v>
      </c>
      <c r="AC75" s="166">
        <f t="shared" si="192"/>
        <v>0</v>
      </c>
      <c r="AD75" s="166">
        <f t="shared" si="192"/>
        <v>0</v>
      </c>
      <c r="AE75" s="166">
        <f t="shared" ref="AE75:AF75" si="193">AE146</f>
        <v>0</v>
      </c>
      <c r="AF75" s="166">
        <f t="shared" si="193"/>
        <v>0</v>
      </c>
    </row>
    <row r="76" spans="1:34" outlineLevel="1">
      <c r="B76" s="204" t="str">
        <f t="shared" si="188"/>
        <v>Support Services</v>
      </c>
      <c r="C76" s="11"/>
      <c r="D76" s="11"/>
      <c r="E76" s="11"/>
      <c r="F76" s="11"/>
      <c r="G76" s="171"/>
      <c r="H76" s="165"/>
      <c r="I76" s="165"/>
      <c r="J76" s="165"/>
      <c r="K76" s="165"/>
      <c r="L76" s="165"/>
      <c r="M76" s="165"/>
      <c r="N76" s="166">
        <f t="shared" si="189"/>
        <v>13449526</v>
      </c>
      <c r="O76" s="166">
        <f t="shared" si="189"/>
        <v>15928185</v>
      </c>
      <c r="P76" s="166">
        <f t="shared" si="189"/>
        <v>18102738</v>
      </c>
      <c r="Q76" s="166">
        <f t="shared" si="189"/>
        <v>18271663</v>
      </c>
      <c r="R76" s="166">
        <f t="shared" si="189"/>
        <v>17903348</v>
      </c>
      <c r="S76" s="166">
        <f t="shared" ref="S76:U76" si="194">S147</f>
        <v>18215811</v>
      </c>
      <c r="T76" s="166">
        <f t="shared" si="194"/>
        <v>19554828</v>
      </c>
      <c r="U76" s="166">
        <f t="shared" si="194"/>
        <v>18903267</v>
      </c>
      <c r="V76" s="166">
        <f t="shared" ref="V76:AA76" si="195">V147</f>
        <v>20292212</v>
      </c>
      <c r="W76" s="166">
        <f t="shared" si="195"/>
        <v>0</v>
      </c>
      <c r="X76" s="166">
        <f t="shared" si="195"/>
        <v>0</v>
      </c>
      <c r="Y76" s="166">
        <f t="shared" si="195"/>
        <v>0</v>
      </c>
      <c r="Z76" s="166">
        <f t="shared" si="195"/>
        <v>0</v>
      </c>
      <c r="AA76" s="166">
        <f t="shared" si="195"/>
        <v>0</v>
      </c>
      <c r="AB76" s="166">
        <f t="shared" ref="AB76:AD76" si="196">AB147</f>
        <v>0</v>
      </c>
      <c r="AC76" s="166">
        <f t="shared" si="196"/>
        <v>0</v>
      </c>
      <c r="AD76" s="166">
        <f t="shared" si="196"/>
        <v>0</v>
      </c>
      <c r="AE76" s="166">
        <f t="shared" ref="AE76:AF76" si="197">AE147</f>
        <v>0</v>
      </c>
      <c r="AF76" s="166">
        <f t="shared" si="197"/>
        <v>0</v>
      </c>
    </row>
    <row r="77" spans="1:34" outlineLevel="1">
      <c r="B77" s="204" t="str">
        <f t="shared" si="188"/>
        <v>Beneficiary Advocacy</v>
      </c>
      <c r="C77" s="11"/>
      <c r="D77" s="11"/>
      <c r="E77" s="11"/>
      <c r="F77" s="11"/>
      <c r="G77" s="171"/>
      <c r="H77" s="165"/>
      <c r="I77" s="165"/>
      <c r="J77" s="165"/>
      <c r="K77" s="165"/>
      <c r="L77" s="165"/>
      <c r="M77" s="165"/>
      <c r="N77" s="166">
        <f t="shared" si="189"/>
        <v>23081861</v>
      </c>
      <c r="O77" s="166">
        <f t="shared" si="189"/>
        <v>24343621</v>
      </c>
      <c r="P77" s="166">
        <f t="shared" si="189"/>
        <v>22503694</v>
      </c>
      <c r="Q77" s="166">
        <f t="shared" si="189"/>
        <v>25258042</v>
      </c>
      <c r="R77" s="166">
        <f t="shared" si="189"/>
        <v>22660392</v>
      </c>
      <c r="S77" s="166">
        <f t="shared" ref="S77:U77" si="198">S148</f>
        <v>25906661</v>
      </c>
      <c r="T77" s="166">
        <f t="shared" si="198"/>
        <v>14911396</v>
      </c>
      <c r="U77" s="166">
        <f t="shared" si="198"/>
        <v>19130071</v>
      </c>
      <c r="V77" s="166">
        <f t="shared" ref="V77:AA77" si="199">V148</f>
        <v>17892353</v>
      </c>
      <c r="W77" s="166">
        <f t="shared" si="199"/>
        <v>0</v>
      </c>
      <c r="X77" s="166">
        <f t="shared" si="199"/>
        <v>0</v>
      </c>
      <c r="Y77" s="166">
        <f t="shared" si="199"/>
        <v>0</v>
      </c>
      <c r="Z77" s="166">
        <f t="shared" si="199"/>
        <v>0</v>
      </c>
      <c r="AA77" s="166">
        <f t="shared" si="199"/>
        <v>0</v>
      </c>
      <c r="AB77" s="166">
        <f t="shared" ref="AB77:AD77" si="200">AB148</f>
        <v>0</v>
      </c>
      <c r="AC77" s="166">
        <f t="shared" si="200"/>
        <v>0</v>
      </c>
      <c r="AD77" s="166">
        <f t="shared" si="200"/>
        <v>0</v>
      </c>
      <c r="AE77" s="166">
        <f t="shared" ref="AE77:AF77" si="201">AE148</f>
        <v>0</v>
      </c>
      <c r="AF77" s="166">
        <f t="shared" si="201"/>
        <v>0</v>
      </c>
    </row>
    <row r="78" spans="1:34" outlineLevel="1">
      <c r="B78" s="204" t="str">
        <f t="shared" si="188"/>
        <v>Depreciation</v>
      </c>
      <c r="C78" s="11"/>
      <c r="D78" s="11"/>
      <c r="E78" s="11"/>
      <c r="F78" s="11"/>
      <c r="G78" s="171"/>
      <c r="H78" s="165"/>
      <c r="I78" s="165"/>
      <c r="J78" s="165"/>
      <c r="K78" s="165"/>
      <c r="L78" s="165"/>
      <c r="M78" s="165"/>
      <c r="N78" s="166">
        <f t="shared" si="189"/>
        <v>454734</v>
      </c>
      <c r="O78" s="166">
        <f t="shared" si="189"/>
        <v>506173</v>
      </c>
      <c r="P78" s="166">
        <f t="shared" si="189"/>
        <v>1351099</v>
      </c>
      <c r="Q78" s="166">
        <f t="shared" si="189"/>
        <v>2579713</v>
      </c>
      <c r="R78" s="166">
        <f t="shared" si="189"/>
        <v>2154799</v>
      </c>
      <c r="S78" s="166">
        <f t="shared" ref="S78:U78" si="202">S149</f>
        <v>2298698</v>
      </c>
      <c r="T78" s="166">
        <f t="shared" si="202"/>
        <v>2412043</v>
      </c>
      <c r="U78" s="166">
        <f t="shared" si="202"/>
        <v>2227170</v>
      </c>
      <c r="V78" s="166">
        <f t="shared" ref="V78:AA78" si="203">V149</f>
        <v>1985592</v>
      </c>
      <c r="W78" s="166">
        <f t="shared" si="203"/>
        <v>0</v>
      </c>
      <c r="X78" s="166">
        <f t="shared" si="203"/>
        <v>0</v>
      </c>
      <c r="Y78" s="166">
        <f t="shared" si="203"/>
        <v>0</v>
      </c>
      <c r="Z78" s="166">
        <f t="shared" si="203"/>
        <v>0</v>
      </c>
      <c r="AA78" s="166">
        <f t="shared" si="203"/>
        <v>0</v>
      </c>
      <c r="AB78" s="166">
        <f t="shared" ref="AB78:AD78" si="204">AB149</f>
        <v>0</v>
      </c>
      <c r="AC78" s="166">
        <f t="shared" si="204"/>
        <v>0</v>
      </c>
      <c r="AD78" s="166">
        <f t="shared" si="204"/>
        <v>0</v>
      </c>
      <c r="AE78" s="166">
        <f t="shared" ref="AE78:AF78" si="205">AE149</f>
        <v>0</v>
      </c>
      <c r="AF78" s="166">
        <f t="shared" si="205"/>
        <v>0</v>
      </c>
    </row>
    <row r="79" spans="1:34" outlineLevel="1">
      <c r="B79" s="204" t="str">
        <f t="shared" si="188"/>
        <v>Limited Liability Company A</v>
      </c>
      <c r="C79" s="11"/>
      <c r="D79" s="11"/>
      <c r="E79" s="11"/>
      <c r="F79" s="11"/>
      <c r="G79" s="171"/>
      <c r="H79" s="165"/>
      <c r="I79" s="165"/>
      <c r="J79" s="165"/>
      <c r="K79" s="165"/>
      <c r="L79" s="165"/>
      <c r="M79" s="165"/>
      <c r="N79" s="166">
        <f>N150</f>
        <v>0</v>
      </c>
      <c r="O79" s="166">
        <f t="shared" si="189"/>
        <v>216466</v>
      </c>
      <c r="P79" s="166">
        <f t="shared" si="189"/>
        <v>376339</v>
      </c>
      <c r="Q79" s="166">
        <f t="shared" si="189"/>
        <v>379514</v>
      </c>
      <c r="R79" s="166">
        <f t="shared" si="189"/>
        <v>364817</v>
      </c>
      <c r="S79" s="166">
        <f t="shared" ref="S79:U79" si="206">S150</f>
        <v>363014</v>
      </c>
      <c r="T79" s="166">
        <f t="shared" si="206"/>
        <v>314077</v>
      </c>
      <c r="U79" s="166">
        <f t="shared" si="206"/>
        <v>235097</v>
      </c>
      <c r="V79" s="166">
        <f t="shared" ref="V79:AA79" si="207">V150</f>
        <v>478849</v>
      </c>
      <c r="W79" s="166">
        <f t="shared" si="207"/>
        <v>0</v>
      </c>
      <c r="X79" s="166">
        <f t="shared" si="207"/>
        <v>0</v>
      </c>
      <c r="Y79" s="166">
        <f t="shared" si="207"/>
        <v>0</v>
      </c>
      <c r="Z79" s="166">
        <f t="shared" si="207"/>
        <v>0</v>
      </c>
      <c r="AA79" s="166">
        <f t="shared" si="207"/>
        <v>0</v>
      </c>
      <c r="AB79" s="166">
        <f t="shared" ref="AB79:AD79" si="208">AB150</f>
        <v>0</v>
      </c>
      <c r="AC79" s="166">
        <f t="shared" si="208"/>
        <v>0</v>
      </c>
      <c r="AD79" s="166">
        <f t="shared" si="208"/>
        <v>0</v>
      </c>
      <c r="AE79" s="166">
        <f t="shared" ref="AE79:AF79" si="209">AE150</f>
        <v>0</v>
      </c>
      <c r="AF79" s="166">
        <f t="shared" si="209"/>
        <v>0</v>
      </c>
    </row>
    <row r="80" spans="1:34" outlineLevel="1">
      <c r="B80" s="204" t="str">
        <f t="shared" si="188"/>
        <v>Limited Liability Company B</v>
      </c>
      <c r="C80" s="11"/>
      <c r="D80" s="11"/>
      <c r="E80" s="11"/>
      <c r="F80" s="11"/>
      <c r="G80" s="171"/>
      <c r="H80" s="165"/>
      <c r="I80" s="165"/>
      <c r="J80" s="165"/>
      <c r="K80" s="165"/>
      <c r="L80" s="165"/>
      <c r="M80" s="165"/>
      <c r="N80" s="166">
        <f t="shared" si="189"/>
        <v>3594267</v>
      </c>
      <c r="O80" s="166">
        <f t="shared" si="189"/>
        <v>3938462</v>
      </c>
      <c r="P80" s="166">
        <f t="shared" si="189"/>
        <v>3909405</v>
      </c>
      <c r="Q80" s="166">
        <f t="shared" si="189"/>
        <v>4404761</v>
      </c>
      <c r="R80" s="166">
        <f t="shared" si="189"/>
        <v>5927162</v>
      </c>
      <c r="S80" s="166">
        <f t="shared" ref="S80:U80" si="210">S151</f>
        <v>5010868</v>
      </c>
      <c r="T80" s="166">
        <f t="shared" si="210"/>
        <v>5214852</v>
      </c>
      <c r="U80" s="166">
        <f t="shared" si="210"/>
        <v>5495298</v>
      </c>
      <c r="V80" s="166">
        <f t="shared" ref="V80:AA80" si="211">V151</f>
        <v>6248529</v>
      </c>
      <c r="W80" s="166">
        <f t="shared" si="211"/>
        <v>0</v>
      </c>
      <c r="X80" s="166">
        <f t="shared" si="211"/>
        <v>0</v>
      </c>
      <c r="Y80" s="166">
        <f t="shared" si="211"/>
        <v>0</v>
      </c>
      <c r="Z80" s="166">
        <f t="shared" si="211"/>
        <v>0</v>
      </c>
      <c r="AA80" s="166">
        <f t="shared" si="211"/>
        <v>0</v>
      </c>
      <c r="AB80" s="166">
        <f t="shared" ref="AB80:AD80" si="212">AB151</f>
        <v>0</v>
      </c>
      <c r="AC80" s="166">
        <f t="shared" si="212"/>
        <v>0</v>
      </c>
      <c r="AD80" s="166">
        <f t="shared" si="212"/>
        <v>0</v>
      </c>
      <c r="AE80" s="166">
        <f t="shared" ref="AE80:AF80" si="213">AE151</f>
        <v>0</v>
      </c>
      <c r="AF80" s="166">
        <f t="shared" si="213"/>
        <v>0</v>
      </c>
    </row>
    <row r="81" spans="1:34" s="57" customFormat="1">
      <c r="C81" s="151"/>
      <c r="D81" s="151"/>
      <c r="E81" s="151"/>
      <c r="F81" s="174" t="s">
        <v>259</v>
      </c>
      <c r="G81" s="175"/>
      <c r="H81" s="208"/>
      <c r="I81" s="208"/>
      <c r="J81" s="208"/>
      <c r="K81" s="208"/>
      <c r="L81" s="208"/>
      <c r="M81" s="208"/>
      <c r="N81" s="176">
        <f>SUM(N75:N80)</f>
        <v>42330416</v>
      </c>
      <c r="O81" s="176">
        <f>SUM(O75:O80)</f>
        <v>46891369</v>
      </c>
      <c r="P81" s="176">
        <f>SUM(P75:P80)</f>
        <v>48329084</v>
      </c>
      <c r="Q81" s="176">
        <f>SUM(Q75:Q80)</f>
        <v>53156557</v>
      </c>
      <c r="R81" s="176">
        <f>SUM(R75:R80)</f>
        <v>51491281</v>
      </c>
      <c r="S81" s="176">
        <f t="shared" ref="S81:U81" si="214">SUM(S75:S80)</f>
        <v>54516442</v>
      </c>
      <c r="T81" s="176">
        <f>SUM(T75:T80)</f>
        <v>45173451</v>
      </c>
      <c r="U81" s="176">
        <f t="shared" si="214"/>
        <v>48879511</v>
      </c>
      <c r="V81" s="176">
        <f t="shared" ref="V81:AA81" si="215">SUM(V75:V80)</f>
        <v>50008972</v>
      </c>
      <c r="W81" s="176">
        <f t="shared" si="215"/>
        <v>0</v>
      </c>
      <c r="X81" s="176">
        <f t="shared" si="215"/>
        <v>0</v>
      </c>
      <c r="Y81" s="176">
        <f t="shared" si="215"/>
        <v>0</v>
      </c>
      <c r="Z81" s="176">
        <f t="shared" si="215"/>
        <v>0</v>
      </c>
      <c r="AA81" s="176">
        <f t="shared" si="215"/>
        <v>0</v>
      </c>
      <c r="AB81" s="176">
        <f t="shared" ref="AB81:AD81" si="216">SUM(AB75:AB80)</f>
        <v>0</v>
      </c>
      <c r="AC81" s="176">
        <f t="shared" si="216"/>
        <v>0</v>
      </c>
      <c r="AD81" s="176">
        <f t="shared" si="216"/>
        <v>0</v>
      </c>
      <c r="AE81" s="176">
        <f t="shared" ref="AE81:AF81" si="217">SUM(AE75:AE80)</f>
        <v>0</v>
      </c>
      <c r="AF81" s="176">
        <f t="shared" si="217"/>
        <v>0</v>
      </c>
      <c r="AG81" s="63"/>
      <c r="AH81" s="63"/>
    </row>
    <row r="82" spans="1:34" s="57" customFormat="1">
      <c r="C82" s="151"/>
      <c r="D82" s="151"/>
      <c r="E82" s="151"/>
      <c r="F82" s="174" t="s">
        <v>310</v>
      </c>
      <c r="G82" s="175"/>
      <c r="H82" s="208"/>
      <c r="I82" s="208"/>
      <c r="J82" s="208"/>
      <c r="K82" s="208"/>
      <c r="L82" s="208"/>
      <c r="M82" s="208"/>
      <c r="N82" s="176">
        <f>N72-N81</f>
        <v>48000455</v>
      </c>
      <c r="O82" s="176">
        <f>O72-O81</f>
        <v>170136759</v>
      </c>
      <c r="P82" s="176">
        <f>P72-P81</f>
        <v>13975251</v>
      </c>
      <c r="Q82" s="176">
        <f>Q72-Q81</f>
        <v>29129258</v>
      </c>
      <c r="R82" s="176">
        <f>R72-R81</f>
        <v>-21202268</v>
      </c>
      <c r="S82" s="176">
        <f t="shared" ref="S82:U82" si="218">S72-S81</f>
        <v>-28350582</v>
      </c>
      <c r="T82" s="176">
        <f>T72-T81</f>
        <v>26579162</v>
      </c>
      <c r="U82" s="176">
        <f t="shared" si="218"/>
        <v>17344312</v>
      </c>
      <c r="V82" s="176">
        <f t="shared" ref="V82:AA82" si="219">V72-V81</f>
        <v>9551003</v>
      </c>
      <c r="W82" s="176">
        <f t="shared" si="219"/>
        <v>0</v>
      </c>
      <c r="X82" s="176">
        <f t="shared" si="219"/>
        <v>0</v>
      </c>
      <c r="Y82" s="176">
        <f t="shared" si="219"/>
        <v>0</v>
      </c>
      <c r="Z82" s="176">
        <f t="shared" si="219"/>
        <v>0</v>
      </c>
      <c r="AA82" s="176">
        <f t="shared" si="219"/>
        <v>0</v>
      </c>
      <c r="AB82" s="176">
        <f t="shared" ref="AB82:AD82" si="220">AB72-AB81</f>
        <v>0</v>
      </c>
      <c r="AC82" s="176">
        <f t="shared" si="220"/>
        <v>0</v>
      </c>
      <c r="AD82" s="176">
        <f t="shared" si="220"/>
        <v>0</v>
      </c>
      <c r="AE82" s="176">
        <f t="shared" ref="AE82:AF82" si="221">AE72-AE81</f>
        <v>0</v>
      </c>
      <c r="AF82" s="176">
        <f t="shared" si="221"/>
        <v>0</v>
      </c>
      <c r="AG82" s="63"/>
      <c r="AH82" s="63"/>
    </row>
    <row r="83" spans="1:34" s="57" customFormat="1">
      <c r="C83" s="151"/>
      <c r="D83" s="151"/>
      <c r="E83" s="151"/>
      <c r="F83" s="139"/>
      <c r="G83" s="141"/>
      <c r="H83" s="170"/>
      <c r="I83" s="170"/>
      <c r="J83" s="170"/>
      <c r="K83" s="170"/>
      <c r="L83" s="170"/>
      <c r="M83" s="170"/>
      <c r="N83" s="63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209"/>
      <c r="AA83" s="209"/>
      <c r="AB83" s="209"/>
      <c r="AC83" s="209"/>
      <c r="AD83" s="209"/>
      <c r="AE83" s="209"/>
      <c r="AF83" s="209"/>
      <c r="AG83" s="63"/>
      <c r="AH83" s="63"/>
    </row>
    <row r="84" spans="1:34" s="57" customFormat="1">
      <c r="C84" s="151"/>
      <c r="D84" s="151"/>
      <c r="E84" s="151"/>
      <c r="F84" s="139"/>
      <c r="G84" s="141"/>
      <c r="H84" s="170"/>
      <c r="I84" s="170"/>
      <c r="J84" s="170"/>
      <c r="K84" s="170"/>
      <c r="L84" s="170"/>
      <c r="M84" s="170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</row>
    <row r="85" spans="1:34" outlineLevel="1">
      <c r="B85" s="204" t="str">
        <f>A152</f>
        <v>Proceeds from Debt</v>
      </c>
      <c r="C85" s="11"/>
      <c r="D85" s="11"/>
      <c r="E85" s="11"/>
      <c r="F85" s="11"/>
      <c r="G85" s="171"/>
      <c r="H85" s="165"/>
      <c r="I85" s="165"/>
      <c r="J85" s="165"/>
      <c r="K85" s="165"/>
      <c r="L85" s="165"/>
      <c r="M85" s="165"/>
      <c r="N85" s="166">
        <f t="shared" ref="N85:R87" si="222">N152</f>
        <v>0</v>
      </c>
      <c r="O85" s="166">
        <f t="shared" si="222"/>
        <v>0</v>
      </c>
      <c r="P85" s="166">
        <f t="shared" si="222"/>
        <v>0</v>
      </c>
      <c r="Q85" s="166">
        <f t="shared" si="222"/>
        <v>0</v>
      </c>
      <c r="R85" s="166">
        <f t="shared" si="222"/>
        <v>0</v>
      </c>
      <c r="S85" s="166">
        <f t="shared" ref="S85:U85" si="223">S152</f>
        <v>0</v>
      </c>
      <c r="T85" s="166">
        <f t="shared" si="223"/>
        <v>0</v>
      </c>
      <c r="U85" s="166">
        <f t="shared" si="223"/>
        <v>0</v>
      </c>
      <c r="V85" s="166">
        <f t="shared" ref="V85:AA85" si="224">V152</f>
        <v>0</v>
      </c>
      <c r="W85" s="166">
        <f t="shared" si="224"/>
        <v>0</v>
      </c>
      <c r="X85" s="166">
        <f t="shared" si="224"/>
        <v>0</v>
      </c>
      <c r="Y85" s="166">
        <f t="shared" si="224"/>
        <v>0</v>
      </c>
      <c r="Z85" s="166">
        <f t="shared" si="224"/>
        <v>0</v>
      </c>
      <c r="AA85" s="166">
        <f t="shared" si="224"/>
        <v>0</v>
      </c>
      <c r="AB85" s="166">
        <f t="shared" ref="AB85:AD85" si="225">AB152</f>
        <v>0</v>
      </c>
      <c r="AC85" s="166">
        <f t="shared" si="225"/>
        <v>0</v>
      </c>
      <c r="AD85" s="166">
        <f t="shared" si="225"/>
        <v>0</v>
      </c>
      <c r="AE85" s="166">
        <f t="shared" ref="AE85:AF85" si="226">AE152</f>
        <v>0</v>
      </c>
      <c r="AF85" s="166">
        <f t="shared" si="226"/>
        <v>0</v>
      </c>
    </row>
    <row r="86" spans="1:34" outlineLevel="1">
      <c r="B86" s="204" t="str">
        <f>A153</f>
        <v>Proceeds from capital lease obligations</v>
      </c>
      <c r="C86" s="11"/>
      <c r="D86" s="11"/>
      <c r="E86" s="11"/>
      <c r="F86" s="11"/>
      <c r="G86" s="171"/>
      <c r="H86" s="165"/>
      <c r="I86" s="165"/>
      <c r="J86" s="165"/>
      <c r="K86" s="165"/>
      <c r="L86" s="165"/>
      <c r="M86" s="165"/>
      <c r="N86" s="166">
        <f t="shared" si="222"/>
        <v>0</v>
      </c>
      <c r="O86" s="166">
        <f t="shared" si="222"/>
        <v>0</v>
      </c>
      <c r="P86" s="166">
        <f t="shared" si="222"/>
        <v>0</v>
      </c>
      <c r="Q86" s="166">
        <f t="shared" si="222"/>
        <v>0</v>
      </c>
      <c r="R86" s="166">
        <f t="shared" si="222"/>
        <v>0</v>
      </c>
      <c r="S86" s="166">
        <f t="shared" ref="S86:U86" si="227">S153</f>
        <v>0</v>
      </c>
      <c r="T86" s="166">
        <f t="shared" si="227"/>
        <v>0</v>
      </c>
      <c r="U86" s="166">
        <f t="shared" si="227"/>
        <v>0</v>
      </c>
      <c r="V86" s="166">
        <f t="shared" ref="V86:AA86" si="228">V153</f>
        <v>0</v>
      </c>
      <c r="W86" s="166">
        <f t="shared" si="228"/>
        <v>0</v>
      </c>
      <c r="X86" s="166">
        <f t="shared" si="228"/>
        <v>0</v>
      </c>
      <c r="Y86" s="166">
        <f t="shared" si="228"/>
        <v>0</v>
      </c>
      <c r="Z86" s="166">
        <f t="shared" si="228"/>
        <v>0</v>
      </c>
      <c r="AA86" s="166">
        <f t="shared" si="228"/>
        <v>0</v>
      </c>
      <c r="AB86" s="166">
        <f t="shared" ref="AB86:AD86" si="229">AB153</f>
        <v>0</v>
      </c>
      <c r="AC86" s="166">
        <f t="shared" si="229"/>
        <v>0</v>
      </c>
      <c r="AD86" s="166">
        <f t="shared" si="229"/>
        <v>0</v>
      </c>
      <c r="AE86" s="166">
        <f t="shared" ref="AE86:AF86" si="230">AE153</f>
        <v>0</v>
      </c>
      <c r="AF86" s="166">
        <f t="shared" si="230"/>
        <v>0</v>
      </c>
    </row>
    <row r="87" spans="1:34" outlineLevel="1">
      <c r="B87" s="204" t="str">
        <f>A154</f>
        <v>Net transfers (to)/from other funds</v>
      </c>
      <c r="C87" s="11"/>
      <c r="D87" s="11"/>
      <c r="E87" s="11"/>
      <c r="F87" s="11"/>
      <c r="G87" s="171"/>
      <c r="H87" s="165"/>
      <c r="I87" s="165"/>
      <c r="J87" s="165"/>
      <c r="K87" s="165"/>
      <c r="L87" s="165"/>
      <c r="M87" s="165"/>
      <c r="N87" s="166">
        <f t="shared" si="222"/>
        <v>-742740</v>
      </c>
      <c r="O87" s="166">
        <f t="shared" si="222"/>
        <v>548043</v>
      </c>
      <c r="P87" s="166">
        <f t="shared" si="222"/>
        <v>4089</v>
      </c>
      <c r="Q87" s="166">
        <f t="shared" si="222"/>
        <v>38088</v>
      </c>
      <c r="R87" s="166">
        <f t="shared" si="222"/>
        <v>1865935</v>
      </c>
      <c r="S87" s="166">
        <f t="shared" ref="S87:U87" si="231">S154</f>
        <v>350316</v>
      </c>
      <c r="T87" s="166">
        <f t="shared" si="231"/>
        <v>-31085</v>
      </c>
      <c r="U87" s="166">
        <f t="shared" si="231"/>
        <v>-180600</v>
      </c>
      <c r="V87" s="166">
        <f t="shared" ref="V87:AA87" si="232">V154</f>
        <v>937326</v>
      </c>
      <c r="W87" s="166">
        <f t="shared" si="232"/>
        <v>0</v>
      </c>
      <c r="X87" s="166">
        <f t="shared" si="232"/>
        <v>0</v>
      </c>
      <c r="Y87" s="166">
        <f t="shared" si="232"/>
        <v>0</v>
      </c>
      <c r="Z87" s="166">
        <f t="shared" si="232"/>
        <v>0</v>
      </c>
      <c r="AA87" s="166">
        <f t="shared" si="232"/>
        <v>0</v>
      </c>
      <c r="AB87" s="166">
        <f t="shared" ref="AB87:AD87" si="233">AB154</f>
        <v>0</v>
      </c>
      <c r="AC87" s="166">
        <f t="shared" si="233"/>
        <v>0</v>
      </c>
      <c r="AD87" s="166">
        <f t="shared" si="233"/>
        <v>0</v>
      </c>
      <c r="AE87" s="166">
        <f t="shared" ref="AE87:AF87" si="234">AE154</f>
        <v>0</v>
      </c>
      <c r="AF87" s="166">
        <f t="shared" si="234"/>
        <v>0</v>
      </c>
    </row>
    <row r="88" spans="1:34" s="57" customFormat="1" ht="15" thickBot="1">
      <c r="C88" s="151"/>
      <c r="D88" s="151"/>
      <c r="E88" s="151"/>
      <c r="F88" s="210" t="s">
        <v>311</v>
      </c>
      <c r="G88" s="211"/>
      <c r="H88" s="212"/>
      <c r="I88" s="212"/>
      <c r="J88" s="212"/>
      <c r="K88" s="212"/>
      <c r="L88" s="212"/>
      <c r="M88" s="212"/>
      <c r="N88" s="184">
        <f t="shared" ref="N88:T88" si="235">SUM(N82:N87)</f>
        <v>47257715</v>
      </c>
      <c r="O88" s="184">
        <f t="shared" si="235"/>
        <v>170684802</v>
      </c>
      <c r="P88" s="184">
        <f t="shared" si="235"/>
        <v>13979340</v>
      </c>
      <c r="Q88" s="184">
        <f t="shared" si="235"/>
        <v>29167346</v>
      </c>
      <c r="R88" s="184">
        <f t="shared" si="235"/>
        <v>-19336333</v>
      </c>
      <c r="S88" s="184">
        <f t="shared" si="235"/>
        <v>-28000266</v>
      </c>
      <c r="T88" s="184">
        <f t="shared" si="235"/>
        <v>26548077</v>
      </c>
      <c r="U88" s="184">
        <f t="shared" ref="U88" si="236">SUM(U82:U87)</f>
        <v>17163712</v>
      </c>
      <c r="V88" s="184">
        <f t="shared" ref="V88:AA88" si="237">SUM(V82:V87)</f>
        <v>10488329</v>
      </c>
      <c r="W88" s="184">
        <f t="shared" si="237"/>
        <v>0</v>
      </c>
      <c r="X88" s="184">
        <f t="shared" si="237"/>
        <v>0</v>
      </c>
      <c r="Y88" s="184">
        <f t="shared" si="237"/>
        <v>0</v>
      </c>
      <c r="Z88" s="184">
        <f t="shared" si="237"/>
        <v>0</v>
      </c>
      <c r="AA88" s="184">
        <f t="shared" si="237"/>
        <v>0</v>
      </c>
      <c r="AB88" s="184">
        <f t="shared" ref="AB88:AD88" si="238">SUM(AB82:AB87)</f>
        <v>0</v>
      </c>
      <c r="AC88" s="184">
        <f t="shared" si="238"/>
        <v>0</v>
      </c>
      <c r="AD88" s="184">
        <f t="shared" si="238"/>
        <v>0</v>
      </c>
      <c r="AE88" s="184">
        <f t="shared" ref="AE88:AF88" si="239">SUM(AE82:AE87)</f>
        <v>0</v>
      </c>
      <c r="AF88" s="184">
        <f t="shared" si="239"/>
        <v>0</v>
      </c>
      <c r="AG88" s="63"/>
      <c r="AH88" s="63"/>
    </row>
    <row r="89" spans="1:34" ht="15" thickTop="1">
      <c r="A89" s="185"/>
      <c r="B89" s="186"/>
      <c r="C89" s="186"/>
      <c r="D89" s="186"/>
      <c r="E89" s="186"/>
      <c r="F89" s="186"/>
      <c r="G89" s="169"/>
      <c r="H89" s="187"/>
      <c r="I89" s="187"/>
      <c r="J89" s="187"/>
      <c r="K89" s="187"/>
      <c r="L89" s="187"/>
      <c r="M89" s="187"/>
      <c r="N89" s="213"/>
      <c r="O89" s="213" t="s">
        <v>312</v>
      </c>
      <c r="P89" s="213" t="s">
        <v>312</v>
      </c>
      <c r="Q89" s="213" t="s">
        <v>312</v>
      </c>
      <c r="R89" s="213" t="s">
        <v>312</v>
      </c>
      <c r="S89" s="213" t="s">
        <v>312</v>
      </c>
      <c r="T89" s="213" t="s">
        <v>312</v>
      </c>
      <c r="U89" s="213" t="s">
        <v>312</v>
      </c>
      <c r="V89" s="213" t="s">
        <v>312</v>
      </c>
      <c r="W89" s="213" t="s">
        <v>312</v>
      </c>
      <c r="X89" s="213" t="s">
        <v>312</v>
      </c>
      <c r="Y89" s="213" t="s">
        <v>312</v>
      </c>
      <c r="Z89" s="213" t="s">
        <v>312</v>
      </c>
      <c r="AA89" s="213" t="s">
        <v>312</v>
      </c>
      <c r="AB89" s="213" t="s">
        <v>312</v>
      </c>
      <c r="AC89" s="213" t="s">
        <v>312</v>
      </c>
      <c r="AD89" s="213" t="s">
        <v>312</v>
      </c>
      <c r="AE89" s="213" t="s">
        <v>312</v>
      </c>
      <c r="AF89" s="213" t="s">
        <v>312</v>
      </c>
    </row>
    <row r="90" spans="1:34">
      <c r="A90" s="77" t="s">
        <v>313</v>
      </c>
      <c r="B90" s="57"/>
      <c r="C90" s="57"/>
      <c r="D90" s="57"/>
      <c r="E90" s="57"/>
      <c r="F90" s="57"/>
      <c r="G90" s="56"/>
      <c r="H90" s="214"/>
      <c r="I90" s="214"/>
      <c r="J90" s="214"/>
      <c r="K90" s="214"/>
      <c r="L90" s="214"/>
      <c r="M90" s="214"/>
    </row>
    <row r="91" spans="1:34" outlineLevel="1">
      <c r="B91" s="162" t="s">
        <v>314</v>
      </c>
      <c r="G91" s="164" t="s">
        <v>424</v>
      </c>
      <c r="H91" s="165"/>
      <c r="I91" s="165"/>
      <c r="J91" s="165"/>
      <c r="K91" s="165"/>
      <c r="L91" s="165"/>
      <c r="M91" s="165"/>
      <c r="N91" s="428">
        <v>381170716</v>
      </c>
      <c r="O91" s="217">
        <f>N93</f>
        <v>428428431</v>
      </c>
      <c r="P91" s="217">
        <f t="shared" ref="P91:T91" si="240">O93</f>
        <v>599113695</v>
      </c>
      <c r="Q91" s="217">
        <f t="shared" si="240"/>
        <v>613093035</v>
      </c>
      <c r="R91" s="217">
        <f t="shared" si="240"/>
        <v>642260381</v>
      </c>
      <c r="S91" s="217">
        <f t="shared" si="240"/>
        <v>602805445</v>
      </c>
      <c r="T91" s="217">
        <f t="shared" si="240"/>
        <v>574805179</v>
      </c>
      <c r="U91" s="217">
        <f t="shared" ref="U91" si="241">T93</f>
        <v>600726145</v>
      </c>
      <c r="V91" s="217">
        <f>U93</f>
        <v>586459833</v>
      </c>
      <c r="W91" s="217"/>
      <c r="X91" s="217"/>
      <c r="Y91" s="217"/>
      <c r="Z91" s="217"/>
      <c r="AA91" s="217"/>
      <c r="AB91" s="217"/>
      <c r="AC91" s="217"/>
      <c r="AD91" s="217"/>
      <c r="AE91" s="217"/>
      <c r="AF91" s="217"/>
      <c r="AG91" s="67"/>
      <c r="AH91" s="67"/>
    </row>
    <row r="92" spans="1:34" outlineLevel="1">
      <c r="B92" s="162" t="s">
        <v>315</v>
      </c>
      <c r="G92" s="164" t="s">
        <v>424</v>
      </c>
      <c r="H92" s="165"/>
      <c r="I92" s="165"/>
      <c r="J92" s="165"/>
      <c r="K92" s="165"/>
      <c r="L92" s="165"/>
      <c r="M92" s="165"/>
      <c r="N92" s="216"/>
      <c r="O92" s="217">
        <v>462</v>
      </c>
      <c r="P92" s="217"/>
      <c r="Q92" s="217"/>
      <c r="R92" s="428">
        <v>-20118603</v>
      </c>
      <c r="S92" s="217">
        <f t="shared" ref="S92:AD92" si="242">S155</f>
        <v>0</v>
      </c>
      <c r="T92" s="217">
        <f t="shared" si="242"/>
        <v>-627111</v>
      </c>
      <c r="U92" s="217">
        <f>U155</f>
        <v>-31430024</v>
      </c>
      <c r="V92" s="217">
        <f t="shared" si="242"/>
        <v>0</v>
      </c>
      <c r="W92" s="217">
        <f t="shared" si="242"/>
        <v>0</v>
      </c>
      <c r="X92" s="217">
        <f t="shared" si="242"/>
        <v>0</v>
      </c>
      <c r="Y92" s="217">
        <f t="shared" si="242"/>
        <v>0</v>
      </c>
      <c r="Z92" s="217">
        <f t="shared" si="242"/>
        <v>0</v>
      </c>
      <c r="AA92" s="217">
        <f t="shared" si="242"/>
        <v>0</v>
      </c>
      <c r="AB92" s="217">
        <f t="shared" si="242"/>
        <v>0</v>
      </c>
      <c r="AC92" s="217">
        <f t="shared" si="242"/>
        <v>0</v>
      </c>
      <c r="AD92" s="217">
        <f t="shared" si="242"/>
        <v>0</v>
      </c>
      <c r="AE92" s="217">
        <f t="shared" ref="AE92:AF92" si="243">AE155</f>
        <v>0</v>
      </c>
      <c r="AF92" s="217">
        <f t="shared" si="243"/>
        <v>0</v>
      </c>
      <c r="AG92" s="67"/>
      <c r="AH92" s="67"/>
    </row>
    <row r="93" spans="1:34" s="57" customFormat="1" ht="15" thickBot="1">
      <c r="F93" s="330" t="s">
        <v>316</v>
      </c>
      <c r="G93" s="331"/>
      <c r="H93" s="450"/>
      <c r="I93" s="450"/>
      <c r="J93" s="450"/>
      <c r="K93" s="450"/>
      <c r="L93" s="450"/>
      <c r="M93" s="75">
        <f t="shared" ref="M93:Q93" si="244">M88+M91+M92</f>
        <v>0</v>
      </c>
      <c r="N93" s="75">
        <f t="shared" si="244"/>
        <v>428428431</v>
      </c>
      <c r="O93" s="75">
        <f t="shared" si="244"/>
        <v>599113695</v>
      </c>
      <c r="P93" s="75">
        <f t="shared" si="244"/>
        <v>613093035</v>
      </c>
      <c r="Q93" s="75">
        <f t="shared" si="244"/>
        <v>642260381</v>
      </c>
      <c r="R93" s="75">
        <f>R88+R91+R92</f>
        <v>602805445</v>
      </c>
      <c r="S93" s="75">
        <f t="shared" ref="S93" si="245">S88+S91+S92</f>
        <v>574805179</v>
      </c>
      <c r="T93" s="75">
        <f>T88+T91+T92</f>
        <v>600726145</v>
      </c>
      <c r="U93" s="75">
        <f>U88+U91+U92</f>
        <v>586459833</v>
      </c>
      <c r="V93" s="75">
        <f t="shared" ref="V93:AA93" si="246">V88+V91+V92</f>
        <v>596948162</v>
      </c>
      <c r="W93" s="75">
        <f t="shared" si="246"/>
        <v>0</v>
      </c>
      <c r="X93" s="75">
        <f t="shared" si="246"/>
        <v>0</v>
      </c>
      <c r="Y93" s="75">
        <f t="shared" si="246"/>
        <v>0</v>
      </c>
      <c r="Z93" s="75">
        <f t="shared" si="246"/>
        <v>0</v>
      </c>
      <c r="AA93" s="75">
        <f t="shared" si="246"/>
        <v>0</v>
      </c>
      <c r="AB93" s="75">
        <f t="shared" ref="AB93:AD93" si="247">AB88+AB91+AB92</f>
        <v>0</v>
      </c>
      <c r="AC93" s="75">
        <f t="shared" si="247"/>
        <v>0</v>
      </c>
      <c r="AD93" s="75">
        <f t="shared" si="247"/>
        <v>0</v>
      </c>
      <c r="AE93" s="75">
        <f t="shared" ref="AE93:AF93" si="248">AE88+AE91+AE92</f>
        <v>0</v>
      </c>
      <c r="AF93" s="75">
        <f t="shared" si="248"/>
        <v>0</v>
      </c>
      <c r="AG93" s="74"/>
      <c r="AH93" s="74"/>
    </row>
    <row r="94" spans="1:34" s="365" customFormat="1" ht="15" thickTop="1">
      <c r="C94" s="383"/>
      <c r="D94" s="383"/>
      <c r="E94" s="383"/>
      <c r="F94" s="423" t="s">
        <v>118</v>
      </c>
      <c r="G94" s="451"/>
      <c r="H94" s="338"/>
      <c r="I94" s="338"/>
      <c r="J94" s="338"/>
      <c r="K94" s="338"/>
      <c r="L94" s="338"/>
      <c r="M94" s="338"/>
      <c r="N94" s="379">
        <f t="shared" ref="N94:U94" si="249">N93-N50</f>
        <v>0</v>
      </c>
      <c r="O94" s="379">
        <f t="shared" si="249"/>
        <v>0</v>
      </c>
      <c r="P94" s="379">
        <f t="shared" si="249"/>
        <v>0</v>
      </c>
      <c r="Q94" s="379">
        <f t="shared" si="249"/>
        <v>0</v>
      </c>
      <c r="R94" s="379">
        <f t="shared" si="249"/>
        <v>0</v>
      </c>
      <c r="S94" s="379">
        <f t="shared" si="249"/>
        <v>0</v>
      </c>
      <c r="T94" s="379">
        <f t="shared" si="249"/>
        <v>0</v>
      </c>
      <c r="U94" s="379">
        <f t="shared" si="249"/>
        <v>0</v>
      </c>
      <c r="V94" s="379">
        <f t="shared" ref="V94:AA94" si="250">V93-V50</f>
        <v>0</v>
      </c>
      <c r="W94" s="379">
        <f t="shared" si="250"/>
        <v>0</v>
      </c>
      <c r="X94" s="379">
        <f t="shared" si="250"/>
        <v>0</v>
      </c>
      <c r="Y94" s="379">
        <f t="shared" si="250"/>
        <v>0</v>
      </c>
      <c r="Z94" s="379">
        <f t="shared" si="250"/>
        <v>0</v>
      </c>
      <c r="AA94" s="379">
        <f t="shared" si="250"/>
        <v>0</v>
      </c>
      <c r="AB94" s="379">
        <f t="shared" ref="AB94:AD94" si="251">AB93-AB50</f>
        <v>0</v>
      </c>
      <c r="AC94" s="379">
        <f t="shared" si="251"/>
        <v>0</v>
      </c>
      <c r="AD94" s="379">
        <f t="shared" si="251"/>
        <v>0</v>
      </c>
      <c r="AE94" s="379">
        <f t="shared" ref="AE94:AF94" si="252">AE93-AE50</f>
        <v>0</v>
      </c>
      <c r="AF94" s="379">
        <f t="shared" si="252"/>
        <v>0</v>
      </c>
      <c r="AG94" s="379"/>
      <c r="AH94" s="379"/>
    </row>
    <row r="95" spans="1:34" s="435" customFormat="1" collapsed="1">
      <c r="A95" s="437"/>
      <c r="F95" s="472"/>
      <c r="G95" s="436"/>
      <c r="H95" s="438"/>
      <c r="I95" s="438"/>
      <c r="J95" s="438"/>
      <c r="K95" s="438"/>
      <c r="L95" s="438"/>
      <c r="M95" s="438"/>
      <c r="N95" s="452"/>
      <c r="P95" s="452"/>
      <c r="Q95" s="452"/>
      <c r="R95" s="452"/>
      <c r="S95" s="453"/>
    </row>
    <row r="96" spans="1:34" collapsed="1">
      <c r="A96" s="162"/>
      <c r="G96" s="5"/>
      <c r="H96" s="214"/>
      <c r="I96" s="214"/>
      <c r="J96" s="214"/>
      <c r="K96" s="214"/>
      <c r="L96" s="214"/>
      <c r="M96" s="214"/>
      <c r="S96" s="215"/>
    </row>
    <row r="97" spans="1:32">
      <c r="A97" s="445" t="s">
        <v>317</v>
      </c>
      <c r="B97" s="446"/>
      <c r="C97" s="446"/>
      <c r="D97" s="446"/>
      <c r="E97" s="446"/>
      <c r="F97" s="446"/>
      <c r="G97" s="447"/>
      <c r="H97" s="448"/>
      <c r="I97" s="448"/>
      <c r="J97" s="448"/>
      <c r="K97" s="448"/>
      <c r="L97" s="448"/>
      <c r="M97" s="448"/>
      <c r="N97" s="447"/>
      <c r="O97" s="447"/>
      <c r="P97" s="446"/>
      <c r="Q97" s="449"/>
      <c r="R97" s="449"/>
      <c r="S97" s="449"/>
      <c r="T97" s="449"/>
      <c r="U97" s="449"/>
      <c r="V97" s="449"/>
      <c r="W97" s="449"/>
      <c r="X97" s="449"/>
      <c r="Y97" s="449"/>
      <c r="Z97" s="449"/>
      <c r="AA97" s="449"/>
      <c r="AB97" s="449"/>
      <c r="AC97" s="449"/>
      <c r="AD97" s="449"/>
      <c r="AE97" s="449"/>
      <c r="AF97" s="449"/>
    </row>
    <row r="98" spans="1:32" outlineLevel="1">
      <c r="A98" s="219" t="s">
        <v>318</v>
      </c>
      <c r="B98" s="73"/>
      <c r="C98" s="73"/>
      <c r="D98" s="73"/>
      <c r="E98" s="73"/>
      <c r="F98" s="73"/>
      <c r="G98" s="579" t="s">
        <v>262</v>
      </c>
      <c r="H98" s="220"/>
      <c r="I98" s="220"/>
      <c r="J98" s="220"/>
      <c r="K98" s="220"/>
      <c r="L98" s="220"/>
      <c r="M98" s="220"/>
      <c r="N98" s="471" t="s">
        <v>284</v>
      </c>
      <c r="O98" s="471" t="s">
        <v>285</v>
      </c>
      <c r="P98" s="471" t="s">
        <v>58</v>
      </c>
      <c r="Q98" s="471" t="s">
        <v>59</v>
      </c>
      <c r="R98" s="471" t="s">
        <v>60</v>
      </c>
      <c r="S98" s="471" t="s">
        <v>61</v>
      </c>
      <c r="T98" s="471" t="s">
        <v>286</v>
      </c>
      <c r="U98" s="471" t="s">
        <v>287</v>
      </c>
      <c r="V98" s="471" t="s">
        <v>288</v>
      </c>
      <c r="W98" s="471" t="s">
        <v>289</v>
      </c>
      <c r="X98" s="471" t="s">
        <v>290</v>
      </c>
      <c r="Y98" s="471" t="s">
        <v>291</v>
      </c>
      <c r="Z98" s="471" t="s">
        <v>292</v>
      </c>
      <c r="AA98" s="471" t="s">
        <v>293</v>
      </c>
      <c r="AB98" s="471" t="s">
        <v>294</v>
      </c>
      <c r="AC98" s="471" t="s">
        <v>295</v>
      </c>
      <c r="AD98" s="471" t="s">
        <v>296</v>
      </c>
      <c r="AE98" s="471" t="s">
        <v>297</v>
      </c>
      <c r="AF98" s="471" t="s">
        <v>298</v>
      </c>
    </row>
    <row r="99" spans="1:32" outlineLevel="1">
      <c r="A99" s="221" t="s">
        <v>77</v>
      </c>
      <c r="B99" s="163"/>
      <c r="C99" s="163"/>
      <c r="D99" s="163"/>
      <c r="E99" s="163"/>
      <c r="F99" s="163"/>
      <c r="G99" s="164" t="s">
        <v>424</v>
      </c>
      <c r="H99" s="222"/>
      <c r="I99" s="222"/>
      <c r="J99" s="222"/>
      <c r="K99" s="222"/>
      <c r="L99" s="222"/>
      <c r="M99" s="222"/>
      <c r="N99" s="428">
        <v>4050</v>
      </c>
      <c r="O99" s="428">
        <v>4300</v>
      </c>
      <c r="P99" s="428">
        <v>4350</v>
      </c>
      <c r="Q99" s="428">
        <v>6200</v>
      </c>
      <c r="R99" s="428">
        <v>1500</v>
      </c>
      <c r="S99" s="428">
        <v>800</v>
      </c>
      <c r="T99" s="428">
        <v>800</v>
      </c>
      <c r="U99" s="428">
        <v>784</v>
      </c>
      <c r="V99" s="428">
        <v>700</v>
      </c>
      <c r="W99" s="428"/>
      <c r="X99" s="428"/>
      <c r="Y99" s="428"/>
      <c r="Z99" s="428"/>
      <c r="AA99" s="428"/>
      <c r="AB99" s="428"/>
      <c r="AC99" s="428"/>
      <c r="AD99" s="428"/>
      <c r="AE99" s="428"/>
      <c r="AF99" s="428"/>
    </row>
    <row r="100" spans="1:32" outlineLevel="1">
      <c r="A100" s="221" t="s">
        <v>433</v>
      </c>
      <c r="B100" s="163"/>
      <c r="C100" s="163"/>
      <c r="D100" s="163"/>
      <c r="E100" s="163"/>
      <c r="F100" s="163"/>
      <c r="G100" s="164" t="s">
        <v>424</v>
      </c>
      <c r="H100" s="222"/>
      <c r="I100" s="222"/>
      <c r="J100" s="222"/>
      <c r="K100" s="222"/>
      <c r="L100" s="222"/>
      <c r="M100" s="222"/>
      <c r="N100" s="428">
        <v>399535</v>
      </c>
      <c r="O100" s="428">
        <v>4218726</v>
      </c>
      <c r="P100" s="428">
        <v>4820603</v>
      </c>
      <c r="Q100" s="428">
        <v>5603195</v>
      </c>
      <c r="R100" s="428">
        <v>5618755</v>
      </c>
      <c r="S100" s="428">
        <v>8047307</v>
      </c>
      <c r="T100" s="428">
        <v>5794491</v>
      </c>
      <c r="U100" s="428">
        <v>5355851</v>
      </c>
      <c r="V100" s="428">
        <v>5118284</v>
      </c>
      <c r="W100" s="428"/>
      <c r="X100" s="428"/>
      <c r="Y100" s="428"/>
      <c r="Z100" s="428"/>
      <c r="AA100" s="428"/>
      <c r="AB100" s="428"/>
      <c r="AC100" s="428"/>
      <c r="AD100" s="428"/>
      <c r="AE100" s="428"/>
      <c r="AF100" s="428"/>
    </row>
    <row r="101" spans="1:32" outlineLevel="1">
      <c r="A101" s="221" t="s">
        <v>319</v>
      </c>
      <c r="B101" s="163"/>
      <c r="C101" s="163"/>
      <c r="D101" s="163"/>
      <c r="E101" s="163"/>
      <c r="F101" s="163"/>
      <c r="G101" s="164" t="s">
        <v>424</v>
      </c>
      <c r="H101" s="222"/>
      <c r="I101" s="222"/>
      <c r="J101" s="222"/>
      <c r="K101" s="222"/>
      <c r="L101" s="222"/>
      <c r="M101" s="222"/>
      <c r="N101" s="428">
        <v>7145598</v>
      </c>
      <c r="O101" s="428">
        <v>9791854</v>
      </c>
      <c r="P101" s="428">
        <v>15881995</v>
      </c>
      <c r="Q101" s="428">
        <v>16342265</v>
      </c>
      <c r="R101" s="428">
        <v>17516874</v>
      </c>
      <c r="S101" s="428">
        <v>17643599</v>
      </c>
      <c r="T101" s="428">
        <v>22754877</v>
      </c>
      <c r="U101" s="428">
        <v>14735032</v>
      </c>
      <c r="V101" s="428">
        <v>17528894</v>
      </c>
      <c r="W101" s="428"/>
      <c r="X101" s="428"/>
      <c r="Y101" s="428"/>
      <c r="Z101" s="428"/>
      <c r="AA101" s="428"/>
      <c r="AB101" s="428"/>
      <c r="AC101" s="428"/>
      <c r="AD101" s="428"/>
      <c r="AE101" s="428"/>
      <c r="AF101" s="428"/>
    </row>
    <row r="102" spans="1:32" outlineLevel="1">
      <c r="A102" s="221" t="s">
        <v>90</v>
      </c>
      <c r="B102" s="163"/>
      <c r="C102" s="163"/>
      <c r="D102" s="163"/>
      <c r="E102" s="163"/>
      <c r="F102" s="163"/>
      <c r="G102" s="164" t="s">
        <v>424</v>
      </c>
      <c r="H102" s="222"/>
      <c r="I102" s="222"/>
      <c r="J102" s="222"/>
      <c r="K102" s="222"/>
      <c r="L102" s="222"/>
      <c r="M102" s="222"/>
      <c r="N102" s="428">
        <v>2919359</v>
      </c>
      <c r="O102" s="428">
        <v>3696227</v>
      </c>
      <c r="P102" s="428">
        <v>4778745</v>
      </c>
      <c r="Q102" s="428">
        <v>3785557</v>
      </c>
      <c r="R102" s="428">
        <v>6732554</v>
      </c>
      <c r="S102" s="428">
        <v>9380389</v>
      </c>
      <c r="T102" s="428">
        <v>4498433</v>
      </c>
      <c r="U102" s="428">
        <v>4685289</v>
      </c>
      <c r="V102" s="428">
        <v>3925659</v>
      </c>
      <c r="W102" s="428"/>
      <c r="X102" s="428"/>
      <c r="Y102" s="428"/>
      <c r="Z102" s="428"/>
      <c r="AA102" s="428"/>
      <c r="AB102" s="428"/>
      <c r="AC102" s="428"/>
      <c r="AD102" s="428"/>
      <c r="AE102" s="428"/>
      <c r="AF102" s="428"/>
    </row>
    <row r="103" spans="1:32" outlineLevel="1">
      <c r="A103" s="221" t="s">
        <v>113</v>
      </c>
      <c r="B103" s="163"/>
      <c r="C103" s="163"/>
      <c r="D103" s="163"/>
      <c r="E103" s="163"/>
      <c r="F103" s="163"/>
      <c r="G103" s="164" t="s">
        <v>424</v>
      </c>
      <c r="H103" s="222"/>
      <c r="I103" s="222"/>
      <c r="J103" s="222"/>
      <c r="K103" s="222"/>
      <c r="L103" s="222"/>
      <c r="M103" s="222"/>
      <c r="N103" s="428">
        <v>0</v>
      </c>
      <c r="O103" s="428">
        <v>100239</v>
      </c>
      <c r="P103" s="428">
        <v>70051</v>
      </c>
      <c r="Q103" s="428">
        <v>243903</v>
      </c>
      <c r="R103" s="428">
        <v>111955</v>
      </c>
      <c r="S103" s="428">
        <v>184230</v>
      </c>
      <c r="T103" s="428">
        <v>365259</v>
      </c>
      <c r="U103" s="428">
        <v>294142</v>
      </c>
      <c r="V103" s="428">
        <v>284790</v>
      </c>
      <c r="W103" s="428"/>
      <c r="X103" s="428"/>
      <c r="Y103" s="428"/>
      <c r="Z103" s="428"/>
      <c r="AA103" s="428"/>
      <c r="AB103" s="428"/>
      <c r="AC103" s="428"/>
      <c r="AD103" s="428"/>
      <c r="AE103" s="428"/>
      <c r="AF103" s="428"/>
    </row>
    <row r="104" spans="1:32" outlineLevel="1">
      <c r="A104" s="221" t="s">
        <v>82</v>
      </c>
      <c r="B104" s="163"/>
      <c r="C104" s="163"/>
      <c r="D104" s="163"/>
      <c r="E104" s="163"/>
      <c r="F104" s="163"/>
      <c r="G104" s="164" t="s">
        <v>424</v>
      </c>
      <c r="H104" s="222"/>
      <c r="I104" s="222"/>
      <c r="J104" s="222"/>
      <c r="K104" s="222"/>
      <c r="L104" s="222"/>
      <c r="M104" s="222"/>
      <c r="N104" s="428">
        <v>39700175</v>
      </c>
      <c r="O104" s="428">
        <v>201507366</v>
      </c>
      <c r="P104" s="428">
        <v>5560257</v>
      </c>
      <c r="Q104" s="428">
        <v>18744313</v>
      </c>
      <c r="R104" s="428">
        <v>8766110</v>
      </c>
      <c r="S104" s="428">
        <v>4771991</v>
      </c>
      <c r="T104" s="428">
        <v>364228</v>
      </c>
      <c r="U104" s="428">
        <v>2029739</v>
      </c>
      <c r="V104" s="428">
        <v>2253707</v>
      </c>
      <c r="W104" s="428"/>
      <c r="X104" s="428"/>
      <c r="Y104" s="428"/>
      <c r="Z104" s="428"/>
      <c r="AA104" s="428"/>
      <c r="AB104" s="428"/>
      <c r="AC104" s="428"/>
      <c r="AD104" s="428"/>
      <c r="AE104" s="428"/>
      <c r="AF104" s="428"/>
    </row>
    <row r="105" spans="1:32" outlineLevel="1">
      <c r="A105" s="221" t="s">
        <v>84</v>
      </c>
      <c r="B105" s="163"/>
      <c r="C105" s="163"/>
      <c r="D105" s="163"/>
      <c r="E105" s="163"/>
      <c r="F105" s="163"/>
      <c r="G105" s="164" t="s">
        <v>424</v>
      </c>
      <c r="H105" s="222"/>
      <c r="I105" s="222"/>
      <c r="J105" s="222"/>
      <c r="K105" s="222"/>
      <c r="L105" s="222"/>
      <c r="M105" s="222"/>
      <c r="N105" s="428">
        <v>0</v>
      </c>
      <c r="O105" s="428">
        <v>50000</v>
      </c>
      <c r="P105" s="428">
        <v>454654</v>
      </c>
      <c r="Q105" s="428">
        <v>0</v>
      </c>
      <c r="R105" s="428">
        <v>0</v>
      </c>
      <c r="S105" s="428">
        <v>0</v>
      </c>
      <c r="T105" s="428">
        <v>0</v>
      </c>
      <c r="U105" s="428">
        <v>0</v>
      </c>
      <c r="V105" s="428">
        <v>0</v>
      </c>
      <c r="W105" s="428"/>
      <c r="X105" s="428"/>
      <c r="Y105" s="428"/>
      <c r="Z105" s="428"/>
      <c r="AA105" s="428"/>
      <c r="AB105" s="428"/>
      <c r="AC105" s="428"/>
      <c r="AD105" s="428"/>
      <c r="AE105" s="428"/>
      <c r="AF105" s="428"/>
    </row>
    <row r="106" spans="1:32" outlineLevel="1">
      <c r="A106" s="221" t="s">
        <v>85</v>
      </c>
      <c r="B106" s="163"/>
      <c r="C106" s="163"/>
      <c r="D106" s="163"/>
      <c r="E106" s="163"/>
      <c r="F106" s="163"/>
      <c r="G106" s="164" t="s">
        <v>424</v>
      </c>
      <c r="H106" s="222"/>
      <c r="I106" s="222"/>
      <c r="J106" s="222"/>
      <c r="K106" s="222"/>
      <c r="L106" s="222"/>
      <c r="M106" s="222"/>
      <c r="N106" s="428">
        <v>748377</v>
      </c>
      <c r="O106" s="428">
        <v>384966</v>
      </c>
      <c r="P106" s="428">
        <v>292428</v>
      </c>
      <c r="Q106" s="428">
        <v>337273</v>
      </c>
      <c r="R106" s="428">
        <v>55935</v>
      </c>
      <c r="S106" s="428">
        <v>41741</v>
      </c>
      <c r="T106" s="428">
        <v>69291</v>
      </c>
      <c r="U106" s="428">
        <v>83425</v>
      </c>
      <c r="V106" s="428">
        <v>172599</v>
      </c>
      <c r="W106" s="428"/>
      <c r="X106" s="428"/>
      <c r="Y106" s="428"/>
      <c r="Z106" s="428"/>
      <c r="AA106" s="428"/>
      <c r="AB106" s="428"/>
      <c r="AC106" s="428"/>
      <c r="AD106" s="428"/>
      <c r="AE106" s="428"/>
      <c r="AF106" s="428"/>
    </row>
    <row r="107" spans="1:32" outlineLevel="1">
      <c r="A107" s="221" t="s">
        <v>86</v>
      </c>
      <c r="B107" s="163"/>
      <c r="C107" s="163"/>
      <c r="D107" s="163"/>
      <c r="E107" s="163"/>
      <c r="F107" s="163"/>
      <c r="G107" s="164" t="s">
        <v>424</v>
      </c>
      <c r="H107" s="222"/>
      <c r="I107" s="222"/>
      <c r="J107" s="222"/>
      <c r="K107" s="222"/>
      <c r="L107" s="222"/>
      <c r="M107" s="222"/>
      <c r="N107" s="428">
        <v>714653</v>
      </c>
      <c r="O107" s="428">
        <v>734051</v>
      </c>
      <c r="P107" s="428">
        <v>630840</v>
      </c>
      <c r="Q107" s="428">
        <v>892233</v>
      </c>
      <c r="R107" s="428">
        <v>1208421</v>
      </c>
      <c r="S107" s="428">
        <v>1295094</v>
      </c>
      <c r="T107" s="428">
        <v>1120233</v>
      </c>
      <c r="U107" s="428">
        <v>1166716</v>
      </c>
      <c r="V107" s="428">
        <v>1181746</v>
      </c>
      <c r="W107" s="428"/>
      <c r="X107" s="428"/>
      <c r="Y107" s="428"/>
      <c r="Z107" s="428"/>
      <c r="AA107" s="428"/>
      <c r="AB107" s="428"/>
      <c r="AC107" s="428"/>
      <c r="AD107" s="428"/>
      <c r="AE107" s="428"/>
      <c r="AF107" s="428"/>
    </row>
    <row r="108" spans="1:32" outlineLevel="1">
      <c r="A108" s="221" t="s">
        <v>87</v>
      </c>
      <c r="B108" s="163"/>
      <c r="C108" s="163"/>
      <c r="D108" s="163"/>
      <c r="E108" s="163"/>
      <c r="F108" s="163"/>
      <c r="G108" s="164" t="s">
        <v>424</v>
      </c>
      <c r="H108" s="222"/>
      <c r="I108" s="222"/>
      <c r="J108" s="222"/>
      <c r="K108" s="222"/>
      <c r="L108" s="222"/>
      <c r="M108" s="222"/>
      <c r="N108" s="428">
        <v>2513763</v>
      </c>
      <c r="O108" s="428">
        <v>4011579</v>
      </c>
      <c r="P108" s="428">
        <v>4897615</v>
      </c>
      <c r="Q108" s="428">
        <v>4318104</v>
      </c>
      <c r="R108" s="428">
        <f>3150092-491580</f>
        <v>2658512</v>
      </c>
      <c r="S108" s="428">
        <v>2524267</v>
      </c>
      <c r="T108" s="428">
        <v>2146507</v>
      </c>
      <c r="U108" s="428">
        <v>1775892</v>
      </c>
      <c r="V108" s="428">
        <v>1477076</v>
      </c>
      <c r="W108" s="428"/>
      <c r="X108" s="428"/>
      <c r="Y108" s="428"/>
      <c r="Z108" s="428"/>
      <c r="AA108" s="428"/>
      <c r="AB108" s="428"/>
      <c r="AC108" s="428"/>
      <c r="AD108" s="428"/>
      <c r="AE108" s="428"/>
      <c r="AF108" s="428"/>
    </row>
    <row r="109" spans="1:32" outlineLevel="1">
      <c r="A109" s="221" t="s">
        <v>88</v>
      </c>
      <c r="B109" s="163"/>
      <c r="C109" s="163"/>
      <c r="D109" s="163"/>
      <c r="E109" s="163"/>
      <c r="F109" s="163"/>
      <c r="G109" s="164" t="s">
        <v>424</v>
      </c>
      <c r="H109" s="222"/>
      <c r="I109" s="222"/>
      <c r="J109" s="222"/>
      <c r="K109" s="222"/>
      <c r="L109" s="222"/>
      <c r="M109" s="222"/>
      <c r="N109" s="428">
        <v>8104820</v>
      </c>
      <c r="O109" s="428">
        <v>16342693</v>
      </c>
      <c r="P109" s="428">
        <f>15036875</f>
        <v>15036875</v>
      </c>
      <c r="Q109" s="428">
        <f>12073155</f>
        <v>12073155</v>
      </c>
      <c r="R109" s="428">
        <f>9378030</f>
        <v>9378030</v>
      </c>
      <c r="S109" s="428">
        <v>6688754</v>
      </c>
      <c r="T109" s="428">
        <v>4136100</v>
      </c>
      <c r="U109" s="428">
        <v>3546701</v>
      </c>
      <c r="V109" s="428">
        <v>4977748</v>
      </c>
      <c r="W109" s="428"/>
      <c r="X109" s="428"/>
      <c r="Y109" s="428"/>
      <c r="Z109" s="428"/>
      <c r="AA109" s="428"/>
      <c r="AB109" s="428"/>
      <c r="AC109" s="428"/>
      <c r="AD109" s="428"/>
      <c r="AE109" s="428"/>
      <c r="AF109" s="428"/>
    </row>
    <row r="110" spans="1:32" outlineLevel="1">
      <c r="A110" s="221" t="s">
        <v>89</v>
      </c>
      <c r="B110" s="163"/>
      <c r="C110" s="163"/>
      <c r="D110" s="163"/>
      <c r="E110" s="163"/>
      <c r="F110" s="163"/>
      <c r="G110" s="164" t="s">
        <v>424</v>
      </c>
      <c r="H110" s="222"/>
      <c r="I110" s="222"/>
      <c r="J110" s="222"/>
      <c r="K110" s="222"/>
      <c r="L110" s="222"/>
      <c r="M110" s="222"/>
      <c r="N110" s="428">
        <v>1578</v>
      </c>
      <c r="O110" s="428">
        <v>451578</v>
      </c>
      <c r="P110" s="428">
        <v>0</v>
      </c>
      <c r="Q110" s="428">
        <v>0</v>
      </c>
      <c r="R110" s="428">
        <v>0</v>
      </c>
      <c r="S110" s="428">
        <v>0</v>
      </c>
      <c r="T110" s="428">
        <v>0</v>
      </c>
      <c r="U110" s="428">
        <v>0</v>
      </c>
      <c r="V110" s="428">
        <v>0</v>
      </c>
      <c r="W110" s="428"/>
      <c r="X110" s="428"/>
      <c r="Y110" s="428"/>
      <c r="Z110" s="428"/>
      <c r="AA110" s="428"/>
      <c r="AB110" s="428"/>
      <c r="AC110" s="428"/>
      <c r="AD110" s="428"/>
      <c r="AE110" s="428"/>
      <c r="AF110" s="428"/>
    </row>
    <row r="111" spans="1:32" outlineLevel="1">
      <c r="A111" s="221" t="s">
        <v>48</v>
      </c>
      <c r="B111" s="163"/>
      <c r="C111" s="163"/>
      <c r="D111" s="163"/>
      <c r="E111" s="163"/>
      <c r="F111" s="163"/>
      <c r="G111" s="164" t="s">
        <v>424</v>
      </c>
      <c r="H111" s="222"/>
      <c r="I111" s="222"/>
      <c r="J111" s="222"/>
      <c r="K111" s="222"/>
      <c r="L111" s="222"/>
      <c r="M111" s="222"/>
      <c r="N111" s="428">
        <v>357704227</v>
      </c>
      <c r="O111" s="428">
        <v>340994653</v>
      </c>
      <c r="P111" s="428">
        <v>342664961</v>
      </c>
      <c r="Q111" s="428">
        <v>370286868</v>
      </c>
      <c r="R111" s="428">
        <v>354154373</v>
      </c>
      <c r="S111" s="428">
        <v>334345909</v>
      </c>
      <c r="T111" s="428">
        <v>370321707</v>
      </c>
      <c r="U111" s="428">
        <v>397828863</v>
      </c>
      <c r="V111" s="428">
        <v>406095881</v>
      </c>
      <c r="W111" s="428"/>
      <c r="X111" s="428"/>
      <c r="Y111" s="428"/>
      <c r="Z111" s="428"/>
      <c r="AA111" s="428"/>
      <c r="AB111" s="428"/>
      <c r="AC111" s="428"/>
      <c r="AD111" s="428"/>
      <c r="AE111" s="428"/>
      <c r="AF111" s="428"/>
    </row>
    <row r="112" spans="1:32" outlineLevel="1">
      <c r="A112" s="221" t="s">
        <v>320</v>
      </c>
      <c r="B112" s="163"/>
      <c r="C112" s="163"/>
      <c r="D112" s="163"/>
      <c r="E112" s="163"/>
      <c r="F112" s="163"/>
      <c r="G112" s="164" t="s">
        <v>424</v>
      </c>
      <c r="H112" s="222"/>
      <c r="I112" s="222"/>
      <c r="J112" s="222"/>
      <c r="K112" s="222"/>
      <c r="L112" s="222"/>
      <c r="M112" s="222"/>
      <c r="N112" s="428">
        <v>26987107</v>
      </c>
      <c r="O112" s="428">
        <v>27225075</v>
      </c>
      <c r="P112" s="428">
        <v>252198625</v>
      </c>
      <c r="Q112" s="428">
        <v>257128051</v>
      </c>
      <c r="R112" s="428">
        <v>254927397</v>
      </c>
      <c r="S112" s="428">
        <v>252871530</v>
      </c>
      <c r="T112" s="428">
        <v>250931473</v>
      </c>
      <c r="U112" s="428">
        <v>249052159</v>
      </c>
      <c r="V112" s="428">
        <v>247480101</v>
      </c>
      <c r="W112" s="428"/>
      <c r="X112" s="428"/>
      <c r="Y112" s="428"/>
      <c r="Z112" s="428"/>
      <c r="AA112" s="428"/>
      <c r="AB112" s="428"/>
      <c r="AC112" s="428"/>
      <c r="AD112" s="428"/>
      <c r="AE112" s="428"/>
      <c r="AF112" s="428"/>
    </row>
    <row r="113" spans="1:32" outlineLevel="1">
      <c r="A113" s="223" t="s">
        <v>321</v>
      </c>
      <c r="B113" s="119"/>
      <c r="C113" s="119"/>
      <c r="D113" s="119"/>
      <c r="E113" s="119"/>
      <c r="F113" s="119"/>
      <c r="G113" s="164" t="s">
        <v>424</v>
      </c>
      <c r="H113" s="222"/>
      <c r="I113" s="224"/>
      <c r="J113" s="224"/>
      <c r="K113" s="224"/>
      <c r="L113" s="224"/>
      <c r="M113" s="224"/>
      <c r="N113" s="428">
        <v>0</v>
      </c>
      <c r="O113" s="428">
        <v>0</v>
      </c>
      <c r="P113" s="428">
        <v>0</v>
      </c>
      <c r="Q113" s="428">
        <v>0</v>
      </c>
      <c r="R113" s="428">
        <v>2526642</v>
      </c>
      <c r="S113" s="428">
        <v>3070777</v>
      </c>
      <c r="T113" s="428">
        <v>10362562</v>
      </c>
      <c r="U113" s="428">
        <v>8970826</v>
      </c>
      <c r="V113" s="428">
        <v>8219515</v>
      </c>
      <c r="W113" s="428"/>
      <c r="X113" s="428"/>
      <c r="Y113" s="428"/>
      <c r="Z113" s="428"/>
      <c r="AA113" s="428"/>
      <c r="AB113" s="428"/>
      <c r="AC113" s="428"/>
      <c r="AD113" s="428"/>
      <c r="AE113" s="428"/>
      <c r="AF113" s="428"/>
    </row>
    <row r="114" spans="1:32" outlineLevel="1">
      <c r="A114" s="162" t="s">
        <v>120</v>
      </c>
      <c r="G114" s="164" t="s">
        <v>424</v>
      </c>
      <c r="H114" s="222"/>
      <c r="I114" s="222"/>
      <c r="J114" s="222"/>
      <c r="K114" s="222"/>
      <c r="L114" s="222"/>
      <c r="M114" s="222"/>
      <c r="N114" s="428">
        <v>16450925</v>
      </c>
      <c r="O114" s="428">
        <v>8197464</v>
      </c>
      <c r="P114" s="428">
        <v>8287517</v>
      </c>
      <c r="Q114" s="428">
        <v>16931048</v>
      </c>
      <c r="R114" s="428">
        <v>6741593</v>
      </c>
      <c r="S114" s="428">
        <v>6653737</v>
      </c>
      <c r="T114" s="428">
        <v>5386031</v>
      </c>
      <c r="U114" s="428">
        <v>7225413</v>
      </c>
      <c r="V114" s="428">
        <v>6730596</v>
      </c>
      <c r="W114" s="428"/>
      <c r="X114" s="428"/>
      <c r="Y114" s="428"/>
      <c r="Z114" s="428"/>
      <c r="AA114" s="428"/>
      <c r="AB114" s="428"/>
      <c r="AC114" s="428"/>
      <c r="AD114" s="428"/>
      <c r="AE114" s="428"/>
      <c r="AF114" s="428"/>
    </row>
    <row r="115" spans="1:32" outlineLevel="1">
      <c r="A115" s="162" t="s">
        <v>473</v>
      </c>
      <c r="G115" s="164" t="s">
        <v>424</v>
      </c>
      <c r="H115" s="222"/>
      <c r="I115" s="222"/>
      <c r="J115" s="222"/>
      <c r="K115" s="222"/>
      <c r="L115" s="222"/>
      <c r="M115" s="222"/>
      <c r="N115" s="428">
        <v>0</v>
      </c>
      <c r="O115" s="428">
        <v>218144</v>
      </c>
      <c r="P115" s="428">
        <v>740648</v>
      </c>
      <c r="Q115" s="428">
        <v>1257376</v>
      </c>
      <c r="R115" s="428">
        <v>894536</v>
      </c>
      <c r="S115" s="428">
        <v>3359468</v>
      </c>
      <c r="T115" s="428">
        <v>1138542</v>
      </c>
      <c r="U115" s="428">
        <v>332397</v>
      </c>
      <c r="V115" s="428">
        <v>300000</v>
      </c>
      <c r="W115" s="428"/>
      <c r="X115" s="428"/>
      <c r="Y115" s="428"/>
      <c r="Z115" s="428"/>
      <c r="AA115" s="428"/>
      <c r="AB115" s="428"/>
      <c r="AC115" s="428"/>
      <c r="AD115" s="428"/>
      <c r="AE115" s="428"/>
      <c r="AF115" s="428"/>
    </row>
    <row r="116" spans="1:32" outlineLevel="1">
      <c r="A116" s="162" t="s">
        <v>121</v>
      </c>
      <c r="G116" s="164" t="s">
        <v>424</v>
      </c>
      <c r="H116" s="222"/>
      <c r="I116" s="222"/>
      <c r="J116" s="222"/>
      <c r="K116" s="222"/>
      <c r="L116" s="222"/>
      <c r="M116" s="222"/>
      <c r="N116" s="428">
        <v>0</v>
      </c>
      <c r="O116" s="428">
        <v>50000</v>
      </c>
      <c r="P116" s="428">
        <v>454654</v>
      </c>
      <c r="Q116" s="428">
        <v>0</v>
      </c>
      <c r="R116" s="428">
        <v>143000</v>
      </c>
      <c r="S116" s="428">
        <v>0</v>
      </c>
      <c r="T116" s="428">
        <v>0</v>
      </c>
      <c r="U116" s="428">
        <v>0</v>
      </c>
      <c r="V116" s="428">
        <v>0</v>
      </c>
      <c r="W116" s="428"/>
      <c r="X116" s="428"/>
      <c r="Y116" s="428"/>
      <c r="Z116" s="428"/>
      <c r="AA116" s="428"/>
      <c r="AB116" s="428"/>
      <c r="AC116" s="428"/>
      <c r="AD116" s="428"/>
      <c r="AE116" s="428"/>
      <c r="AF116" s="428"/>
    </row>
    <row r="117" spans="1:32" outlineLevel="1">
      <c r="A117" s="162" t="s">
        <v>134</v>
      </c>
      <c r="G117" s="164" t="s">
        <v>424</v>
      </c>
      <c r="H117" s="222"/>
      <c r="I117" s="222"/>
      <c r="J117" s="222"/>
      <c r="K117" s="222"/>
      <c r="L117" s="222"/>
      <c r="M117" s="222"/>
      <c r="N117" s="428">
        <v>878855</v>
      </c>
      <c r="O117" s="428">
        <v>699078</v>
      </c>
      <c r="P117" s="428">
        <v>916164</v>
      </c>
      <c r="Q117" s="428">
        <v>772340</v>
      </c>
      <c r="R117" s="428">
        <f>1506341-491580</f>
        <v>1014761</v>
      </c>
      <c r="S117" s="428">
        <v>2009067</v>
      </c>
      <c r="T117" s="428">
        <v>3217912</v>
      </c>
      <c r="U117" s="428">
        <v>3355744</v>
      </c>
      <c r="V117" s="428">
        <v>3288859</v>
      </c>
      <c r="W117" s="428"/>
      <c r="X117" s="428"/>
      <c r="Y117" s="428"/>
      <c r="Z117" s="428"/>
      <c r="AA117" s="428"/>
      <c r="AB117" s="428"/>
      <c r="AC117" s="428"/>
      <c r="AD117" s="428"/>
      <c r="AE117" s="428"/>
      <c r="AF117" s="428"/>
    </row>
    <row r="118" spans="1:32" outlineLevel="1">
      <c r="A118" s="162" t="s">
        <v>137</v>
      </c>
      <c r="G118" s="164" t="s">
        <v>424</v>
      </c>
      <c r="H118" s="222"/>
      <c r="I118" s="222"/>
      <c r="J118" s="222"/>
      <c r="K118" s="222"/>
      <c r="L118" s="222"/>
      <c r="M118" s="222"/>
      <c r="N118" s="428">
        <v>1185031</v>
      </c>
      <c r="O118" s="428">
        <v>1234926</v>
      </c>
      <c r="P118" s="428">
        <f>23799981</f>
        <v>23799981</v>
      </c>
      <c r="Q118" s="428">
        <f>28539972</f>
        <v>28539972</v>
      </c>
      <c r="R118" s="428">
        <f>49757192</f>
        <v>49757192</v>
      </c>
      <c r="S118" s="428">
        <v>52625146</v>
      </c>
      <c r="T118" s="428">
        <v>61821427</v>
      </c>
      <c r="U118" s="428">
        <v>91692896</v>
      </c>
      <c r="V118" s="428">
        <v>90399400</v>
      </c>
      <c r="W118" s="428"/>
      <c r="X118" s="428"/>
      <c r="Y118" s="428"/>
      <c r="Z118" s="428"/>
      <c r="AA118" s="428"/>
      <c r="AB118" s="428"/>
      <c r="AC118" s="428"/>
      <c r="AD118" s="428"/>
      <c r="AE118" s="428"/>
      <c r="AF118" s="428"/>
    </row>
    <row r="119" spans="1:32" outlineLevel="1">
      <c r="A119" s="162" t="s">
        <v>322</v>
      </c>
      <c r="G119" s="164" t="s">
        <v>424</v>
      </c>
      <c r="H119" s="222"/>
      <c r="I119" s="224"/>
      <c r="J119" s="224"/>
      <c r="K119" s="224"/>
      <c r="L119" s="224"/>
      <c r="M119" s="224"/>
      <c r="N119" s="428">
        <v>0</v>
      </c>
      <c r="O119" s="428">
        <v>0</v>
      </c>
      <c r="P119" s="428">
        <v>0</v>
      </c>
      <c r="Q119" s="428">
        <v>0</v>
      </c>
      <c r="R119" s="428">
        <v>2300531</v>
      </c>
      <c r="S119" s="428">
        <v>1413791</v>
      </c>
      <c r="T119" s="428">
        <v>575904</v>
      </c>
      <c r="U119" s="428">
        <v>420848</v>
      </c>
      <c r="V119" s="428">
        <v>528581</v>
      </c>
      <c r="W119" s="428"/>
      <c r="X119" s="428"/>
      <c r="Y119" s="428"/>
      <c r="Z119" s="428"/>
      <c r="AA119" s="428"/>
      <c r="AB119" s="428"/>
      <c r="AC119" s="428"/>
      <c r="AD119" s="428"/>
      <c r="AE119" s="428"/>
      <c r="AF119" s="428"/>
    </row>
    <row r="120" spans="1:32" outlineLevel="1">
      <c r="A120" s="162" t="s">
        <v>323</v>
      </c>
      <c r="G120" s="164" t="s">
        <v>424</v>
      </c>
      <c r="H120" s="222"/>
      <c r="I120" s="224"/>
      <c r="J120" s="224"/>
      <c r="K120" s="224"/>
      <c r="L120" s="224"/>
      <c r="M120" s="224"/>
      <c r="N120" s="428"/>
      <c r="O120" s="428"/>
      <c r="P120" s="428"/>
      <c r="Q120" s="428"/>
      <c r="R120" s="428"/>
      <c r="S120" s="428">
        <v>0</v>
      </c>
      <c r="T120" s="428">
        <v>0</v>
      </c>
      <c r="U120" s="428">
        <v>38288</v>
      </c>
      <c r="V120" s="428">
        <v>521102</v>
      </c>
      <c r="W120" s="428"/>
      <c r="X120" s="428"/>
      <c r="Y120" s="428"/>
      <c r="Z120" s="428"/>
      <c r="AA120" s="428"/>
      <c r="AB120" s="428"/>
      <c r="AC120" s="428"/>
      <c r="AD120" s="428"/>
      <c r="AE120" s="428"/>
      <c r="AF120" s="428"/>
    </row>
    <row r="121" spans="1:32" outlineLevel="1">
      <c r="A121" s="554" t="s">
        <v>324</v>
      </c>
      <c r="B121" s="554"/>
      <c r="C121" s="554"/>
      <c r="D121" s="554"/>
      <c r="E121" s="554"/>
      <c r="F121" s="554"/>
      <c r="G121" s="164" t="s">
        <v>424</v>
      </c>
      <c r="H121" s="222"/>
      <c r="I121" s="222"/>
      <c r="J121" s="222"/>
      <c r="K121" s="222"/>
      <c r="L121" s="222"/>
      <c r="M121" s="222"/>
      <c r="N121" s="428">
        <v>0</v>
      </c>
      <c r="O121" s="428">
        <v>0</v>
      </c>
      <c r="P121" s="428">
        <v>0</v>
      </c>
      <c r="Q121" s="428">
        <v>0</v>
      </c>
      <c r="R121" s="428">
        <v>0</v>
      </c>
      <c r="S121" s="428">
        <v>0</v>
      </c>
      <c r="T121" s="428"/>
      <c r="U121" s="428"/>
      <c r="V121" s="428"/>
      <c r="W121" s="428"/>
      <c r="X121" s="428"/>
      <c r="Y121" s="428"/>
      <c r="Z121" s="428"/>
      <c r="AA121" s="428"/>
      <c r="AB121" s="428"/>
      <c r="AC121" s="428"/>
      <c r="AD121" s="428"/>
      <c r="AE121" s="428"/>
      <c r="AF121" s="428"/>
    </row>
    <row r="122" spans="1:32" outlineLevel="1">
      <c r="A122" s="554" t="s">
        <v>325</v>
      </c>
      <c r="B122" s="555"/>
      <c r="C122" s="555"/>
      <c r="D122" s="555"/>
      <c r="E122" s="555"/>
      <c r="F122" s="555"/>
      <c r="G122" s="164" t="s">
        <v>424</v>
      </c>
      <c r="H122" s="222"/>
      <c r="I122" s="222"/>
      <c r="J122" s="222"/>
      <c r="K122" s="222"/>
      <c r="L122" s="222"/>
      <c r="M122" s="222"/>
      <c r="N122" s="428">
        <v>0</v>
      </c>
      <c r="O122" s="428">
        <v>0</v>
      </c>
      <c r="P122" s="428">
        <v>0</v>
      </c>
      <c r="Q122" s="428">
        <v>0</v>
      </c>
      <c r="R122" s="428">
        <v>0</v>
      </c>
      <c r="S122" s="428">
        <v>0</v>
      </c>
      <c r="T122" s="428"/>
      <c r="U122" s="428"/>
      <c r="V122" s="428"/>
      <c r="W122" s="428"/>
      <c r="X122" s="428"/>
      <c r="Y122" s="428"/>
      <c r="Z122" s="428"/>
      <c r="AA122" s="428"/>
      <c r="AB122" s="428"/>
      <c r="AC122" s="428"/>
      <c r="AD122" s="428"/>
      <c r="AE122" s="428"/>
      <c r="AF122" s="428"/>
    </row>
    <row r="123" spans="1:32" outlineLevel="1">
      <c r="A123" s="162" t="s">
        <v>467</v>
      </c>
      <c r="B123" s="555"/>
      <c r="C123" s="555"/>
      <c r="D123" s="555"/>
      <c r="E123" s="555"/>
      <c r="F123" s="555"/>
      <c r="G123" s="164" t="s">
        <v>424</v>
      </c>
      <c r="H123" s="222"/>
      <c r="I123" s="222"/>
      <c r="J123" s="222"/>
      <c r="K123" s="222"/>
      <c r="L123" s="222"/>
      <c r="M123" s="222"/>
      <c r="N123" s="428">
        <v>0</v>
      </c>
      <c r="O123" s="428">
        <v>0</v>
      </c>
      <c r="P123" s="428">
        <v>0</v>
      </c>
      <c r="Q123" s="428">
        <v>0</v>
      </c>
      <c r="R123" s="428">
        <v>0</v>
      </c>
      <c r="S123" s="428">
        <v>0</v>
      </c>
      <c r="T123" s="428"/>
      <c r="U123" s="428"/>
      <c r="V123" s="428"/>
      <c r="W123" s="428"/>
      <c r="X123" s="428"/>
      <c r="Y123" s="428"/>
      <c r="Z123" s="428"/>
      <c r="AA123" s="428"/>
      <c r="AB123" s="428"/>
      <c r="AC123" s="428"/>
      <c r="AD123" s="428"/>
      <c r="AE123" s="428"/>
      <c r="AF123" s="428"/>
    </row>
    <row r="124" spans="1:32" outlineLevel="1">
      <c r="A124" s="554" t="s">
        <v>326</v>
      </c>
      <c r="B124" s="555"/>
      <c r="C124" s="555"/>
      <c r="D124" s="555"/>
      <c r="E124" s="555"/>
      <c r="F124" s="555"/>
      <c r="G124" s="164" t="s">
        <v>424</v>
      </c>
      <c r="H124" s="222"/>
      <c r="I124" s="222"/>
      <c r="J124" s="222"/>
      <c r="K124" s="222"/>
      <c r="L124" s="222"/>
      <c r="M124" s="222"/>
      <c r="N124" s="428">
        <v>0</v>
      </c>
      <c r="O124" s="428">
        <v>0</v>
      </c>
      <c r="P124" s="428">
        <v>0</v>
      </c>
      <c r="Q124" s="428">
        <v>0</v>
      </c>
      <c r="R124" s="428">
        <v>0</v>
      </c>
      <c r="S124" s="428">
        <v>0</v>
      </c>
      <c r="T124" s="428"/>
      <c r="U124" s="428"/>
      <c r="V124" s="428"/>
      <c r="W124" s="428"/>
      <c r="X124" s="428"/>
      <c r="Y124" s="428"/>
      <c r="Z124" s="428"/>
      <c r="AA124" s="428"/>
      <c r="AB124" s="428"/>
      <c r="AC124" s="428"/>
      <c r="AD124" s="428"/>
      <c r="AE124" s="428"/>
      <c r="AF124" s="428"/>
    </row>
    <row r="125" spans="1:32" outlineLevel="1">
      <c r="A125" s="639" t="s">
        <v>521</v>
      </c>
      <c r="B125" s="555"/>
      <c r="C125" s="555"/>
      <c r="D125" s="555"/>
      <c r="E125" s="555"/>
      <c r="F125" s="555"/>
      <c r="G125" s="164" t="s">
        <v>424</v>
      </c>
      <c r="H125" s="222"/>
      <c r="I125" s="222"/>
      <c r="J125" s="222"/>
      <c r="K125" s="222"/>
      <c r="L125" s="222"/>
      <c r="M125" s="222"/>
      <c r="N125" s="428">
        <v>0</v>
      </c>
      <c r="O125" s="428">
        <v>0</v>
      </c>
      <c r="P125" s="428">
        <v>0</v>
      </c>
      <c r="Q125" s="428">
        <v>0</v>
      </c>
      <c r="R125" s="428">
        <v>0</v>
      </c>
      <c r="S125" s="428">
        <v>0</v>
      </c>
      <c r="T125" s="428"/>
      <c r="U125" s="428"/>
      <c r="V125" s="428"/>
      <c r="W125" s="428"/>
      <c r="X125" s="428"/>
      <c r="Y125" s="428"/>
      <c r="Z125" s="428"/>
      <c r="AA125" s="428"/>
      <c r="AB125" s="428"/>
      <c r="AC125" s="428"/>
      <c r="AD125" s="428"/>
      <c r="AE125" s="428"/>
      <c r="AF125" s="428"/>
    </row>
    <row r="126" spans="1:32" outlineLevel="1">
      <c r="A126" s="554" t="s">
        <v>327</v>
      </c>
      <c r="B126" s="555"/>
      <c r="C126" s="555"/>
      <c r="D126" s="555"/>
      <c r="E126" s="555"/>
      <c r="F126" s="555"/>
      <c r="G126" s="164" t="s">
        <v>424</v>
      </c>
      <c r="H126" s="222"/>
      <c r="I126" s="222"/>
      <c r="J126" s="222"/>
      <c r="K126" s="222"/>
      <c r="L126" s="222"/>
      <c r="M126" s="222"/>
      <c r="N126" s="428">
        <v>0</v>
      </c>
      <c r="O126" s="428">
        <v>0</v>
      </c>
      <c r="P126" s="428">
        <v>0</v>
      </c>
      <c r="Q126" s="428">
        <v>0</v>
      </c>
      <c r="R126" s="428">
        <v>0</v>
      </c>
      <c r="S126" s="428">
        <v>0</v>
      </c>
      <c r="T126" s="428"/>
      <c r="U126" s="428"/>
      <c r="V126" s="428"/>
      <c r="W126" s="428"/>
      <c r="X126" s="428"/>
      <c r="Y126" s="428"/>
      <c r="Z126" s="428"/>
      <c r="AA126" s="428"/>
      <c r="AB126" s="428"/>
      <c r="AC126" s="428"/>
      <c r="AD126" s="428"/>
      <c r="AE126" s="428"/>
      <c r="AF126" s="428"/>
    </row>
    <row r="127" spans="1:32" outlineLevel="1">
      <c r="A127" s="554" t="s">
        <v>325</v>
      </c>
      <c r="B127" s="555"/>
      <c r="C127" s="555"/>
      <c r="D127" s="555"/>
      <c r="E127" s="555"/>
      <c r="F127" s="555"/>
      <c r="G127" s="164" t="s">
        <v>424</v>
      </c>
      <c r="H127" s="222"/>
      <c r="I127" s="222"/>
      <c r="J127" s="222"/>
      <c r="K127" s="222"/>
      <c r="L127" s="222"/>
      <c r="M127" s="222"/>
      <c r="N127" s="428">
        <v>0</v>
      </c>
      <c r="O127" s="428">
        <v>0</v>
      </c>
      <c r="P127" s="428">
        <v>0</v>
      </c>
      <c r="Q127" s="428">
        <v>0</v>
      </c>
      <c r="R127" s="428">
        <v>0</v>
      </c>
      <c r="S127" s="428">
        <v>0</v>
      </c>
      <c r="T127" s="428"/>
      <c r="U127" s="428"/>
      <c r="V127" s="428"/>
      <c r="W127" s="428"/>
      <c r="X127" s="428"/>
      <c r="Y127" s="428"/>
      <c r="Z127" s="428"/>
      <c r="AA127" s="428"/>
      <c r="AB127" s="428"/>
      <c r="AC127" s="428"/>
      <c r="AD127" s="428"/>
      <c r="AE127" s="428"/>
      <c r="AF127" s="428"/>
    </row>
    <row r="128" spans="1:32" outlineLevel="1">
      <c r="A128" s="162" t="s">
        <v>502</v>
      </c>
      <c r="B128" s="555"/>
      <c r="C128" s="555"/>
      <c r="D128" s="555"/>
      <c r="E128" s="555"/>
      <c r="F128" s="555"/>
      <c r="G128" s="164" t="s">
        <v>424</v>
      </c>
      <c r="H128" s="222"/>
      <c r="I128" s="222"/>
      <c r="J128" s="222"/>
      <c r="K128" s="222"/>
      <c r="L128" s="222"/>
      <c r="M128" s="222"/>
      <c r="N128" s="428">
        <v>0</v>
      </c>
      <c r="O128" s="428">
        <v>0</v>
      </c>
      <c r="P128" s="428">
        <v>0</v>
      </c>
      <c r="Q128" s="428">
        <v>0</v>
      </c>
      <c r="R128" s="428">
        <v>0</v>
      </c>
      <c r="S128" s="428">
        <v>0</v>
      </c>
      <c r="T128" s="428"/>
      <c r="U128" s="428"/>
      <c r="V128" s="428"/>
      <c r="W128" s="428"/>
      <c r="X128" s="428"/>
      <c r="Y128" s="428"/>
      <c r="Z128" s="428"/>
      <c r="AA128" s="428"/>
      <c r="AB128" s="428"/>
      <c r="AC128" s="428"/>
      <c r="AD128" s="428"/>
      <c r="AE128" s="428"/>
      <c r="AF128" s="428"/>
    </row>
    <row r="129" spans="1:32" outlineLevel="1">
      <c r="A129" s="162" t="s">
        <v>503</v>
      </c>
      <c r="B129" s="555"/>
      <c r="C129" s="555"/>
      <c r="D129" s="555"/>
      <c r="E129" s="555"/>
      <c r="F129" s="555"/>
      <c r="G129" s="164" t="s">
        <v>424</v>
      </c>
      <c r="H129" s="222"/>
      <c r="I129" s="222"/>
      <c r="J129" s="222"/>
      <c r="K129" s="222"/>
      <c r="L129" s="222"/>
      <c r="M129" s="222"/>
      <c r="N129" s="428">
        <v>0</v>
      </c>
      <c r="O129" s="428">
        <v>0</v>
      </c>
      <c r="P129" s="428">
        <v>0</v>
      </c>
      <c r="Q129" s="428">
        <v>0</v>
      </c>
      <c r="R129" s="428">
        <v>0</v>
      </c>
      <c r="S129" s="428">
        <v>0</v>
      </c>
      <c r="T129" s="428"/>
      <c r="U129" s="428"/>
      <c r="V129" s="428"/>
      <c r="W129" s="428"/>
      <c r="X129" s="428"/>
      <c r="Y129" s="428"/>
      <c r="Z129" s="428"/>
      <c r="AA129" s="428"/>
      <c r="AB129" s="428"/>
      <c r="AC129" s="428"/>
      <c r="AD129" s="428"/>
      <c r="AE129" s="428"/>
      <c r="AF129" s="428"/>
    </row>
    <row r="130" spans="1:32" outlineLevel="1">
      <c r="A130" s="554" t="s">
        <v>326</v>
      </c>
      <c r="B130" s="555"/>
      <c r="C130" s="555"/>
      <c r="D130" s="555"/>
      <c r="E130" s="555"/>
      <c r="F130" s="555"/>
      <c r="G130" s="164" t="s">
        <v>424</v>
      </c>
      <c r="H130" s="222"/>
      <c r="I130" s="222"/>
      <c r="J130" s="222"/>
      <c r="K130" s="222"/>
      <c r="L130" s="222"/>
      <c r="M130" s="222"/>
      <c r="N130" s="428">
        <v>0</v>
      </c>
      <c r="O130" s="428">
        <v>0</v>
      </c>
      <c r="P130" s="428">
        <v>0</v>
      </c>
      <c r="Q130" s="428">
        <v>0</v>
      </c>
      <c r="R130" s="428">
        <v>0</v>
      </c>
      <c r="S130" s="428">
        <v>0</v>
      </c>
      <c r="T130" s="428"/>
      <c r="U130" s="428"/>
      <c r="V130" s="428"/>
      <c r="W130" s="428"/>
      <c r="X130" s="428"/>
      <c r="Y130" s="428"/>
      <c r="Z130" s="428"/>
      <c r="AA130" s="428"/>
      <c r="AB130" s="428"/>
      <c r="AC130" s="428"/>
      <c r="AD130" s="428"/>
      <c r="AE130" s="428"/>
      <c r="AF130" s="428"/>
    </row>
    <row r="131" spans="1:32" outlineLevel="1">
      <c r="A131" s="639" t="s">
        <v>506</v>
      </c>
      <c r="B131" s="555"/>
      <c r="C131" s="555"/>
      <c r="D131" s="555"/>
      <c r="E131" s="555"/>
      <c r="F131" s="555"/>
      <c r="G131" s="164" t="s">
        <v>424</v>
      </c>
      <c r="H131" s="222"/>
      <c r="I131" s="222"/>
      <c r="J131" s="222"/>
      <c r="K131" s="222"/>
      <c r="L131" s="222"/>
      <c r="M131" s="222"/>
      <c r="N131" s="428">
        <v>0</v>
      </c>
      <c r="O131" s="428">
        <v>0</v>
      </c>
      <c r="P131" s="428">
        <v>0</v>
      </c>
      <c r="Q131" s="428">
        <v>0</v>
      </c>
      <c r="R131" s="428">
        <v>0</v>
      </c>
      <c r="S131" s="428">
        <v>0</v>
      </c>
      <c r="T131" s="428"/>
      <c r="U131" s="428"/>
      <c r="V131" s="428"/>
      <c r="W131" s="428"/>
      <c r="X131" s="428"/>
      <c r="Y131" s="428"/>
      <c r="Z131" s="428"/>
      <c r="AA131" s="428"/>
      <c r="AB131" s="428"/>
      <c r="AC131" s="428"/>
      <c r="AD131" s="428"/>
      <c r="AE131" s="428"/>
      <c r="AF131" s="428"/>
    </row>
    <row r="132" spans="1:32" outlineLevel="1">
      <c r="A132" s="162" t="s">
        <v>328</v>
      </c>
      <c r="G132" s="164" t="s">
        <v>424</v>
      </c>
      <c r="H132" s="222"/>
      <c r="I132" s="222"/>
      <c r="J132" s="222"/>
      <c r="K132" s="222"/>
      <c r="L132" s="222"/>
      <c r="M132" s="222"/>
      <c r="N132" s="428">
        <v>0</v>
      </c>
      <c r="O132" s="428">
        <v>0</v>
      </c>
      <c r="P132" s="428">
        <v>0</v>
      </c>
      <c r="Q132" s="428">
        <v>0</v>
      </c>
      <c r="R132" s="428">
        <v>0</v>
      </c>
      <c r="S132" s="428">
        <v>0</v>
      </c>
      <c r="T132" s="428"/>
      <c r="U132" s="428"/>
      <c r="V132" s="428"/>
      <c r="W132" s="428"/>
      <c r="X132" s="428"/>
      <c r="Y132" s="428"/>
      <c r="Z132" s="428"/>
      <c r="AA132" s="428"/>
      <c r="AB132" s="428"/>
      <c r="AC132" s="428"/>
      <c r="AD132" s="428"/>
      <c r="AE132" s="428"/>
      <c r="AF132" s="428"/>
    </row>
    <row r="133" spans="1:32" outlineLevel="1">
      <c r="A133" s="554" t="s">
        <v>143</v>
      </c>
      <c r="B133" s="555"/>
      <c r="C133" s="555"/>
      <c r="D133" s="555"/>
      <c r="E133" s="555"/>
      <c r="F133" s="555"/>
      <c r="G133" s="164" t="s">
        <v>424</v>
      </c>
      <c r="H133" s="222"/>
      <c r="I133" s="222"/>
      <c r="J133" s="222"/>
      <c r="K133" s="222"/>
      <c r="L133" s="222"/>
      <c r="M133" s="222"/>
      <c r="N133" s="428">
        <v>26847369</v>
      </c>
      <c r="O133" s="428">
        <v>26991663</v>
      </c>
      <c r="P133" s="428">
        <v>229034192</v>
      </c>
      <c r="Q133" s="428">
        <v>229573413</v>
      </c>
      <c r="R133" s="428">
        <v>226721016</v>
      </c>
      <c r="S133" s="428">
        <v>225290261</v>
      </c>
      <c r="T133" s="428">
        <v>220222616</v>
      </c>
      <c r="U133" s="428">
        <v>220811572</v>
      </c>
      <c r="V133" s="428">
        <v>221500308</v>
      </c>
      <c r="W133" s="428"/>
      <c r="X133" s="428"/>
      <c r="Y133" s="428"/>
      <c r="Z133" s="428"/>
      <c r="AA133" s="428"/>
      <c r="AB133" s="428"/>
      <c r="AC133" s="428"/>
      <c r="AD133" s="428"/>
      <c r="AE133" s="428"/>
      <c r="AF133" s="428"/>
    </row>
    <row r="134" spans="1:32" outlineLevel="1">
      <c r="A134" s="554" t="s">
        <v>144</v>
      </c>
      <c r="B134" s="555"/>
      <c r="C134" s="555"/>
      <c r="D134" s="555"/>
      <c r="E134" s="555"/>
      <c r="F134" s="555"/>
      <c r="G134" s="164" t="s">
        <v>424</v>
      </c>
      <c r="H134" s="222"/>
      <c r="I134" s="222"/>
      <c r="J134" s="222"/>
      <c r="K134" s="222"/>
      <c r="L134" s="222"/>
      <c r="M134" s="222"/>
      <c r="N134" s="428">
        <v>27894651</v>
      </c>
      <c r="O134" s="428">
        <v>27654608</v>
      </c>
      <c r="P134" s="428">
        <v>27784204</v>
      </c>
      <c r="Q134" s="428">
        <v>27540859</v>
      </c>
      <c r="R134" s="428">
        <v>27494848</v>
      </c>
      <c r="S134" s="428">
        <v>26690007</v>
      </c>
      <c r="T134" s="428">
        <v>25498353</v>
      </c>
      <c r="U134" s="428">
        <v>25326992</v>
      </c>
      <c r="V134" s="428">
        <v>25335251</v>
      </c>
      <c r="W134" s="428"/>
      <c r="X134" s="428"/>
      <c r="Y134" s="428"/>
      <c r="Z134" s="428"/>
      <c r="AA134" s="428"/>
      <c r="AB134" s="428"/>
      <c r="AC134" s="428"/>
      <c r="AD134" s="428"/>
      <c r="AE134" s="428"/>
      <c r="AF134" s="428"/>
    </row>
    <row r="135" spans="1:32" outlineLevel="1">
      <c r="A135" s="554" t="s">
        <v>145</v>
      </c>
      <c r="B135" s="555"/>
      <c r="C135" s="555"/>
      <c r="D135" s="555"/>
      <c r="E135" s="555"/>
      <c r="F135" s="555"/>
      <c r="G135" s="164" t="s">
        <v>424</v>
      </c>
      <c r="H135" s="222"/>
      <c r="I135" s="222"/>
      <c r="J135" s="222"/>
      <c r="K135" s="222"/>
      <c r="L135" s="222"/>
      <c r="M135" s="222"/>
      <c r="N135" s="428">
        <v>373686411</v>
      </c>
      <c r="O135" s="428">
        <v>544467424</v>
      </c>
      <c r="P135" s="428">
        <v>356274639</v>
      </c>
      <c r="Q135" s="428">
        <v>385146109</v>
      </c>
      <c r="R135" s="428">
        <v>348589581</v>
      </c>
      <c r="S135" s="428">
        <v>322824911</v>
      </c>
      <c r="T135" s="428">
        <v>355005176</v>
      </c>
      <c r="U135" s="428">
        <v>340321269</v>
      </c>
      <c r="V135" s="428">
        <v>350112603</v>
      </c>
      <c r="W135" s="428"/>
      <c r="X135" s="428"/>
      <c r="Y135" s="428"/>
      <c r="Z135" s="428"/>
      <c r="AA135" s="428"/>
      <c r="AB135" s="428"/>
      <c r="AC135" s="428"/>
      <c r="AD135" s="428"/>
      <c r="AE135" s="428"/>
      <c r="AF135" s="428"/>
    </row>
    <row r="136" spans="1:32" outlineLevel="1">
      <c r="A136" s="162" t="s">
        <v>43</v>
      </c>
      <c r="G136" s="164" t="s">
        <v>424</v>
      </c>
      <c r="H136" s="222"/>
      <c r="I136" s="222"/>
      <c r="J136" s="222"/>
      <c r="K136" s="222"/>
      <c r="L136" s="222"/>
      <c r="M136" s="222"/>
      <c r="N136" s="428">
        <v>433204</v>
      </c>
      <c r="O136" s="428">
        <v>3181640</v>
      </c>
      <c r="P136" s="428">
        <v>767097</v>
      </c>
      <c r="Q136" s="428">
        <v>714810</v>
      </c>
      <c r="R136" s="428">
        <v>4612702</v>
      </c>
      <c r="S136" s="428">
        <v>9899686</v>
      </c>
      <c r="T136" s="428">
        <v>12500418</v>
      </c>
      <c r="U136" s="428">
        <v>13301050</v>
      </c>
      <c r="V136" s="428">
        <v>14501281</v>
      </c>
      <c r="W136" s="428"/>
      <c r="X136" s="428"/>
      <c r="Y136" s="428"/>
      <c r="Z136" s="428"/>
      <c r="AA136" s="428"/>
      <c r="AB136" s="428"/>
      <c r="AC136" s="428"/>
      <c r="AD136" s="428"/>
      <c r="AE136" s="428"/>
      <c r="AF136" s="428"/>
    </row>
    <row r="137" spans="1:32" outlineLevel="1">
      <c r="A137" s="162" t="s">
        <v>44</v>
      </c>
      <c r="G137" s="164" t="s">
        <v>424</v>
      </c>
      <c r="H137" s="222"/>
      <c r="I137" s="222"/>
      <c r="J137" s="222"/>
      <c r="K137" s="222"/>
      <c r="L137" s="222"/>
      <c r="M137" s="222"/>
      <c r="N137" s="428">
        <v>922868</v>
      </c>
      <c r="O137" s="428">
        <v>430055</v>
      </c>
      <c r="P137" s="428">
        <v>403052</v>
      </c>
      <c r="Q137" s="428">
        <v>479036</v>
      </c>
      <c r="R137" s="428">
        <v>1049602</v>
      </c>
      <c r="S137" s="428">
        <v>1164361</v>
      </c>
      <c r="T137" s="428">
        <v>730421</v>
      </c>
      <c r="U137" s="428">
        <v>769960</v>
      </c>
      <c r="V137" s="428">
        <v>1281115</v>
      </c>
      <c r="W137" s="428"/>
      <c r="X137" s="428"/>
      <c r="Y137" s="428"/>
      <c r="Z137" s="428"/>
      <c r="AA137" s="428"/>
      <c r="AB137" s="428"/>
      <c r="AC137" s="428"/>
      <c r="AD137" s="428"/>
      <c r="AE137" s="428"/>
      <c r="AF137" s="428"/>
    </row>
    <row r="138" spans="1:32" outlineLevel="1">
      <c r="A138" s="162" t="s">
        <v>329</v>
      </c>
      <c r="G138" s="164" t="s">
        <v>424</v>
      </c>
      <c r="H138" s="222"/>
      <c r="I138" s="222"/>
      <c r="J138" s="222"/>
      <c r="K138" s="222"/>
      <c r="L138" s="222"/>
      <c r="M138" s="222"/>
      <c r="N138" s="428">
        <v>188085</v>
      </c>
      <c r="O138" s="428">
        <v>102566</v>
      </c>
      <c r="P138" s="428">
        <v>19560</v>
      </c>
      <c r="Q138" s="428">
        <v>5295</v>
      </c>
      <c r="R138" s="428">
        <v>0</v>
      </c>
      <c r="S138" s="428">
        <v>0</v>
      </c>
      <c r="T138" s="428">
        <v>0</v>
      </c>
      <c r="U138" s="428">
        <v>0</v>
      </c>
      <c r="V138" s="428">
        <v>0</v>
      </c>
      <c r="W138" s="428"/>
      <c r="X138" s="428"/>
      <c r="Y138" s="428"/>
      <c r="Z138" s="428"/>
      <c r="AA138" s="428"/>
      <c r="AB138" s="428"/>
      <c r="AC138" s="428"/>
      <c r="AD138" s="428"/>
      <c r="AE138" s="428"/>
      <c r="AF138" s="428"/>
    </row>
    <row r="139" spans="1:32" outlineLevel="1">
      <c r="A139" s="162" t="s">
        <v>330</v>
      </c>
      <c r="G139" s="164" t="s">
        <v>424</v>
      </c>
      <c r="H139" s="222"/>
      <c r="I139" s="222"/>
      <c r="J139" s="222"/>
      <c r="K139" s="222"/>
      <c r="L139" s="222"/>
      <c r="M139" s="222"/>
      <c r="N139" s="428">
        <v>2311873</v>
      </c>
      <c r="O139" s="428">
        <v>2314338</v>
      </c>
      <c r="P139" s="428">
        <v>2353001</v>
      </c>
      <c r="Q139" s="428">
        <v>3134074</v>
      </c>
      <c r="R139" s="428">
        <v>2741574</v>
      </c>
      <c r="S139" s="428">
        <v>3217099</v>
      </c>
      <c r="T139" s="428">
        <v>2990908</v>
      </c>
      <c r="U139" s="428">
        <v>3037879</v>
      </c>
      <c r="V139" s="428">
        <v>3018899</v>
      </c>
      <c r="W139" s="428"/>
      <c r="X139" s="428"/>
      <c r="Y139" s="428"/>
      <c r="Z139" s="428"/>
      <c r="AA139" s="428"/>
      <c r="AB139" s="428"/>
      <c r="AC139" s="428"/>
      <c r="AD139" s="428"/>
      <c r="AE139" s="428"/>
      <c r="AF139" s="428"/>
    </row>
    <row r="140" spans="1:32" outlineLevel="1">
      <c r="A140" s="162" t="s">
        <v>506</v>
      </c>
      <c r="G140" s="164" t="s">
        <v>424</v>
      </c>
      <c r="H140" s="222"/>
      <c r="I140" s="222"/>
      <c r="J140" s="222"/>
      <c r="K140" s="222"/>
      <c r="L140" s="222"/>
      <c r="M140" s="222"/>
      <c r="N140" s="428">
        <v>15100000</v>
      </c>
      <c r="O140" s="428">
        <v>215100000</v>
      </c>
      <c r="P140" s="428">
        <v>19029735</v>
      </c>
      <c r="Q140" s="428">
        <v>19180485</v>
      </c>
      <c r="R140" s="428">
        <v>15100000</v>
      </c>
      <c r="S140" s="428">
        <v>15100000</v>
      </c>
      <c r="T140" s="428">
        <v>15100000</v>
      </c>
      <c r="U140" s="428">
        <v>15100000</v>
      </c>
      <c r="V140" s="428">
        <v>15100000</v>
      </c>
      <c r="W140" s="428"/>
      <c r="X140" s="428"/>
      <c r="Y140" s="428"/>
      <c r="Z140" s="428"/>
      <c r="AA140" s="428"/>
      <c r="AB140" s="428"/>
      <c r="AC140" s="428"/>
      <c r="AD140" s="428"/>
      <c r="AE140" s="428"/>
      <c r="AF140" s="428"/>
    </row>
    <row r="141" spans="1:32" outlineLevel="1">
      <c r="A141" s="162" t="s">
        <v>165</v>
      </c>
      <c r="G141" s="164" t="s">
        <v>424</v>
      </c>
      <c r="H141" s="222"/>
      <c r="I141" s="222"/>
      <c r="J141" s="222"/>
      <c r="K141" s="222"/>
      <c r="L141" s="222"/>
      <c r="M141" s="222"/>
      <c r="N141" s="428">
        <v>68061676</v>
      </c>
      <c r="O141" s="428">
        <v>-4764509</v>
      </c>
      <c r="P141" s="428">
        <v>35089035</v>
      </c>
      <c r="Q141" s="428">
        <v>53858748</v>
      </c>
      <c r="R141" s="428">
        <v>1841431</v>
      </c>
      <c r="S141" s="428">
        <v>-3759322</v>
      </c>
      <c r="T141" s="428">
        <v>39560405</v>
      </c>
      <c r="U141" s="428">
        <v>33085232</v>
      </c>
      <c r="V141" s="428">
        <v>24595989</v>
      </c>
      <c r="W141" s="428"/>
      <c r="X141" s="428"/>
      <c r="Y141" s="428"/>
      <c r="Z141" s="428"/>
      <c r="AA141" s="428"/>
      <c r="AB141" s="428"/>
      <c r="AC141" s="428"/>
      <c r="AD141" s="428"/>
      <c r="AE141" s="428"/>
      <c r="AF141" s="428"/>
    </row>
    <row r="142" spans="1:32" outlineLevel="1">
      <c r="A142" s="162" t="s">
        <v>45</v>
      </c>
      <c r="G142" s="164" t="s">
        <v>424</v>
      </c>
      <c r="H142" s="222"/>
      <c r="I142" s="222"/>
      <c r="J142" s="222"/>
      <c r="K142" s="222"/>
      <c r="L142" s="222"/>
      <c r="M142" s="222"/>
      <c r="N142" s="428">
        <v>106651</v>
      </c>
      <c r="O142" s="428">
        <v>102040</v>
      </c>
      <c r="P142" s="428">
        <v>80356</v>
      </c>
      <c r="Q142" s="428">
        <v>78749</v>
      </c>
      <c r="R142" s="428">
        <v>0</v>
      </c>
      <c r="S142" s="428">
        <v>0</v>
      </c>
      <c r="T142" s="428">
        <v>0</v>
      </c>
      <c r="U142" s="428">
        <v>0</v>
      </c>
      <c r="V142" s="428">
        <v>0</v>
      </c>
      <c r="W142" s="428"/>
      <c r="X142" s="428"/>
      <c r="Y142" s="428"/>
      <c r="Z142" s="428"/>
      <c r="AA142" s="428"/>
      <c r="AB142" s="428"/>
      <c r="AC142" s="428"/>
      <c r="AD142" s="428"/>
      <c r="AE142" s="428"/>
      <c r="AF142" s="428"/>
    </row>
    <row r="143" spans="1:32" outlineLevel="1">
      <c r="A143" s="162" t="s">
        <v>46</v>
      </c>
      <c r="G143" s="164" t="s">
        <v>424</v>
      </c>
      <c r="H143" s="222"/>
      <c r="I143" s="222"/>
      <c r="J143" s="222"/>
      <c r="K143" s="222"/>
      <c r="L143" s="222"/>
      <c r="M143" s="222"/>
      <c r="N143" s="428">
        <v>685682</v>
      </c>
      <c r="O143" s="428">
        <v>378693</v>
      </c>
      <c r="P143" s="428">
        <v>1137786</v>
      </c>
      <c r="Q143" s="428">
        <v>293486</v>
      </c>
      <c r="R143" s="428">
        <v>709920</v>
      </c>
      <c r="S143" s="428">
        <v>331028</v>
      </c>
      <c r="T143" s="428">
        <f>515639+119687</f>
        <v>635326</v>
      </c>
      <c r="U143" s="428">
        <v>375294</v>
      </c>
      <c r="V143" s="428">
        <v>468624</v>
      </c>
      <c r="W143" s="428"/>
      <c r="X143" s="428"/>
      <c r="Y143" s="428"/>
      <c r="Z143" s="428"/>
      <c r="AA143" s="428"/>
      <c r="AB143" s="428"/>
      <c r="AC143" s="428"/>
      <c r="AD143" s="428"/>
      <c r="AE143" s="428"/>
      <c r="AF143" s="428"/>
    </row>
    <row r="144" spans="1:32" outlineLevel="1">
      <c r="A144" s="162" t="s">
        <v>503</v>
      </c>
      <c r="G144" s="164" t="s">
        <v>424</v>
      </c>
      <c r="H144" s="222"/>
      <c r="I144" s="222"/>
      <c r="J144" s="222"/>
      <c r="K144" s="222"/>
      <c r="L144" s="222"/>
      <c r="M144" s="222"/>
      <c r="N144" s="428">
        <v>2306531</v>
      </c>
      <c r="O144" s="428">
        <v>0</v>
      </c>
      <c r="P144" s="428">
        <v>3233561</v>
      </c>
      <c r="Q144" s="428">
        <v>4344603</v>
      </c>
      <c r="R144" s="428">
        <v>4029092</v>
      </c>
      <c r="S144" s="428">
        <v>0</v>
      </c>
      <c r="T144" s="428">
        <v>0</v>
      </c>
      <c r="U144" s="428">
        <v>0</v>
      </c>
      <c r="V144" s="428">
        <v>0</v>
      </c>
      <c r="W144" s="428"/>
      <c r="X144" s="428"/>
      <c r="Y144" s="428"/>
      <c r="Z144" s="428"/>
      <c r="AA144" s="428"/>
      <c r="AB144" s="428"/>
      <c r="AC144" s="428"/>
      <c r="AD144" s="428"/>
      <c r="AE144" s="428"/>
      <c r="AF144" s="428"/>
    </row>
    <row r="145" spans="1:32" outlineLevel="1">
      <c r="A145" s="162" t="s">
        <v>47</v>
      </c>
      <c r="G145" s="164" t="s">
        <v>424</v>
      </c>
      <c r="H145" s="222"/>
      <c r="I145" s="222"/>
      <c r="J145" s="222"/>
      <c r="K145" s="222"/>
      <c r="L145" s="222"/>
      <c r="M145" s="222"/>
      <c r="N145" s="428">
        <v>214301</v>
      </c>
      <c r="O145" s="428">
        <v>183305</v>
      </c>
      <c r="P145" s="428">
        <v>191152</v>
      </c>
      <c r="Q145" s="428">
        <v>196529</v>
      </c>
      <c r="R145" s="428">
        <v>204692</v>
      </c>
      <c r="S145" s="428">
        <v>213008</v>
      </c>
      <c r="T145" s="428">
        <v>235135</v>
      </c>
      <c r="U145" s="428">
        <v>554408</v>
      </c>
      <c r="V145" s="428">
        <v>594067</v>
      </c>
      <c r="W145" s="428"/>
      <c r="X145" s="428"/>
      <c r="Y145" s="428"/>
      <c r="Z145" s="428"/>
      <c r="AA145" s="428"/>
      <c r="AB145" s="428"/>
      <c r="AC145" s="428"/>
      <c r="AD145" s="428"/>
      <c r="AE145" s="428"/>
      <c r="AF145" s="428"/>
    </row>
    <row r="146" spans="1:32" outlineLevel="1">
      <c r="A146" s="162" t="s">
        <v>505</v>
      </c>
      <c r="G146" s="164" t="s">
        <v>424</v>
      </c>
      <c r="H146" s="222"/>
      <c r="I146" s="222"/>
      <c r="J146" s="222"/>
      <c r="K146" s="222"/>
      <c r="L146" s="222"/>
      <c r="M146" s="222"/>
      <c r="N146" s="428">
        <v>1750028</v>
      </c>
      <c r="O146" s="428">
        <v>1958462</v>
      </c>
      <c r="P146" s="428">
        <v>2085809</v>
      </c>
      <c r="Q146" s="428">
        <v>2262864</v>
      </c>
      <c r="R146" s="428">
        <v>2480763</v>
      </c>
      <c r="S146" s="428">
        <v>2721390</v>
      </c>
      <c r="T146" s="428">
        <v>2766255</v>
      </c>
      <c r="U146" s="428">
        <v>2888608</v>
      </c>
      <c r="V146" s="428">
        <v>3111437</v>
      </c>
      <c r="W146" s="428"/>
      <c r="X146" s="428"/>
      <c r="Y146" s="428"/>
      <c r="Z146" s="428"/>
      <c r="AA146" s="428"/>
      <c r="AB146" s="428"/>
      <c r="AC146" s="428"/>
      <c r="AD146" s="428"/>
      <c r="AE146" s="428"/>
      <c r="AF146" s="428"/>
    </row>
    <row r="147" spans="1:32" outlineLevel="1">
      <c r="A147" s="162" t="s">
        <v>224</v>
      </c>
      <c r="G147" s="164" t="s">
        <v>424</v>
      </c>
      <c r="H147" s="222"/>
      <c r="I147" s="222"/>
      <c r="J147" s="222"/>
      <c r="K147" s="222"/>
      <c r="L147" s="222"/>
      <c r="M147" s="222"/>
      <c r="N147" s="428">
        <v>13449526</v>
      </c>
      <c r="O147" s="428">
        <v>15928185</v>
      </c>
      <c r="P147" s="428">
        <v>18102738</v>
      </c>
      <c r="Q147" s="428">
        <v>18271663</v>
      </c>
      <c r="R147" s="428">
        <v>17903348</v>
      </c>
      <c r="S147" s="428">
        <v>18215811</v>
      </c>
      <c r="T147" s="428">
        <v>19554828</v>
      </c>
      <c r="U147" s="428">
        <v>18903267</v>
      </c>
      <c r="V147" s="428">
        <v>20292212</v>
      </c>
      <c r="W147" s="428"/>
      <c r="X147" s="428"/>
      <c r="Y147" s="428"/>
      <c r="Z147" s="428"/>
      <c r="AA147" s="428"/>
      <c r="AB147" s="428"/>
      <c r="AC147" s="428"/>
      <c r="AD147" s="428"/>
      <c r="AE147" s="428"/>
      <c r="AF147" s="428"/>
    </row>
    <row r="148" spans="1:32" outlineLevel="1">
      <c r="A148" s="162" t="s">
        <v>226</v>
      </c>
      <c r="G148" s="164" t="s">
        <v>424</v>
      </c>
      <c r="H148" s="222"/>
      <c r="I148" s="222"/>
      <c r="J148" s="222"/>
      <c r="K148" s="222"/>
      <c r="L148" s="222"/>
      <c r="M148" s="222"/>
      <c r="N148" s="428">
        <v>23081861</v>
      </c>
      <c r="O148" s="428">
        <v>24343621</v>
      </c>
      <c r="P148" s="428">
        <v>22503694</v>
      </c>
      <c r="Q148" s="428">
        <v>25258042</v>
      </c>
      <c r="R148" s="428">
        <v>22660392</v>
      </c>
      <c r="S148" s="428">
        <v>25906661</v>
      </c>
      <c r="T148" s="428">
        <v>14911396</v>
      </c>
      <c r="U148" s="428">
        <v>19130071</v>
      </c>
      <c r="V148" s="428">
        <v>17892353</v>
      </c>
      <c r="W148" s="428"/>
      <c r="X148" s="428"/>
      <c r="Y148" s="428"/>
      <c r="Z148" s="428"/>
      <c r="AA148" s="428"/>
      <c r="AB148" s="428"/>
      <c r="AC148" s="428"/>
      <c r="AD148" s="428"/>
      <c r="AE148" s="428"/>
      <c r="AF148" s="428"/>
    </row>
    <row r="149" spans="1:32" outlineLevel="1">
      <c r="A149" s="162" t="s">
        <v>236</v>
      </c>
      <c r="G149" s="164" t="s">
        <v>424</v>
      </c>
      <c r="H149" s="222"/>
      <c r="I149" s="222"/>
      <c r="J149" s="222"/>
      <c r="K149" s="222"/>
      <c r="L149" s="222"/>
      <c r="M149" s="222"/>
      <c r="N149" s="428">
        <v>454734</v>
      </c>
      <c r="O149" s="428">
        <v>506173</v>
      </c>
      <c r="P149" s="428">
        <v>1351099</v>
      </c>
      <c r="Q149" s="428">
        <v>2579713</v>
      </c>
      <c r="R149" s="428">
        <v>2154799</v>
      </c>
      <c r="S149" s="428">
        <v>2298698</v>
      </c>
      <c r="T149" s="428">
        <v>2412043</v>
      </c>
      <c r="U149" s="428">
        <v>2227170</v>
      </c>
      <c r="V149" s="428">
        <v>1985592</v>
      </c>
      <c r="W149" s="428"/>
      <c r="X149" s="428"/>
      <c r="Y149" s="428"/>
      <c r="Z149" s="428"/>
      <c r="AA149" s="428"/>
      <c r="AB149" s="428"/>
      <c r="AC149" s="428"/>
      <c r="AD149" s="428"/>
      <c r="AE149" s="428"/>
      <c r="AF149" s="428"/>
    </row>
    <row r="150" spans="1:32" outlineLevel="1">
      <c r="A150" s="162" t="s">
        <v>502</v>
      </c>
      <c r="G150" s="164" t="s">
        <v>424</v>
      </c>
      <c r="H150" s="222"/>
      <c r="I150" s="222"/>
      <c r="J150" s="222"/>
      <c r="K150" s="222"/>
      <c r="L150" s="222"/>
      <c r="M150" s="222"/>
      <c r="N150" s="428">
        <v>0</v>
      </c>
      <c r="O150" s="428">
        <v>216466</v>
      </c>
      <c r="P150" s="428">
        <v>376339</v>
      </c>
      <c r="Q150" s="428">
        <v>379514</v>
      </c>
      <c r="R150" s="428">
        <v>364817</v>
      </c>
      <c r="S150" s="428">
        <v>363014</v>
      </c>
      <c r="T150" s="428">
        <v>314077</v>
      </c>
      <c r="U150" s="428">
        <v>235097</v>
      </c>
      <c r="V150" s="428">
        <v>478849</v>
      </c>
      <c r="W150" s="428"/>
      <c r="X150" s="428"/>
      <c r="Y150" s="428"/>
      <c r="Z150" s="428"/>
      <c r="AA150" s="428"/>
      <c r="AB150" s="428"/>
      <c r="AC150" s="428"/>
      <c r="AD150" s="428"/>
      <c r="AE150" s="428"/>
      <c r="AF150" s="428"/>
    </row>
    <row r="151" spans="1:32" outlineLevel="1">
      <c r="A151" s="162" t="s">
        <v>503</v>
      </c>
      <c r="G151" s="164" t="s">
        <v>424</v>
      </c>
      <c r="H151" s="222"/>
      <c r="I151" s="222"/>
      <c r="J151" s="222"/>
      <c r="K151" s="222"/>
      <c r="L151" s="222"/>
      <c r="M151" s="222"/>
      <c r="N151" s="428">
        <v>3594267</v>
      </c>
      <c r="O151" s="428">
        <v>3938462</v>
      </c>
      <c r="P151" s="428">
        <v>3909405</v>
      </c>
      <c r="Q151" s="428">
        <v>4404761</v>
      </c>
      <c r="R151" s="428">
        <v>5927162</v>
      </c>
      <c r="S151" s="428">
        <v>5010868</v>
      </c>
      <c r="T151" s="428">
        <v>5214852</v>
      </c>
      <c r="U151" s="428">
        <v>5495298</v>
      </c>
      <c r="V151" s="428">
        <v>6248529</v>
      </c>
      <c r="W151" s="428"/>
      <c r="X151" s="428"/>
      <c r="Y151" s="428"/>
      <c r="Z151" s="428"/>
      <c r="AA151" s="428"/>
      <c r="AB151" s="428"/>
      <c r="AC151" s="428"/>
      <c r="AD151" s="428"/>
      <c r="AE151" s="428"/>
      <c r="AF151" s="428"/>
    </row>
    <row r="152" spans="1:32" outlineLevel="1">
      <c r="A152" s="162" t="s">
        <v>331</v>
      </c>
      <c r="G152" s="164" t="s">
        <v>424</v>
      </c>
      <c r="H152" s="222"/>
      <c r="I152" s="222"/>
      <c r="J152" s="222"/>
      <c r="K152" s="222"/>
      <c r="L152" s="222"/>
      <c r="M152" s="222"/>
      <c r="N152" s="428">
        <v>0</v>
      </c>
      <c r="O152" s="428">
        <v>0</v>
      </c>
      <c r="P152" s="428">
        <v>0</v>
      </c>
      <c r="Q152" s="428">
        <v>0</v>
      </c>
      <c r="R152" s="428">
        <v>0</v>
      </c>
      <c r="S152" s="428"/>
      <c r="T152" s="428"/>
      <c r="U152" s="428"/>
      <c r="V152" s="428"/>
      <c r="W152" s="428"/>
      <c r="X152" s="428"/>
      <c r="Y152" s="428"/>
      <c r="Z152" s="428"/>
      <c r="AA152" s="428"/>
      <c r="AB152" s="428"/>
      <c r="AC152" s="428"/>
      <c r="AD152" s="428"/>
      <c r="AE152" s="428"/>
      <c r="AF152" s="428"/>
    </row>
    <row r="153" spans="1:32" outlineLevel="1">
      <c r="A153" s="162" t="s">
        <v>332</v>
      </c>
      <c r="G153" s="164" t="s">
        <v>424</v>
      </c>
      <c r="H153" s="222"/>
      <c r="I153" s="222"/>
      <c r="J153" s="222"/>
      <c r="K153" s="222"/>
      <c r="L153" s="222"/>
      <c r="M153" s="222"/>
      <c r="N153" s="428">
        <v>0</v>
      </c>
      <c r="O153" s="428">
        <v>0</v>
      </c>
      <c r="P153" s="428">
        <v>0</v>
      </c>
      <c r="Q153" s="428">
        <v>0</v>
      </c>
      <c r="R153" s="428">
        <v>0</v>
      </c>
      <c r="S153" s="428"/>
      <c r="T153" s="428"/>
      <c r="U153" s="428"/>
      <c r="V153" s="428"/>
      <c r="W153" s="428"/>
      <c r="X153" s="428"/>
      <c r="Y153" s="428"/>
      <c r="Z153" s="428"/>
      <c r="AA153" s="428"/>
      <c r="AB153" s="428"/>
      <c r="AC153" s="428"/>
      <c r="AD153" s="428"/>
      <c r="AE153" s="428"/>
      <c r="AF153" s="428"/>
    </row>
    <row r="154" spans="1:32" outlineLevel="1">
      <c r="A154" s="162" t="s">
        <v>333</v>
      </c>
      <c r="G154" s="164" t="s">
        <v>424</v>
      </c>
      <c r="H154" s="222"/>
      <c r="I154" s="222"/>
      <c r="J154" s="222"/>
      <c r="K154" s="222"/>
      <c r="L154" s="222"/>
      <c r="M154" s="222"/>
      <c r="N154" s="428">
        <v>-742740</v>
      </c>
      <c r="O154" s="428">
        <v>548043</v>
      </c>
      <c r="P154" s="428">
        <v>4089</v>
      </c>
      <c r="Q154" s="428">
        <v>38088</v>
      </c>
      <c r="R154" s="428">
        <v>1865935</v>
      </c>
      <c r="S154" s="428">
        <v>350316</v>
      </c>
      <c r="T154" s="428">
        <v>-31085</v>
      </c>
      <c r="U154" s="428">
        <v>-180600</v>
      </c>
      <c r="V154" s="428">
        <v>937326</v>
      </c>
      <c r="W154" s="428"/>
      <c r="X154" s="428"/>
      <c r="Y154" s="428"/>
      <c r="Z154" s="428"/>
      <c r="AA154" s="428"/>
      <c r="AB154" s="428"/>
      <c r="AC154" s="428"/>
      <c r="AD154" s="428"/>
      <c r="AE154" s="428"/>
      <c r="AF154" s="428"/>
    </row>
    <row r="155" spans="1:32" outlineLevel="1">
      <c r="A155" s="50" t="s">
        <v>334</v>
      </c>
      <c r="G155" s="164" t="s">
        <v>424</v>
      </c>
      <c r="N155" s="428"/>
      <c r="O155" s="428"/>
      <c r="P155" s="428"/>
      <c r="Q155" s="428"/>
      <c r="R155" s="428"/>
      <c r="S155" s="428">
        <v>0</v>
      </c>
      <c r="T155" s="428">
        <v>-627111</v>
      </c>
      <c r="U155" s="428">
        <v>-31430024</v>
      </c>
      <c r="V155" s="428">
        <v>0</v>
      </c>
      <c r="W155" s="428"/>
      <c r="X155" s="428"/>
      <c r="Y155" s="428"/>
      <c r="Z155" s="428"/>
      <c r="AA155" s="428"/>
      <c r="AB155" s="428"/>
      <c r="AC155" s="428"/>
      <c r="AD155" s="428"/>
      <c r="AE155" s="428"/>
      <c r="AF155" s="428"/>
    </row>
  </sheetData>
  <phoneticPr fontId="73" type="noConversion"/>
  <conditionalFormatting sqref="N6:AF6">
    <cfRule type="containsErrors" dxfId="0" priority="2">
      <formula>ISERROR(N6)</formula>
    </cfRule>
  </conditionalFormatting>
  <pageMargins left="0.7" right="0.7" top="0.75" bottom="0.75" header="0.3" footer="0.3"/>
  <pageSetup orientation="portrait" horizontalDpi="1200" verticalDpi="1200" r:id="rId1"/>
  <customProperties>
    <customPr name="OrphanNamesChecked" r:id="rId2"/>
  </customProperties>
  <ignoredErrors>
    <ignoredError sqref="N44:R70 N75:R78 S12:S31 S35:S42 S47:S50 S87:U87 S58:S86 T45:U49 V45:AD90 T143 T51:U51 U50 S93 U91 S89:U90 U88 T83:U86 U81:U82 T73:U80 U71:U72 T53:U70 T52 V12:AD42 T12:U42 N1:R5 S43:AD43 AE58:AF87 AE12:AF43 AE47:AF49 N7:R42 N79:R87 R108 R117 P109:R116 P118:R118 P117:Q117" unlocked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C14C-0F99-4A78-96B2-7F8E42252ECE}">
  <sheetPr>
    <tabColor theme="0"/>
  </sheetPr>
  <dimension ref="A1"/>
  <sheetViews>
    <sheetView showGridLines="0" zoomScale="80" zoomScaleNormal="80" workbookViewId="0"/>
  </sheetViews>
  <sheetFormatPr defaultColWidth="9.1796875" defaultRowHeight="14.5"/>
  <cols>
    <col min="1" max="16384" width="9.1796875" style="50"/>
  </cols>
  <sheetData/>
  <pageMargins left="0.7" right="0.7" top="0.75" bottom="0.75" header="0.3" footer="0.3"/>
  <pageSetup orientation="portrait" horizontalDpi="1200" verticalDpi="1200" r:id="rId1"/>
  <customProperties>
    <customPr name="OrphanNamesChecke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9">
    <tabColor rgb="FF0070C0"/>
  </sheetPr>
  <dimension ref="A1:BO65"/>
  <sheetViews>
    <sheetView showGridLines="0" zoomScale="90" zoomScaleNormal="90" workbookViewId="0"/>
  </sheetViews>
  <sheetFormatPr defaultColWidth="9.1796875" defaultRowHeight="14.5" outlineLevelCol="1"/>
  <cols>
    <col min="1" max="1" width="4.7265625" style="7" customWidth="1"/>
    <col min="2" max="2" width="28.7265625" style="7" bestFit="1" customWidth="1"/>
    <col min="3" max="3" width="12.26953125" style="7" customWidth="1"/>
    <col min="4" max="5" width="12.26953125" style="7" hidden="1" customWidth="1" outlineLevel="1"/>
    <col min="6" max="6" width="13.81640625" style="7" hidden="1" customWidth="1" outlineLevel="1"/>
    <col min="7" max="7" width="11.26953125" style="7" hidden="1" customWidth="1" outlineLevel="1"/>
    <col min="8" max="9" width="13.81640625" style="7" hidden="1" customWidth="1" outlineLevel="1"/>
    <col min="10" max="10" width="14" style="7" hidden="1" customWidth="1" outlineLevel="1"/>
    <col min="11" max="11" width="12.453125" style="7" hidden="1" customWidth="1" outlineLevel="1"/>
    <col min="12" max="12" width="14" style="7" hidden="1" customWidth="1" outlineLevel="1"/>
    <col min="13" max="13" width="13.81640625" style="7" hidden="1" customWidth="1" outlineLevel="1"/>
    <col min="14" max="14" width="14.1796875" style="7" hidden="1" customWidth="1" outlineLevel="1"/>
    <col min="15" max="15" width="14" style="7" hidden="1" customWidth="1" outlineLevel="1"/>
    <col min="16" max="18" width="12.26953125" style="7" hidden="1" customWidth="1" outlineLevel="1"/>
    <col min="19" max="19" width="14.81640625" style="7" hidden="1" customWidth="1" outlineLevel="1"/>
    <col min="20" max="21" width="12.26953125" style="7" hidden="1" customWidth="1" outlineLevel="1"/>
    <col min="22" max="22" width="13.81640625" style="7" hidden="1" customWidth="1" outlineLevel="1"/>
    <col min="23" max="23" width="11.26953125" style="7" hidden="1" customWidth="1" outlineLevel="1"/>
    <col min="24" max="24" width="10.26953125" style="7" hidden="1" customWidth="1" outlineLevel="1"/>
    <col min="25" max="30" width="12.26953125" style="7" hidden="1" customWidth="1" outlineLevel="1"/>
    <col min="31" max="31" width="11.26953125" style="7" hidden="1" customWidth="1" outlineLevel="1"/>
    <col min="32" max="32" width="12" style="7" hidden="1" customWidth="1" outlineLevel="1"/>
    <col min="33" max="35" width="12.26953125" style="7" hidden="1" customWidth="1" outlineLevel="1"/>
    <col min="36" max="36" width="2.7265625" style="7" customWidth="1" collapsed="1"/>
    <col min="37" max="37" width="25.7265625" style="36" customWidth="1"/>
    <col min="38" max="51" width="16.7265625" style="7" customWidth="1" outlineLevel="1"/>
    <col min="52" max="52" width="2.7265625" style="7" customWidth="1"/>
    <col min="53" max="53" width="25.7265625" style="7" customWidth="1"/>
    <col min="54" max="54" width="16.7265625" style="7" customWidth="1"/>
    <col min="55" max="64" width="16.7265625" style="7" customWidth="1" outlineLevel="1"/>
    <col min="65" max="67" width="16.1796875" style="7" customWidth="1" outlineLevel="1"/>
    <col min="68" max="16384" width="9.1796875" style="7"/>
  </cols>
  <sheetData>
    <row r="1" spans="1:38">
      <c r="A1" s="13" t="s">
        <v>444</v>
      </c>
    </row>
    <row r="3" spans="1:38">
      <c r="A3" s="6" t="s">
        <v>532</v>
      </c>
    </row>
    <row r="4" spans="1:38" hidden="1">
      <c r="AL4" s="7" t="s">
        <v>339</v>
      </c>
    </row>
    <row r="5" spans="1:38" hidden="1"/>
    <row r="6" spans="1:38" hidden="1"/>
    <row r="7" spans="1:38" hidden="1"/>
    <row r="8" spans="1:38" hidden="1"/>
    <row r="9" spans="1:38" hidden="1"/>
    <row r="10" spans="1:38" hidden="1"/>
    <row r="11" spans="1:38" hidden="1"/>
    <row r="12" spans="1:38" hidden="1"/>
    <row r="13" spans="1:38" hidden="1"/>
    <row r="14" spans="1:38" hidden="1"/>
    <row r="15" spans="1:38" hidden="1"/>
    <row r="16" spans="1:38" hidden="1"/>
    <row r="17" spans="4:67" hidden="1"/>
    <row r="18" spans="4:67" hidden="1"/>
    <row r="19" spans="4:67" hidden="1"/>
    <row r="20" spans="4:67" hidden="1"/>
    <row r="21" spans="4:67" hidden="1"/>
    <row r="22" spans="4:67" hidden="1"/>
    <row r="23" spans="4:67" hidden="1"/>
    <row r="24" spans="4:67" hidden="1"/>
    <row r="25" spans="4:67" hidden="1"/>
    <row r="26" spans="4:67" hidden="1"/>
    <row r="27" spans="4:67" hidden="1"/>
    <row r="28" spans="4:67" hidden="1"/>
    <row r="29" spans="4:67" hidden="1"/>
    <row r="30" spans="4:67" hidden="1"/>
    <row r="31" spans="4:67" ht="15" thickBot="1"/>
    <row r="32" spans="4:67" ht="15" thickBot="1">
      <c r="D32" s="584" t="s">
        <v>449</v>
      </c>
      <c r="E32" s="584"/>
      <c r="F32" s="584"/>
      <c r="G32" s="584"/>
      <c r="H32" s="584"/>
      <c r="I32" s="584"/>
      <c r="J32" s="651" t="s">
        <v>450</v>
      </c>
      <c r="K32" s="651"/>
      <c r="L32" s="651"/>
      <c r="M32" s="651"/>
      <c r="N32" s="651"/>
      <c r="O32" s="651"/>
      <c r="P32" s="652" t="s">
        <v>446</v>
      </c>
      <c r="Q32" s="652"/>
      <c r="R32" s="652"/>
      <c r="S32" s="652"/>
      <c r="T32" s="652"/>
      <c r="U32" s="652"/>
      <c r="V32" s="653" t="s">
        <v>447</v>
      </c>
      <c r="W32" s="653"/>
      <c r="X32" s="653"/>
      <c r="Y32" s="653"/>
      <c r="Z32" s="653"/>
      <c r="AA32" s="653"/>
      <c r="AB32" s="650" t="s">
        <v>448</v>
      </c>
      <c r="AC32" s="650"/>
      <c r="AD32" s="650"/>
      <c r="AE32" s="650"/>
      <c r="AF32" s="650"/>
      <c r="AG32" s="650"/>
      <c r="AH32" s="650"/>
      <c r="AI32" s="650"/>
      <c r="AK32" s="6" t="s">
        <v>340</v>
      </c>
      <c r="AL32" s="149" t="s">
        <v>341</v>
      </c>
      <c r="AM32" s="149" t="s">
        <v>341</v>
      </c>
      <c r="AN32" s="149" t="s">
        <v>341</v>
      </c>
      <c r="AO32" s="149" t="s">
        <v>341</v>
      </c>
      <c r="AP32" s="98" t="s">
        <v>52</v>
      </c>
      <c r="AQ32" s="98" t="s">
        <v>52</v>
      </c>
      <c r="AR32" s="98" t="s">
        <v>52</v>
      </c>
      <c r="AS32" s="98" t="s">
        <v>52</v>
      </c>
      <c r="AT32" s="98" t="s">
        <v>52</v>
      </c>
      <c r="AU32" s="98" t="s">
        <v>52</v>
      </c>
      <c r="AV32" s="98" t="s">
        <v>52</v>
      </c>
      <c r="AW32" s="98" t="s">
        <v>52</v>
      </c>
      <c r="AX32" s="98" t="s">
        <v>52</v>
      </c>
      <c r="AY32" s="98" t="s">
        <v>52</v>
      </c>
      <c r="BA32" s="6" t="s">
        <v>342</v>
      </c>
      <c r="BB32" s="149" t="s">
        <v>341</v>
      </c>
      <c r="BC32" s="149" t="s">
        <v>341</v>
      </c>
      <c r="BD32" s="149" t="s">
        <v>341</v>
      </c>
      <c r="BE32" s="149" t="s">
        <v>341</v>
      </c>
      <c r="BF32" s="98" t="s">
        <v>52</v>
      </c>
      <c r="BG32" s="98" t="s">
        <v>52</v>
      </c>
      <c r="BH32" s="98" t="s">
        <v>52</v>
      </c>
      <c r="BI32" s="98" t="s">
        <v>52</v>
      </c>
      <c r="BJ32" s="98" t="s">
        <v>52</v>
      </c>
      <c r="BK32" s="98" t="s">
        <v>52</v>
      </c>
      <c r="BL32" s="98" t="s">
        <v>52</v>
      </c>
      <c r="BM32" s="98" t="s">
        <v>52</v>
      </c>
      <c r="BN32" s="98" t="s">
        <v>52</v>
      </c>
      <c r="BO32" s="98" t="s">
        <v>52</v>
      </c>
    </row>
    <row r="33" spans="2:67" ht="43.5">
      <c r="D33" s="107" t="s">
        <v>452</v>
      </c>
      <c r="E33" s="107" t="s">
        <v>343</v>
      </c>
      <c r="F33" s="107" t="s">
        <v>344</v>
      </c>
      <c r="G33" s="107" t="s">
        <v>453</v>
      </c>
      <c r="H33" s="107" t="s">
        <v>345</v>
      </c>
      <c r="I33" s="107" t="s">
        <v>346</v>
      </c>
      <c r="J33" s="107" t="s">
        <v>452</v>
      </c>
      <c r="K33" s="107" t="s">
        <v>343</v>
      </c>
      <c r="L33" s="107" t="s">
        <v>344</v>
      </c>
      <c r="M33" s="107" t="s">
        <v>453</v>
      </c>
      <c r="N33" s="107" t="s">
        <v>345</v>
      </c>
      <c r="O33" s="107" t="s">
        <v>346</v>
      </c>
      <c r="P33" s="107" t="s">
        <v>452</v>
      </c>
      <c r="Q33" s="107" t="s">
        <v>343</v>
      </c>
      <c r="R33" s="107" t="s">
        <v>344</v>
      </c>
      <c r="S33" s="107" t="s">
        <v>453</v>
      </c>
      <c r="T33" s="107" t="s">
        <v>345</v>
      </c>
      <c r="U33" s="107" t="s">
        <v>346</v>
      </c>
      <c r="V33" s="107" t="s">
        <v>452</v>
      </c>
      <c r="W33" s="107" t="s">
        <v>343</v>
      </c>
      <c r="X33" s="107" t="s">
        <v>344</v>
      </c>
      <c r="Y33" s="107" t="s">
        <v>453</v>
      </c>
      <c r="Z33" s="107" t="s">
        <v>345</v>
      </c>
      <c r="AA33" s="107" t="s">
        <v>346</v>
      </c>
      <c r="AB33" s="107" t="s">
        <v>452</v>
      </c>
      <c r="AC33" s="107" t="s">
        <v>347</v>
      </c>
      <c r="AD33" s="107" t="s">
        <v>348</v>
      </c>
      <c r="AE33" s="107" t="s">
        <v>343</v>
      </c>
      <c r="AF33" s="107" t="s">
        <v>344</v>
      </c>
      <c r="AG33" s="107" t="s">
        <v>453</v>
      </c>
      <c r="AH33" s="107" t="s">
        <v>345</v>
      </c>
      <c r="AI33" s="107" t="s">
        <v>346</v>
      </c>
      <c r="AK33" s="585" t="s">
        <v>349</v>
      </c>
      <c r="AL33" s="586" t="s">
        <v>439</v>
      </c>
      <c r="AM33" s="586" t="s">
        <v>440</v>
      </c>
      <c r="AN33" s="586" t="s">
        <v>441</v>
      </c>
      <c r="AO33" s="586" t="s">
        <v>442</v>
      </c>
      <c r="AP33" s="586" t="s">
        <v>434</v>
      </c>
      <c r="AQ33" s="586" t="s">
        <v>435</v>
      </c>
      <c r="AR33" s="586" t="s">
        <v>436</v>
      </c>
      <c r="AS33" s="586" t="s">
        <v>437</v>
      </c>
      <c r="AT33" s="586" t="s">
        <v>438</v>
      </c>
      <c r="AU33" s="586" t="s">
        <v>439</v>
      </c>
      <c r="AV33" s="586" t="s">
        <v>440</v>
      </c>
      <c r="AW33" s="586" t="s">
        <v>441</v>
      </c>
      <c r="AX33" s="586" t="s">
        <v>442</v>
      </c>
      <c r="AY33" s="586" t="s">
        <v>443</v>
      </c>
      <c r="AZ33" s="587"/>
      <c r="BA33" s="585" t="s">
        <v>349</v>
      </c>
      <c r="BB33" s="586" t="s">
        <v>439</v>
      </c>
      <c r="BC33" s="586" t="s">
        <v>440</v>
      </c>
      <c r="BD33" s="586" t="s">
        <v>441</v>
      </c>
      <c r="BE33" s="586" t="s">
        <v>442</v>
      </c>
      <c r="BF33" s="586" t="s">
        <v>434</v>
      </c>
      <c r="BG33" s="586" t="s">
        <v>435</v>
      </c>
      <c r="BH33" s="586" t="s">
        <v>436</v>
      </c>
      <c r="BI33" s="586" t="s">
        <v>437</v>
      </c>
      <c r="BJ33" s="586" t="s">
        <v>438</v>
      </c>
      <c r="BK33" s="586" t="s">
        <v>439</v>
      </c>
      <c r="BL33" s="586" t="s">
        <v>440</v>
      </c>
      <c r="BM33" s="586" t="s">
        <v>441</v>
      </c>
      <c r="BN33" s="586" t="s">
        <v>442</v>
      </c>
      <c r="BO33" s="586" t="s">
        <v>443</v>
      </c>
    </row>
    <row r="34" spans="2:67">
      <c r="B34" s="6" t="s">
        <v>125</v>
      </c>
      <c r="D34" s="58">
        <v>1286719</v>
      </c>
      <c r="E34" s="58">
        <v>745053</v>
      </c>
      <c r="F34" s="58">
        <v>-666458</v>
      </c>
      <c r="G34" s="21">
        <f>SUM(D34:F34)</f>
        <v>1365314</v>
      </c>
      <c r="H34" s="21">
        <v>666588</v>
      </c>
      <c r="I34" s="21">
        <v>698726</v>
      </c>
      <c r="J34" s="21">
        <f>G34</f>
        <v>1365314</v>
      </c>
      <c r="K34" s="21">
        <v>712863</v>
      </c>
      <c r="L34" s="21">
        <v>-556572</v>
      </c>
      <c r="M34" s="21">
        <f>SUM(J34:L34)</f>
        <v>1521605</v>
      </c>
      <c r="N34" s="21">
        <v>644977</v>
      </c>
      <c r="O34" s="21">
        <v>876628</v>
      </c>
      <c r="P34" s="21">
        <f>M34</f>
        <v>1521605</v>
      </c>
      <c r="Q34" s="21">
        <v>714819</v>
      </c>
      <c r="R34" s="21">
        <v>-744257</v>
      </c>
      <c r="S34" s="21">
        <f>SUM(P34:R34)</f>
        <v>1492167</v>
      </c>
      <c r="T34" s="21">
        <v>855062</v>
      </c>
      <c r="U34" s="21">
        <v>637105</v>
      </c>
      <c r="V34" s="101">
        <f>S34</f>
        <v>1492167</v>
      </c>
      <c r="W34" s="101">
        <v>733616</v>
      </c>
      <c r="X34" s="101">
        <v>-515927</v>
      </c>
      <c r="Y34" s="21">
        <f>SUM(V34:X34)</f>
        <v>1709856</v>
      </c>
      <c r="Z34" s="21">
        <v>657686</v>
      </c>
      <c r="AA34" s="21">
        <v>1052170</v>
      </c>
      <c r="AB34" s="21">
        <f>Y34</f>
        <v>1709856</v>
      </c>
      <c r="AC34" s="21"/>
      <c r="AD34" s="101">
        <f>SUM(AB34:AC34)</f>
        <v>1709856</v>
      </c>
      <c r="AE34" s="101">
        <v>828570</v>
      </c>
      <c r="AF34" s="101">
        <v>-717214</v>
      </c>
      <c r="AG34" s="21">
        <f>SUM(AD34:AF34)</f>
        <v>1821212</v>
      </c>
      <c r="AH34" s="21">
        <v>868163</v>
      </c>
      <c r="AI34" s="21">
        <v>953049</v>
      </c>
      <c r="AK34" s="5" t="s">
        <v>350</v>
      </c>
      <c r="AL34" s="21">
        <f>-'Audited Balance Sheet Input'!J90</f>
        <v>958024</v>
      </c>
      <c r="AM34" s="21">
        <f>-'Audited Balance Sheet Input'!K90</f>
        <v>982476</v>
      </c>
      <c r="AN34" s="21">
        <f>-'Audited Balance Sheet Input'!L90</f>
        <v>1095736</v>
      </c>
      <c r="AO34" s="21">
        <f>-'Audited Balance Sheet Input'!M90</f>
        <v>1005458</v>
      </c>
      <c r="AP34" s="21">
        <f>ROUND(AVERAGE(AM34:AO34),-3)</f>
        <v>1028000</v>
      </c>
      <c r="AQ34" s="21">
        <f t="shared" ref="AQ34:AW34" si="0">ROUND(AVERAGE(AN34:AP34),-3)</f>
        <v>1043000</v>
      </c>
      <c r="AR34" s="21">
        <f t="shared" si="0"/>
        <v>1025000</v>
      </c>
      <c r="AS34" s="21">
        <f t="shared" si="0"/>
        <v>1032000</v>
      </c>
      <c r="AT34" s="21">
        <f t="shared" si="0"/>
        <v>1033000</v>
      </c>
      <c r="AU34" s="21">
        <f t="shared" si="0"/>
        <v>1030000</v>
      </c>
      <c r="AV34" s="21">
        <f t="shared" si="0"/>
        <v>1032000</v>
      </c>
      <c r="AW34" s="21">
        <f t="shared" si="0"/>
        <v>1032000</v>
      </c>
      <c r="AX34" s="21">
        <f t="shared" ref="AX34" si="1">ROUND(AVERAGE(AU34:AW34),-3)</f>
        <v>1031000</v>
      </c>
      <c r="AY34" s="21">
        <f t="shared" ref="AY34" si="2">ROUND(AVERAGE(AV34:AX34),-3)</f>
        <v>1032000</v>
      </c>
      <c r="AZ34" s="58"/>
      <c r="BA34" s="5" t="s">
        <v>350</v>
      </c>
      <c r="BB34" s="21">
        <f>-'Audited Balance Sheet Input'!J106</f>
        <v>773416</v>
      </c>
      <c r="BC34" s="21">
        <f>-'Audited Balance Sheet Input'!K106</f>
        <v>678289</v>
      </c>
      <c r="BD34" s="21">
        <f>-'Audited Balance Sheet Input'!L106</f>
        <v>494627</v>
      </c>
      <c r="BE34" s="21">
        <f>-'Audited Balance Sheet Input'!M106</f>
        <v>417670</v>
      </c>
      <c r="BF34" s="21">
        <f t="shared" ref="BF34:BM34" si="3">ROUND(AVERAGE(BC34:BE34),-3)</f>
        <v>530000</v>
      </c>
      <c r="BG34" s="21">
        <f t="shared" si="3"/>
        <v>481000</v>
      </c>
      <c r="BH34" s="21">
        <f t="shared" si="3"/>
        <v>476000</v>
      </c>
      <c r="BI34" s="21">
        <f t="shared" si="3"/>
        <v>496000</v>
      </c>
      <c r="BJ34" s="21">
        <f t="shared" si="3"/>
        <v>484000</v>
      </c>
      <c r="BK34" s="21">
        <f t="shared" si="3"/>
        <v>485000</v>
      </c>
      <c r="BL34" s="21">
        <f t="shared" si="3"/>
        <v>488000</v>
      </c>
      <c r="BM34" s="21">
        <f t="shared" si="3"/>
        <v>486000</v>
      </c>
      <c r="BN34" s="21">
        <f>ROUND(AVERAGE(BK34:BM34),-3)</f>
        <v>486000</v>
      </c>
      <c r="BO34" s="21">
        <f t="shared" ref="BO34" si="4">ROUND(AVERAGE(BL34:BN34),-3)</f>
        <v>487000</v>
      </c>
    </row>
    <row r="35" spans="2:67">
      <c r="B35" s="6" t="s">
        <v>127</v>
      </c>
      <c r="D35" s="58">
        <v>389758</v>
      </c>
      <c r="E35" s="58">
        <v>57015</v>
      </c>
      <c r="F35" s="58">
        <v>-37939</v>
      </c>
      <c r="G35" s="21">
        <f t="shared" ref="G35:G43" si="5">SUM(D35:F35)</f>
        <v>408834</v>
      </c>
      <c r="H35" s="21"/>
      <c r="I35" s="21">
        <v>408834</v>
      </c>
      <c r="J35" s="21">
        <f t="shared" ref="J35:J44" si="6">G35</f>
        <v>408834</v>
      </c>
      <c r="K35" s="21">
        <v>0</v>
      </c>
      <c r="L35" s="21">
        <v>-229847</v>
      </c>
      <c r="M35" s="21">
        <f t="shared" ref="M35:M43" si="7">SUM(J35:L35)</f>
        <v>178987</v>
      </c>
      <c r="N35" s="21">
        <v>0</v>
      </c>
      <c r="O35" s="21">
        <v>178987</v>
      </c>
      <c r="P35" s="21">
        <f t="shared" ref="P35:P44" si="8">M35</f>
        <v>178987</v>
      </c>
      <c r="Q35" s="21">
        <v>716</v>
      </c>
      <c r="R35" s="21">
        <v>-120158</v>
      </c>
      <c r="S35" s="21">
        <f t="shared" ref="S35:S43" si="9">SUM(P35:R35)</f>
        <v>59545</v>
      </c>
      <c r="T35" s="21">
        <v>0</v>
      </c>
      <c r="U35" s="21">
        <v>59545</v>
      </c>
      <c r="V35" s="101">
        <f t="shared" ref="V35:V38" si="10">S35</f>
        <v>59545</v>
      </c>
      <c r="W35" s="101">
        <v>0</v>
      </c>
      <c r="X35" s="101">
        <v>-11727</v>
      </c>
      <c r="Y35" s="21">
        <f t="shared" ref="Y35:Y43" si="11">SUM(V35:X35)</f>
        <v>47818</v>
      </c>
      <c r="Z35" s="21">
        <v>0</v>
      </c>
      <c r="AA35" s="21">
        <v>47818</v>
      </c>
      <c r="AB35" s="21">
        <f t="shared" ref="AB35:AB40" si="12">Y35</f>
        <v>47818</v>
      </c>
      <c r="AC35" s="21"/>
      <c r="AD35" s="101">
        <f t="shared" ref="AD35:AD43" si="13">SUM(AB35:AC35)</f>
        <v>47818</v>
      </c>
      <c r="AE35" s="101">
        <v>0</v>
      </c>
      <c r="AF35" s="101">
        <v>0</v>
      </c>
      <c r="AG35" s="21">
        <f t="shared" ref="AG35:AG40" si="14">SUM(AD35:AF35)</f>
        <v>47818</v>
      </c>
      <c r="AH35" s="21">
        <v>0</v>
      </c>
      <c r="AI35" s="21">
        <v>47818</v>
      </c>
      <c r="AK35" s="108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58"/>
      <c r="BA35" s="108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</row>
    <row r="36" spans="2:67">
      <c r="B36" s="6" t="s">
        <v>525</v>
      </c>
      <c r="D36" s="58">
        <v>92208</v>
      </c>
      <c r="E36" s="58"/>
      <c r="F36" s="58">
        <v>-92208</v>
      </c>
      <c r="G36" s="21">
        <f t="shared" si="5"/>
        <v>0</v>
      </c>
      <c r="H36" s="21"/>
      <c r="I36" s="21"/>
      <c r="J36" s="21">
        <f>G36</f>
        <v>0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101"/>
      <c r="W36" s="101"/>
      <c r="X36" s="101"/>
      <c r="Y36" s="21"/>
      <c r="Z36" s="21"/>
      <c r="AA36" s="21"/>
      <c r="AB36" s="21"/>
      <c r="AC36" s="21"/>
      <c r="AD36" s="101"/>
      <c r="AE36" s="101"/>
      <c r="AF36" s="101"/>
      <c r="AG36" s="21"/>
      <c r="AH36" s="21"/>
      <c r="AI36" s="21"/>
      <c r="AK36" s="108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58"/>
      <c r="BA36" s="108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</row>
    <row r="37" spans="2:67">
      <c r="B37" s="6" t="s">
        <v>128</v>
      </c>
      <c r="D37" s="58">
        <v>62126</v>
      </c>
      <c r="E37" s="58">
        <v>87874</v>
      </c>
      <c r="F37" s="58"/>
      <c r="G37" s="21">
        <f t="shared" si="5"/>
        <v>150000</v>
      </c>
      <c r="H37" s="21">
        <v>150000</v>
      </c>
      <c r="I37" s="21"/>
      <c r="J37" s="21">
        <f t="shared" si="6"/>
        <v>150000</v>
      </c>
      <c r="K37" s="21">
        <v>0</v>
      </c>
      <c r="L37" s="21">
        <v>-150000</v>
      </c>
      <c r="M37" s="21">
        <f t="shared" si="7"/>
        <v>0</v>
      </c>
      <c r="N37" s="21">
        <v>0</v>
      </c>
      <c r="O37" s="21">
        <v>0</v>
      </c>
      <c r="P37" s="21">
        <f t="shared" si="8"/>
        <v>0</v>
      </c>
      <c r="Q37" s="21"/>
      <c r="R37" s="21"/>
      <c r="S37" s="21"/>
      <c r="T37" s="21"/>
      <c r="U37" s="21"/>
      <c r="V37" s="101"/>
      <c r="W37" s="101"/>
      <c r="X37" s="101"/>
      <c r="Y37" s="21"/>
      <c r="Z37" s="21"/>
      <c r="AA37" s="21"/>
      <c r="AB37" s="21"/>
      <c r="AC37" s="21"/>
      <c r="AD37" s="101"/>
      <c r="AE37" s="101"/>
      <c r="AF37" s="101"/>
      <c r="AG37" s="21"/>
      <c r="AH37" s="21"/>
      <c r="AI37" s="21"/>
      <c r="AK37" s="108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58"/>
      <c r="BA37" s="108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</row>
    <row r="38" spans="2:67">
      <c r="B38" s="6" t="s">
        <v>129</v>
      </c>
      <c r="D38" s="58">
        <v>157787</v>
      </c>
      <c r="E38" s="58">
        <v>38776</v>
      </c>
      <c r="F38" s="58">
        <v>-56825</v>
      </c>
      <c r="G38" s="21">
        <f>SUM(D38:F38)</f>
        <v>139738</v>
      </c>
      <c r="H38" s="21">
        <v>62267</v>
      </c>
      <c r="I38" s="21">
        <v>77471</v>
      </c>
      <c r="J38" s="21">
        <f t="shared" si="6"/>
        <v>139738</v>
      </c>
      <c r="K38" s="21">
        <v>237696</v>
      </c>
      <c r="L38" s="21">
        <v>-144022</v>
      </c>
      <c r="M38" s="21">
        <f>SUM(J38:L38)</f>
        <v>233412</v>
      </c>
      <c r="N38" s="21">
        <v>54101</v>
      </c>
      <c r="O38" s="21">
        <v>179311</v>
      </c>
      <c r="P38" s="21">
        <f t="shared" si="8"/>
        <v>233412</v>
      </c>
      <c r="Q38" s="21">
        <v>13455</v>
      </c>
      <c r="R38" s="21">
        <v>-56934</v>
      </c>
      <c r="S38" s="21">
        <f t="shared" si="9"/>
        <v>189933</v>
      </c>
      <c r="T38" s="21">
        <v>61102</v>
      </c>
      <c r="U38" s="21">
        <v>128831</v>
      </c>
      <c r="V38" s="101">
        <f t="shared" si="10"/>
        <v>189933</v>
      </c>
      <c r="W38" s="101">
        <v>195813</v>
      </c>
      <c r="X38" s="101">
        <v>-125608</v>
      </c>
      <c r="Y38" s="21">
        <f t="shared" si="11"/>
        <v>260138</v>
      </c>
      <c r="Z38" s="21">
        <v>114654</v>
      </c>
      <c r="AA38" s="21">
        <v>145484</v>
      </c>
      <c r="AB38" s="21">
        <f>Y38</f>
        <v>260138</v>
      </c>
      <c r="AC38" s="21"/>
      <c r="AD38" s="101">
        <f t="shared" si="13"/>
        <v>260138</v>
      </c>
      <c r="AE38" s="101">
        <v>0</v>
      </c>
      <c r="AF38" s="101">
        <v>-71257</v>
      </c>
      <c r="AG38" s="21">
        <f>SUM(AD38:AF38)</f>
        <v>188881</v>
      </c>
      <c r="AH38" s="21">
        <v>146598</v>
      </c>
      <c r="AI38" s="21">
        <v>42283</v>
      </c>
      <c r="AL38" s="21">
        <f>-'Audited Balance Sheet Input'!J94</f>
        <v>41595</v>
      </c>
      <c r="AM38" s="21">
        <f>-'Audited Balance Sheet Input'!K94</f>
        <v>45277</v>
      </c>
      <c r="AN38" s="21">
        <f>-'Audited Balance Sheet Input'!L94</f>
        <v>48898</v>
      </c>
      <c r="AO38" s="21">
        <f>-'Audited Balance Sheet Input'!M94</f>
        <v>50461</v>
      </c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58"/>
      <c r="BA38" s="36"/>
      <c r="BB38" s="21">
        <f>-'Audited Balance Sheet Input'!J110</f>
        <v>688</v>
      </c>
      <c r="BC38" s="21">
        <f>-'Audited Balance Sheet Input'!K110</f>
        <v>167694</v>
      </c>
      <c r="BD38" s="21">
        <f>-'Audited Balance Sheet Input'!L110</f>
        <v>131617</v>
      </c>
      <c r="BE38" s="21">
        <f>-'Audited Balance Sheet Input'!M110</f>
        <v>81808</v>
      </c>
      <c r="BF38" s="21"/>
      <c r="BG38" s="21"/>
      <c r="BH38" s="21"/>
      <c r="BI38" s="21"/>
      <c r="BJ38" s="21"/>
      <c r="BK38" s="21"/>
      <c r="BL38" s="21"/>
      <c r="BM38" s="21"/>
      <c r="BN38" s="21"/>
      <c r="BO38" s="21"/>
    </row>
    <row r="39" spans="2:67">
      <c r="B39" s="6"/>
      <c r="D39" s="58"/>
      <c r="E39" s="58"/>
      <c r="F39" s="58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101"/>
      <c r="W39" s="101"/>
      <c r="X39" s="101"/>
      <c r="Y39" s="21"/>
      <c r="Z39" s="21"/>
      <c r="AA39" s="21"/>
      <c r="AB39" s="21"/>
      <c r="AC39" s="21"/>
      <c r="AD39" s="101"/>
      <c r="AE39" s="101"/>
      <c r="AF39" s="101"/>
      <c r="AG39" s="21"/>
      <c r="AH39" s="21"/>
      <c r="AI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58"/>
      <c r="BA39" s="36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</row>
    <row r="40" spans="2:67">
      <c r="B40" s="6" t="s">
        <v>351</v>
      </c>
      <c r="D40" s="58"/>
      <c r="E40" s="58"/>
      <c r="F40" s="58"/>
      <c r="G40" s="21">
        <f t="shared" si="5"/>
        <v>0</v>
      </c>
      <c r="H40" s="21"/>
      <c r="I40" s="21"/>
      <c r="J40" s="21">
        <f t="shared" si="6"/>
        <v>0</v>
      </c>
      <c r="K40" s="21"/>
      <c r="L40" s="21"/>
      <c r="M40" s="21">
        <f t="shared" si="7"/>
        <v>0</v>
      </c>
      <c r="N40" s="21"/>
      <c r="O40" s="21"/>
      <c r="P40" s="21">
        <f t="shared" si="8"/>
        <v>0</v>
      </c>
      <c r="Q40" s="21"/>
      <c r="R40" s="21"/>
      <c r="S40" s="21">
        <f t="shared" si="9"/>
        <v>0</v>
      </c>
      <c r="T40" s="21"/>
      <c r="U40" s="21"/>
      <c r="V40" s="101"/>
      <c r="W40" s="101"/>
      <c r="X40" s="101">
        <v>0</v>
      </c>
      <c r="Y40" s="21">
        <f t="shared" si="11"/>
        <v>0</v>
      </c>
      <c r="Z40" s="21">
        <v>0</v>
      </c>
      <c r="AB40" s="21">
        <f t="shared" si="12"/>
        <v>0</v>
      </c>
      <c r="AC40" s="21">
        <v>22136982</v>
      </c>
      <c r="AD40" s="101">
        <f t="shared" si="13"/>
        <v>22136982</v>
      </c>
      <c r="AE40" s="101">
        <v>0</v>
      </c>
      <c r="AF40" s="21">
        <v>-1814860</v>
      </c>
      <c r="AG40" s="21">
        <f t="shared" si="14"/>
        <v>20322122</v>
      </c>
      <c r="AH40" s="21">
        <v>0</v>
      </c>
      <c r="AI40" s="21">
        <v>20322122</v>
      </c>
      <c r="AK40" s="5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58"/>
      <c r="BA40" s="5"/>
      <c r="BB40" s="21">
        <f>-'Audited Balance Sheet Input'!J112</f>
        <v>21773504</v>
      </c>
      <c r="BC40" s="21">
        <f>-'Audited Balance Sheet Input'!K112</f>
        <v>32669717</v>
      </c>
      <c r="BD40" s="21">
        <f>-'Audited Balance Sheet Input'!L112</f>
        <v>31892391</v>
      </c>
      <c r="BE40" s="21">
        <f>-'Audited Balance Sheet Input'!M112</f>
        <v>32698545</v>
      </c>
      <c r="BF40" s="21">
        <f t="shared" ref="BF40:BO40" si="15">AVERAGE(BC40:BE40)</f>
        <v>32420217.666666668</v>
      </c>
      <c r="BG40" s="21">
        <f t="shared" si="15"/>
        <v>32337051.222222224</v>
      </c>
      <c r="BH40" s="21">
        <f t="shared" si="15"/>
        <v>32485271.296296299</v>
      </c>
      <c r="BI40" s="21">
        <f t="shared" si="15"/>
        <v>32414180.061728399</v>
      </c>
      <c r="BJ40" s="21">
        <f t="shared" si="15"/>
        <v>32412167.526748974</v>
      </c>
      <c r="BK40" s="21">
        <f t="shared" si="15"/>
        <v>32437206.294924557</v>
      </c>
      <c r="BL40" s="21">
        <f t="shared" si="15"/>
        <v>32421184.627800643</v>
      </c>
      <c r="BM40" s="21">
        <f t="shared" si="15"/>
        <v>32423519.483158056</v>
      </c>
      <c r="BN40" s="21">
        <f t="shared" si="15"/>
        <v>32427303.468627751</v>
      </c>
      <c r="BO40" s="21">
        <f t="shared" si="15"/>
        <v>32424002.526528817</v>
      </c>
    </row>
    <row r="41" spans="2:67">
      <c r="B41" s="6" t="s">
        <v>352</v>
      </c>
      <c r="D41" s="58"/>
      <c r="E41" s="58"/>
      <c r="F41" s="58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101"/>
      <c r="W41" s="101"/>
      <c r="X41" s="101"/>
      <c r="Y41" s="21"/>
      <c r="Z41" s="21"/>
      <c r="AB41" s="21"/>
      <c r="AC41" s="21"/>
      <c r="AD41" s="101"/>
      <c r="AE41" s="101"/>
      <c r="AF41" s="21"/>
      <c r="AG41" s="21"/>
      <c r="AH41" s="21"/>
      <c r="AI41" s="21"/>
      <c r="AK41" s="5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58"/>
      <c r="BA41" s="5"/>
      <c r="BB41" s="21">
        <f>-'Audited Balance Sheet Input'!J113</f>
        <v>0</v>
      </c>
      <c r="BC41" s="21">
        <f>-'Audited Balance Sheet Input'!K113</f>
        <v>0</v>
      </c>
      <c r="BD41" s="21">
        <f>-'Audited Balance Sheet Input'!L113</f>
        <v>33325299</v>
      </c>
      <c r="BE41" s="21">
        <f>-'Audited Balance Sheet Input'!M113</f>
        <v>33586793</v>
      </c>
      <c r="BF41" s="21">
        <f>+BE41</f>
        <v>33586793</v>
      </c>
      <c r="BG41" s="21">
        <f t="shared" ref="BG41:BO41" si="16">AVERAGE(BD41:BF41)</f>
        <v>33499628.333333332</v>
      </c>
      <c r="BH41" s="21">
        <f t="shared" si="16"/>
        <v>33557738.111111112</v>
      </c>
      <c r="BI41" s="21">
        <f t="shared" si="16"/>
        <v>33548053.148148149</v>
      </c>
      <c r="BJ41" s="21">
        <f t="shared" si="16"/>
        <v>33535139.864197534</v>
      </c>
      <c r="BK41" s="21">
        <f t="shared" si="16"/>
        <v>33546977.041152265</v>
      </c>
      <c r="BL41" s="21">
        <f t="shared" si="16"/>
        <v>33543390.017832652</v>
      </c>
      <c r="BM41" s="21">
        <f t="shared" si="16"/>
        <v>33541835.641060818</v>
      </c>
      <c r="BN41" s="21">
        <f t="shared" si="16"/>
        <v>33544067.56668191</v>
      </c>
      <c r="BO41" s="21">
        <f t="shared" si="16"/>
        <v>33543097.741858456</v>
      </c>
    </row>
    <row r="42" spans="2:67" s="40" customFormat="1">
      <c r="B42" s="538"/>
      <c r="G42" s="21"/>
      <c r="H42" s="96"/>
      <c r="I42" s="96"/>
      <c r="J42" s="21"/>
      <c r="K42" s="96"/>
      <c r="L42" s="96"/>
      <c r="M42" s="21"/>
      <c r="N42" s="96"/>
      <c r="O42" s="96"/>
      <c r="P42" s="21"/>
      <c r="Q42" s="96"/>
      <c r="R42" s="96"/>
      <c r="S42" s="21"/>
      <c r="T42" s="96"/>
      <c r="U42" s="96"/>
      <c r="Y42" s="21"/>
      <c r="Z42" s="96"/>
      <c r="AA42" s="96"/>
      <c r="AB42" s="21"/>
      <c r="AC42" s="96"/>
      <c r="AD42" s="101"/>
      <c r="AE42" s="96"/>
      <c r="AF42" s="96"/>
      <c r="AG42" s="21"/>
      <c r="AH42" s="96"/>
      <c r="AI42" s="96"/>
      <c r="AK42" s="36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BA42" s="36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</row>
    <row r="43" spans="2:67" s="36" customFormat="1">
      <c r="B43" s="6" t="s">
        <v>428</v>
      </c>
      <c r="D43" s="40"/>
      <c r="E43" s="40"/>
      <c r="F43" s="40"/>
      <c r="G43" s="21">
        <f t="shared" si="5"/>
        <v>0</v>
      </c>
      <c r="H43" s="96"/>
      <c r="I43" s="96"/>
      <c r="J43" s="21">
        <f t="shared" si="6"/>
        <v>0</v>
      </c>
      <c r="K43" s="96"/>
      <c r="L43" s="96"/>
      <c r="M43" s="21">
        <f t="shared" si="7"/>
        <v>0</v>
      </c>
      <c r="N43" s="96"/>
      <c r="O43" s="96"/>
      <c r="P43" s="21">
        <f t="shared" si="8"/>
        <v>0</v>
      </c>
      <c r="Q43" s="96"/>
      <c r="R43" s="96"/>
      <c r="S43" s="21">
        <f t="shared" si="9"/>
        <v>0</v>
      </c>
      <c r="T43" s="96"/>
      <c r="U43" s="96"/>
      <c r="V43" s="109"/>
      <c r="W43" s="109"/>
      <c r="Y43" s="21">
        <f t="shared" si="11"/>
        <v>0</v>
      </c>
      <c r="Z43" s="589">
        <v>0</v>
      </c>
      <c r="AB43" s="21">
        <f>Y43</f>
        <v>0</v>
      </c>
      <c r="AD43" s="101">
        <f t="shared" si="13"/>
        <v>0</v>
      </c>
      <c r="AE43" s="101">
        <v>1589000</v>
      </c>
      <c r="AF43" s="590">
        <v>0</v>
      </c>
      <c r="AG43" s="21">
        <f t="shared" ref="AG43" si="17">SUM(AD43:AF43)</f>
        <v>1589000</v>
      </c>
      <c r="AH43" s="590">
        <v>0</v>
      </c>
      <c r="AI43" s="21">
        <f>1589000-833500</f>
        <v>755500</v>
      </c>
      <c r="AK43" s="36" t="s">
        <v>353</v>
      </c>
      <c r="AL43" s="21">
        <f>'4001'!E9</f>
        <v>0</v>
      </c>
      <c r="AM43" s="21">
        <f>'4001'!F9</f>
        <v>308334</v>
      </c>
      <c r="AN43" s="21">
        <f>'4001'!G9</f>
        <v>1233333</v>
      </c>
      <c r="AO43" s="21">
        <f>'4001'!H9</f>
        <v>1233333</v>
      </c>
      <c r="AP43" s="21">
        <f>'4001'!I9</f>
        <v>925000</v>
      </c>
      <c r="AQ43" s="21">
        <f>'4001'!J9</f>
        <v>0</v>
      </c>
      <c r="AR43" s="21">
        <f>'4001'!K9</f>
        <v>0</v>
      </c>
      <c r="AS43" s="21">
        <f>'4001'!L9</f>
        <v>0</v>
      </c>
      <c r="AT43" s="21">
        <f>'4001'!M9</f>
        <v>0</v>
      </c>
      <c r="AU43" s="21">
        <f>'4001'!N9</f>
        <v>0</v>
      </c>
      <c r="AV43" s="21">
        <f>'4001'!O9</f>
        <v>0</v>
      </c>
      <c r="AW43" s="21">
        <f>'4001'!P9</f>
        <v>0</v>
      </c>
      <c r="AX43" s="21">
        <f>'4001'!Q9</f>
        <v>0</v>
      </c>
      <c r="AY43" s="21"/>
      <c r="AZ43" s="40"/>
      <c r="BA43" s="36" t="s">
        <v>353</v>
      </c>
      <c r="BB43" s="21">
        <f>SUM('4001'!G9:I9)</f>
        <v>3391666</v>
      </c>
      <c r="BC43" s="21">
        <f>SUM('4001'!H9:J9)</f>
        <v>2158333</v>
      </c>
      <c r="BD43" s="21">
        <f>SUM('4001'!I9:K9)</f>
        <v>925000</v>
      </c>
      <c r="BE43" s="21">
        <f>SUM('4001'!J9:L9)</f>
        <v>0</v>
      </c>
      <c r="BF43" s="21">
        <f>SUM('4001'!K9:M9)</f>
        <v>0</v>
      </c>
      <c r="BG43" s="21">
        <f>SUM('4001'!L9:N9)</f>
        <v>0</v>
      </c>
      <c r="BH43" s="21">
        <f>SUM('4001'!M9:O9)</f>
        <v>0</v>
      </c>
      <c r="BI43" s="21">
        <f>SUM('4001'!N9:P9)</f>
        <v>0</v>
      </c>
      <c r="BJ43" s="21">
        <f>SUM('4001'!O9:S9)</f>
        <v>0</v>
      </c>
      <c r="BK43" s="21"/>
      <c r="BL43" s="21"/>
      <c r="BM43" s="21"/>
      <c r="BN43" s="21"/>
      <c r="BO43" s="21"/>
    </row>
    <row r="44" spans="2:67">
      <c r="B44" s="6" t="s">
        <v>132</v>
      </c>
      <c r="D44" s="58"/>
      <c r="E44" s="58"/>
      <c r="F44" s="58"/>
      <c r="G44" s="21">
        <f t="shared" ref="G44" si="18">SUM(G42:G43)</f>
        <v>0</v>
      </c>
      <c r="H44" s="58"/>
      <c r="I44" s="58"/>
      <c r="J44" s="58">
        <f t="shared" si="6"/>
        <v>0</v>
      </c>
      <c r="K44" s="58"/>
      <c r="L44" s="58"/>
      <c r="M44" s="21">
        <f t="shared" ref="M44" si="19">SUM(M42:M43)</f>
        <v>0</v>
      </c>
      <c r="N44" s="58"/>
      <c r="O44" s="58"/>
      <c r="P44" s="58">
        <f t="shared" si="8"/>
        <v>0</v>
      </c>
      <c r="Q44" s="58">
        <f t="shared" ref="Q44:T44" si="20">SUM(Q42:Q43)</f>
        <v>0</v>
      </c>
      <c r="R44" s="58">
        <f t="shared" si="20"/>
        <v>0</v>
      </c>
      <c r="S44" s="21">
        <f t="shared" si="20"/>
        <v>0</v>
      </c>
      <c r="T44" s="58">
        <f t="shared" si="20"/>
        <v>0</v>
      </c>
      <c r="U44" s="21">
        <f>SUM(U42:U43)</f>
        <v>0</v>
      </c>
      <c r="V44" s="21">
        <f t="shared" ref="V44:AA44" si="21">SUM(V42:V43)</f>
        <v>0</v>
      </c>
      <c r="W44" s="21">
        <f>SUM(W42:W43)</f>
        <v>0</v>
      </c>
      <c r="X44" s="21">
        <f t="shared" si="21"/>
        <v>0</v>
      </c>
      <c r="Y44" s="21">
        <f t="shared" si="21"/>
        <v>0</v>
      </c>
      <c r="Z44" s="21">
        <f t="shared" si="21"/>
        <v>0</v>
      </c>
      <c r="AA44" s="21">
        <f t="shared" si="21"/>
        <v>0</v>
      </c>
      <c r="AB44" s="21">
        <f>SUM(AB42:AB43)</f>
        <v>0</v>
      </c>
      <c r="AC44" s="21">
        <f>SUM(AC42:AC43)</f>
        <v>0</v>
      </c>
      <c r="AD44" s="21">
        <f>SUM(AD42:AD43)</f>
        <v>0</v>
      </c>
      <c r="AE44" s="21">
        <f t="shared" ref="AE44" si="22">SUM(AE42:AE43)</f>
        <v>1589000</v>
      </c>
      <c r="AF44" s="21">
        <f>SUM(AF42:AF43)</f>
        <v>0</v>
      </c>
      <c r="AG44" s="21">
        <f t="shared" ref="AG44:AI44" si="23">SUM(AG42:AG43)</f>
        <v>1589000</v>
      </c>
      <c r="AH44" s="21">
        <f t="shared" si="23"/>
        <v>0</v>
      </c>
      <c r="AI44" s="21">
        <f t="shared" si="23"/>
        <v>755500</v>
      </c>
      <c r="AL44" s="58"/>
      <c r="AM44" s="58"/>
      <c r="AN44" s="58"/>
      <c r="AO44" s="21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21"/>
      <c r="BF44" s="58"/>
      <c r="BG44" s="58"/>
      <c r="BH44" s="58"/>
      <c r="BI44" s="58"/>
      <c r="BJ44" s="58"/>
      <c r="BK44" s="58"/>
      <c r="BL44" s="58"/>
      <c r="BM44" s="58"/>
    </row>
    <row r="45" spans="2:67" ht="15" thickBot="1">
      <c r="B45" s="6" t="s">
        <v>354</v>
      </c>
      <c r="D45" s="104">
        <f t="shared" ref="D45:P45" si="24">SUM(D34:D40,D44)</f>
        <v>1988598</v>
      </c>
      <c r="E45" s="104">
        <f t="shared" si="24"/>
        <v>928718</v>
      </c>
      <c r="F45" s="104">
        <f t="shared" si="24"/>
        <v>-853430</v>
      </c>
      <c r="G45" s="104">
        <f t="shared" si="24"/>
        <v>2063886</v>
      </c>
      <c r="H45" s="104">
        <f t="shared" si="24"/>
        <v>878855</v>
      </c>
      <c r="I45" s="104">
        <f t="shared" si="24"/>
        <v>1185031</v>
      </c>
      <c r="J45" s="104">
        <f t="shared" si="24"/>
        <v>2063886</v>
      </c>
      <c r="K45" s="104">
        <f t="shared" si="24"/>
        <v>950559</v>
      </c>
      <c r="L45" s="104">
        <f t="shared" si="24"/>
        <v>-1080441</v>
      </c>
      <c r="M45" s="104">
        <f t="shared" si="24"/>
        <v>1934004</v>
      </c>
      <c r="N45" s="104">
        <f t="shared" si="24"/>
        <v>699078</v>
      </c>
      <c r="O45" s="104">
        <f t="shared" si="24"/>
        <v>1234926</v>
      </c>
      <c r="P45" s="104">
        <f t="shared" si="24"/>
        <v>1934004</v>
      </c>
      <c r="Q45" s="104">
        <f t="shared" ref="Q45:AA45" si="25">SUM(Q34:Q40,Q44)</f>
        <v>728990</v>
      </c>
      <c r="R45" s="104">
        <f t="shared" si="25"/>
        <v>-921349</v>
      </c>
      <c r="S45" s="104">
        <f t="shared" si="25"/>
        <v>1741645</v>
      </c>
      <c r="T45" s="104">
        <f t="shared" si="25"/>
        <v>916164</v>
      </c>
      <c r="U45" s="104">
        <f>SUM(U34:U40,U44)</f>
        <v>825481</v>
      </c>
      <c r="V45" s="104">
        <f>SUM(V34:V40,V44)</f>
        <v>1741645</v>
      </c>
      <c r="W45" s="104">
        <f>SUM(W34:W40,W44)</f>
        <v>929429</v>
      </c>
      <c r="X45" s="104">
        <f t="shared" si="25"/>
        <v>-653262</v>
      </c>
      <c r="Y45" s="104">
        <f>SUM(Y34:Y40,Y44)</f>
        <v>2017812</v>
      </c>
      <c r="Z45" s="104">
        <f t="shared" si="25"/>
        <v>772340</v>
      </c>
      <c r="AA45" s="104">
        <f t="shared" si="25"/>
        <v>1245472</v>
      </c>
      <c r="AB45" s="104">
        <f>SUM(AB34:AB40,AB44)</f>
        <v>2017812</v>
      </c>
      <c r="AC45" s="104">
        <f>SUM(AC34:AC40,AC44)</f>
        <v>22136982</v>
      </c>
      <c r="AD45" s="104">
        <f>SUM(AD34:AD40,AD44)</f>
        <v>24154794</v>
      </c>
      <c r="AE45" s="104">
        <f>SUM(AE34:AE40,AE44)</f>
        <v>2417570</v>
      </c>
      <c r="AF45" s="104">
        <f t="shared" ref="AF45" si="26">SUM(AF34:AF40,AF44)</f>
        <v>-2603331</v>
      </c>
      <c r="AG45" s="104">
        <f>SUM(AG34:AG40,AG44)</f>
        <v>23969033</v>
      </c>
      <c r="AH45" s="104">
        <f t="shared" ref="AH45" si="27">SUM(AH34:AH40,AH44)</f>
        <v>1014761</v>
      </c>
      <c r="AI45" s="104">
        <f>SUM(AI34:AI40,AI44)</f>
        <v>22120772</v>
      </c>
      <c r="AK45" s="109"/>
      <c r="AL45" s="104">
        <f>AI39-AL39</f>
        <v>0</v>
      </c>
      <c r="AM45" s="104">
        <f t="shared" ref="AM45:AS45" si="28">AL45-AM39</f>
        <v>0</v>
      </c>
      <c r="AN45" s="104">
        <f t="shared" si="28"/>
        <v>0</v>
      </c>
      <c r="AO45" s="104">
        <f t="shared" si="28"/>
        <v>0</v>
      </c>
      <c r="AP45" s="104">
        <f t="shared" si="28"/>
        <v>0</v>
      </c>
      <c r="AQ45" s="104">
        <f t="shared" si="28"/>
        <v>0</v>
      </c>
      <c r="AR45" s="104">
        <f>AQ45-AR39</f>
        <v>0</v>
      </c>
      <c r="AS45" s="104">
        <f t="shared" si="28"/>
        <v>0</v>
      </c>
      <c r="AT45" s="104">
        <f t="shared" ref="AT45" si="29">AS45-AT39</f>
        <v>0</v>
      </c>
      <c r="AU45" s="104">
        <f t="shared" ref="AU45" si="30">AT45-AU39</f>
        <v>0</v>
      </c>
      <c r="AV45" s="104">
        <f t="shared" ref="AV45" si="31">AU45-AV39</f>
        <v>0</v>
      </c>
      <c r="AW45" s="104">
        <f t="shared" ref="AW45" si="32">AV45-AW39</f>
        <v>0</v>
      </c>
      <c r="AX45" s="104">
        <f t="shared" ref="AX45" si="33">AW45-AX39</f>
        <v>0</v>
      </c>
      <c r="AY45" s="104">
        <f t="shared" ref="AY45" si="34">AX45-AY39</f>
        <v>0</v>
      </c>
      <c r="AZ45" s="58">
        <f t="shared" ref="AZ45" si="35">AY45-AZ39</f>
        <v>0</v>
      </c>
      <c r="BA45" s="58"/>
      <c r="BB45" s="104">
        <f>AI39-BB39</f>
        <v>0</v>
      </c>
      <c r="BC45" s="104">
        <f>BB39-BC39</f>
        <v>0</v>
      </c>
      <c r="BD45" s="104">
        <f t="shared" ref="BD45:BO45" si="36">BC39-BD39</f>
        <v>0</v>
      </c>
      <c r="BE45" s="104">
        <f t="shared" si="36"/>
        <v>0</v>
      </c>
      <c r="BF45" s="104">
        <f t="shared" si="36"/>
        <v>0</v>
      </c>
      <c r="BG45" s="104">
        <f t="shared" si="36"/>
        <v>0</v>
      </c>
      <c r="BH45" s="104">
        <f t="shared" si="36"/>
        <v>0</v>
      </c>
      <c r="BI45" s="104">
        <f t="shared" si="36"/>
        <v>0</v>
      </c>
      <c r="BJ45" s="104">
        <f t="shared" si="36"/>
        <v>0</v>
      </c>
      <c r="BK45" s="104">
        <f t="shared" si="36"/>
        <v>0</v>
      </c>
      <c r="BL45" s="104">
        <f t="shared" si="36"/>
        <v>0</v>
      </c>
      <c r="BM45" s="104">
        <f t="shared" si="36"/>
        <v>0</v>
      </c>
      <c r="BN45" s="104">
        <f t="shared" si="36"/>
        <v>0</v>
      </c>
      <c r="BO45" s="104">
        <f t="shared" si="36"/>
        <v>0</v>
      </c>
    </row>
    <row r="46" spans="2:67" s="528" customFormat="1" ht="15" thickTop="1">
      <c r="B46" s="527" t="s">
        <v>118</v>
      </c>
      <c r="G46" s="528">
        <f>G45-SUM(H45:I45)</f>
        <v>0</v>
      </c>
      <c r="J46" s="528">
        <f>J45-G45</f>
        <v>0</v>
      </c>
      <c r="M46" s="528">
        <f>M45-SUM(N45:O45)</f>
        <v>0</v>
      </c>
      <c r="P46" s="528">
        <f>P45-M45</f>
        <v>0</v>
      </c>
      <c r="S46" s="528">
        <f>S45-SUM(T45:U45)</f>
        <v>0</v>
      </c>
      <c r="V46" s="528">
        <f>V45-S45</f>
        <v>0</v>
      </c>
      <c r="Y46" s="528">
        <f>Y45-SUM(Z45:AA45)</f>
        <v>0</v>
      </c>
      <c r="AB46" s="528">
        <f>AB45-Y45</f>
        <v>0</v>
      </c>
      <c r="AL46" s="528">
        <f>AI39-AL39-AL45</f>
        <v>0</v>
      </c>
      <c r="AM46" s="528">
        <f>AL45-AM39-AM45</f>
        <v>0</v>
      </c>
      <c r="AN46" s="528">
        <f>AM45-AN39-AN45</f>
        <v>0</v>
      </c>
      <c r="AO46" s="528">
        <f t="shared" ref="AO46:AY46" si="37">AN45-AO39-AO45</f>
        <v>0</v>
      </c>
      <c r="AP46" s="528">
        <f t="shared" si="37"/>
        <v>0</v>
      </c>
      <c r="AQ46" s="528">
        <f t="shared" si="37"/>
        <v>0</v>
      </c>
      <c r="AR46" s="528">
        <f t="shared" si="37"/>
        <v>0</v>
      </c>
      <c r="AS46" s="528">
        <f t="shared" si="37"/>
        <v>0</v>
      </c>
      <c r="AT46" s="528">
        <f t="shared" si="37"/>
        <v>0</v>
      </c>
      <c r="AU46" s="528">
        <f t="shared" si="37"/>
        <v>0</v>
      </c>
      <c r="AV46" s="528">
        <f t="shared" si="37"/>
        <v>0</v>
      </c>
      <c r="AW46" s="528">
        <f t="shared" si="37"/>
        <v>0</v>
      </c>
      <c r="AX46" s="528">
        <f t="shared" si="37"/>
        <v>0</v>
      </c>
      <c r="AY46" s="528">
        <f t="shared" si="37"/>
        <v>0</v>
      </c>
      <c r="BB46" s="528">
        <f>AI39-BB39-BB45</f>
        <v>0</v>
      </c>
      <c r="BC46" s="528">
        <f>BB39-BC39-BC45</f>
        <v>0</v>
      </c>
      <c r="BD46" s="528">
        <f t="shared" ref="BD46:BO46" si="38">BC39-BD39-BD45</f>
        <v>0</v>
      </c>
      <c r="BE46" s="528">
        <f t="shared" si="38"/>
        <v>0</v>
      </c>
      <c r="BF46" s="528">
        <f t="shared" si="38"/>
        <v>0</v>
      </c>
      <c r="BG46" s="528">
        <f t="shared" si="38"/>
        <v>0</v>
      </c>
      <c r="BH46" s="528">
        <f t="shared" si="38"/>
        <v>0</v>
      </c>
      <c r="BI46" s="528">
        <f t="shared" si="38"/>
        <v>0</v>
      </c>
      <c r="BJ46" s="528">
        <f t="shared" si="38"/>
        <v>0</v>
      </c>
      <c r="BK46" s="528">
        <f t="shared" si="38"/>
        <v>0</v>
      </c>
      <c r="BL46" s="528">
        <f t="shared" si="38"/>
        <v>0</v>
      </c>
      <c r="BM46" s="528">
        <f t="shared" si="38"/>
        <v>0</v>
      </c>
      <c r="BN46" s="528">
        <f t="shared" si="38"/>
        <v>0</v>
      </c>
      <c r="BO46" s="528">
        <f t="shared" si="38"/>
        <v>0</v>
      </c>
    </row>
    <row r="47" spans="2:67">
      <c r="I47" s="105"/>
    </row>
    <row r="48" spans="2:67">
      <c r="BB48" s="101"/>
    </row>
    <row r="49" spans="8:51">
      <c r="H49" s="101"/>
      <c r="N49" s="101"/>
      <c r="T49" s="101"/>
      <c r="Z49" s="101"/>
      <c r="AH49" s="101"/>
      <c r="AL49" s="101"/>
    </row>
    <row r="51" spans="8:51" ht="15" thickBot="1">
      <c r="I51" s="41"/>
      <c r="W51" s="41"/>
      <c r="AK51" s="110" t="s">
        <v>355</v>
      </c>
    </row>
    <row r="52" spans="8:51" ht="15" thickBot="1">
      <c r="AL52" s="149" t="s">
        <v>341</v>
      </c>
      <c r="AM52" s="149" t="s">
        <v>341</v>
      </c>
      <c r="AN52" s="149" t="s">
        <v>341</v>
      </c>
      <c r="AO52" s="149" t="s">
        <v>341</v>
      </c>
      <c r="AP52" s="98" t="s">
        <v>52</v>
      </c>
      <c r="AQ52" s="98" t="s">
        <v>52</v>
      </c>
      <c r="AR52" s="98" t="s">
        <v>52</v>
      </c>
      <c r="AS52" s="98" t="s">
        <v>52</v>
      </c>
      <c r="AT52" s="98" t="s">
        <v>52</v>
      </c>
      <c r="AU52" s="98" t="s">
        <v>52</v>
      </c>
      <c r="AV52" s="98" t="s">
        <v>52</v>
      </c>
      <c r="AW52" s="98" t="s">
        <v>52</v>
      </c>
      <c r="AX52" s="98" t="s">
        <v>52</v>
      </c>
      <c r="AY52" s="98" t="s">
        <v>52</v>
      </c>
    </row>
    <row r="53" spans="8:51">
      <c r="AL53" s="586" t="s">
        <v>439</v>
      </c>
      <c r="AM53" s="586" t="s">
        <v>440</v>
      </c>
      <c r="AN53" s="586" t="s">
        <v>441</v>
      </c>
      <c r="AO53" s="586" t="s">
        <v>442</v>
      </c>
      <c r="AP53" s="586" t="s">
        <v>434</v>
      </c>
      <c r="AQ53" s="586" t="s">
        <v>435</v>
      </c>
      <c r="AR53" s="586" t="s">
        <v>436</v>
      </c>
      <c r="AS53" s="586" t="s">
        <v>437</v>
      </c>
      <c r="AT53" s="586" t="s">
        <v>438</v>
      </c>
      <c r="AU53" s="586" t="s">
        <v>439</v>
      </c>
      <c r="AV53" s="586" t="s">
        <v>440</v>
      </c>
      <c r="AW53" s="586" t="s">
        <v>441</v>
      </c>
      <c r="AX53" s="586" t="s">
        <v>442</v>
      </c>
      <c r="AY53" s="586" t="s">
        <v>443</v>
      </c>
    </row>
    <row r="54" spans="8:51">
      <c r="AK54" s="7" t="s">
        <v>125</v>
      </c>
      <c r="AL54" s="21">
        <f>+AL34+BB34</f>
        <v>1731440</v>
      </c>
      <c r="AM54" s="21">
        <f t="shared" ref="AL54:AW60" si="39">+AM34+BC34</f>
        <v>1660765</v>
      </c>
      <c r="AN54" s="21">
        <f t="shared" si="39"/>
        <v>1590363</v>
      </c>
      <c r="AO54" s="21">
        <f t="shared" si="39"/>
        <v>1423128</v>
      </c>
      <c r="AP54" s="21">
        <f t="shared" si="39"/>
        <v>1558000</v>
      </c>
      <c r="AQ54" s="21">
        <f t="shared" si="39"/>
        <v>1524000</v>
      </c>
      <c r="AR54" s="21">
        <f t="shared" si="39"/>
        <v>1501000</v>
      </c>
      <c r="AS54" s="21">
        <f t="shared" si="39"/>
        <v>1528000</v>
      </c>
      <c r="AT54" s="21">
        <f t="shared" si="39"/>
        <v>1517000</v>
      </c>
      <c r="AU54" s="21">
        <f t="shared" si="39"/>
        <v>1515000</v>
      </c>
      <c r="AV54" s="21">
        <f t="shared" si="39"/>
        <v>1520000</v>
      </c>
      <c r="AW54" s="21">
        <f t="shared" si="39"/>
        <v>1518000</v>
      </c>
      <c r="AX54" s="21">
        <f t="shared" ref="AX54:AY54" si="40">+AX34+BN34</f>
        <v>1517000</v>
      </c>
      <c r="AY54" s="21">
        <f t="shared" si="40"/>
        <v>1519000</v>
      </c>
    </row>
    <row r="55" spans="8:51">
      <c r="AK55" s="7" t="s">
        <v>127</v>
      </c>
      <c r="AL55" s="21">
        <f t="shared" si="39"/>
        <v>0</v>
      </c>
      <c r="AM55" s="21">
        <f t="shared" si="39"/>
        <v>0</v>
      </c>
      <c r="AN55" s="21">
        <f t="shared" si="39"/>
        <v>0</v>
      </c>
      <c r="AO55" s="21">
        <f t="shared" si="39"/>
        <v>0</v>
      </c>
      <c r="AP55" s="21">
        <f t="shared" si="39"/>
        <v>0</v>
      </c>
      <c r="AQ55" s="21">
        <f t="shared" si="39"/>
        <v>0</v>
      </c>
      <c r="AR55" s="21">
        <f t="shared" si="39"/>
        <v>0</v>
      </c>
      <c r="AS55" s="21">
        <f t="shared" si="39"/>
        <v>0</v>
      </c>
      <c r="AT55" s="21">
        <f t="shared" si="39"/>
        <v>0</v>
      </c>
      <c r="AU55" s="21">
        <f t="shared" si="39"/>
        <v>0</v>
      </c>
      <c r="AV55" s="21">
        <f t="shared" si="39"/>
        <v>0</v>
      </c>
      <c r="AW55" s="21">
        <f t="shared" si="39"/>
        <v>0</v>
      </c>
      <c r="AX55" s="21">
        <f t="shared" ref="AX55:AY55" si="41">+AX35+BN35</f>
        <v>0</v>
      </c>
      <c r="AY55" s="21">
        <f t="shared" si="41"/>
        <v>0</v>
      </c>
    </row>
    <row r="56" spans="8:51">
      <c r="AK56" s="7" t="s">
        <v>525</v>
      </c>
      <c r="AL56" s="21">
        <f t="shared" si="39"/>
        <v>0</v>
      </c>
      <c r="AM56" s="21">
        <f t="shared" si="39"/>
        <v>0</v>
      </c>
      <c r="AN56" s="21">
        <f t="shared" si="39"/>
        <v>0</v>
      </c>
      <c r="AO56" s="21">
        <f t="shared" si="39"/>
        <v>0</v>
      </c>
      <c r="AP56" s="21">
        <f t="shared" si="39"/>
        <v>0</v>
      </c>
      <c r="AQ56" s="21">
        <f t="shared" si="39"/>
        <v>0</v>
      </c>
      <c r="AR56" s="21">
        <f t="shared" si="39"/>
        <v>0</v>
      </c>
      <c r="AS56" s="21">
        <f t="shared" si="39"/>
        <v>0</v>
      </c>
      <c r="AT56" s="21">
        <f t="shared" si="39"/>
        <v>0</v>
      </c>
      <c r="AU56" s="21">
        <f t="shared" si="39"/>
        <v>0</v>
      </c>
      <c r="AV56" s="21">
        <f t="shared" si="39"/>
        <v>0</v>
      </c>
      <c r="AW56" s="21">
        <f t="shared" si="39"/>
        <v>0</v>
      </c>
      <c r="AX56" s="21">
        <f t="shared" ref="AX56:AY56" si="42">+AX36+BN36</f>
        <v>0</v>
      </c>
      <c r="AY56" s="21">
        <f t="shared" si="42"/>
        <v>0</v>
      </c>
    </row>
    <row r="57" spans="8:51">
      <c r="AK57" s="7" t="s">
        <v>128</v>
      </c>
      <c r="AL57" s="21">
        <f t="shared" si="39"/>
        <v>0</v>
      </c>
      <c r="AM57" s="21">
        <f t="shared" si="39"/>
        <v>0</v>
      </c>
      <c r="AN57" s="21">
        <f t="shared" si="39"/>
        <v>0</v>
      </c>
      <c r="AO57" s="21">
        <f t="shared" si="39"/>
        <v>0</v>
      </c>
      <c r="AP57" s="21">
        <f t="shared" si="39"/>
        <v>0</v>
      </c>
      <c r="AQ57" s="21">
        <f t="shared" si="39"/>
        <v>0</v>
      </c>
      <c r="AR57" s="21">
        <f t="shared" si="39"/>
        <v>0</v>
      </c>
      <c r="AS57" s="21">
        <f t="shared" si="39"/>
        <v>0</v>
      </c>
      <c r="AT57" s="21">
        <f t="shared" si="39"/>
        <v>0</v>
      </c>
      <c r="AU57" s="21">
        <f t="shared" si="39"/>
        <v>0</v>
      </c>
      <c r="AV57" s="21">
        <f t="shared" si="39"/>
        <v>0</v>
      </c>
      <c r="AW57" s="21">
        <f t="shared" si="39"/>
        <v>0</v>
      </c>
      <c r="AX57" s="21">
        <f t="shared" ref="AX57:AY57" si="43">+AX37+BN37</f>
        <v>0</v>
      </c>
      <c r="AY57" s="21">
        <f t="shared" si="43"/>
        <v>0</v>
      </c>
    </row>
    <row r="58" spans="8:51">
      <c r="AK58" s="7" t="s">
        <v>129</v>
      </c>
      <c r="AL58" s="21">
        <f t="shared" si="39"/>
        <v>42283</v>
      </c>
      <c r="AM58" s="21">
        <f t="shared" si="39"/>
        <v>212971</v>
      </c>
      <c r="AN58" s="21">
        <f t="shared" si="39"/>
        <v>180515</v>
      </c>
      <c r="AO58" s="21">
        <f t="shared" si="39"/>
        <v>132269</v>
      </c>
      <c r="AP58" s="21">
        <f t="shared" si="39"/>
        <v>0</v>
      </c>
      <c r="AQ58" s="21">
        <f t="shared" si="39"/>
        <v>0</v>
      </c>
      <c r="AR58" s="21">
        <f t="shared" si="39"/>
        <v>0</v>
      </c>
      <c r="AS58" s="21">
        <f t="shared" si="39"/>
        <v>0</v>
      </c>
      <c r="AT58" s="21">
        <f t="shared" si="39"/>
        <v>0</v>
      </c>
      <c r="AU58" s="21">
        <f t="shared" si="39"/>
        <v>0</v>
      </c>
      <c r="AV58" s="21">
        <f t="shared" si="39"/>
        <v>0</v>
      </c>
      <c r="AW58" s="21">
        <f t="shared" si="39"/>
        <v>0</v>
      </c>
      <c r="AX58" s="21">
        <f t="shared" ref="AX58:AY58" si="44">+AX38+BN38</f>
        <v>0</v>
      </c>
      <c r="AY58" s="21">
        <f t="shared" si="44"/>
        <v>0</v>
      </c>
    </row>
    <row r="59" spans="8:51">
      <c r="AK59" s="7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</row>
    <row r="60" spans="8:51">
      <c r="AK60" s="7" t="s">
        <v>351</v>
      </c>
      <c r="AL60" s="21">
        <f t="shared" si="39"/>
        <v>21773504</v>
      </c>
      <c r="AM60" s="21">
        <f t="shared" si="39"/>
        <v>32669717</v>
      </c>
      <c r="AN60" s="21">
        <f t="shared" si="39"/>
        <v>31892391</v>
      </c>
      <c r="AO60" s="21">
        <f t="shared" si="39"/>
        <v>32698545</v>
      </c>
      <c r="AP60" s="21">
        <f t="shared" si="39"/>
        <v>32420217.666666668</v>
      </c>
      <c r="AQ60" s="21">
        <f t="shared" si="39"/>
        <v>32337051.222222224</v>
      </c>
      <c r="AR60" s="21">
        <f t="shared" si="39"/>
        <v>32485271.296296299</v>
      </c>
      <c r="AS60" s="21">
        <f t="shared" si="39"/>
        <v>32414180.061728399</v>
      </c>
      <c r="AT60" s="21">
        <f t="shared" si="39"/>
        <v>32412167.526748974</v>
      </c>
      <c r="AU60" s="21">
        <f t="shared" si="39"/>
        <v>32437206.294924557</v>
      </c>
      <c r="AV60" s="21">
        <f t="shared" si="39"/>
        <v>32421184.627800643</v>
      </c>
      <c r="AW60" s="21">
        <f t="shared" si="39"/>
        <v>32423519.483158056</v>
      </c>
      <c r="AX60" s="21">
        <f t="shared" ref="AX60:AY60" si="45">+AX40+BN40</f>
        <v>32427303.468627751</v>
      </c>
      <c r="AY60" s="21">
        <f t="shared" si="45"/>
        <v>32424002.526528817</v>
      </c>
    </row>
    <row r="61" spans="8:51">
      <c r="AK61" s="7" t="s">
        <v>352</v>
      </c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</row>
    <row r="62" spans="8:51">
      <c r="AK62" s="539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</row>
    <row r="63" spans="8:51">
      <c r="AK63" s="7" t="s">
        <v>428</v>
      </c>
      <c r="AL63" s="21">
        <f>+AL43+BB43</f>
        <v>3391666</v>
      </c>
      <c r="AM63" s="21">
        <f t="shared" ref="AM63:AW63" si="46">+AM43+BC43</f>
        <v>2466667</v>
      </c>
      <c r="AN63" s="21">
        <f t="shared" si="46"/>
        <v>2158333</v>
      </c>
      <c r="AO63" s="21">
        <f t="shared" si="46"/>
        <v>1233333</v>
      </c>
      <c r="AP63" s="21">
        <f t="shared" si="46"/>
        <v>925000</v>
      </c>
      <c r="AQ63" s="21">
        <f t="shared" si="46"/>
        <v>0</v>
      </c>
      <c r="AR63" s="21">
        <f t="shared" si="46"/>
        <v>0</v>
      </c>
      <c r="AS63" s="21">
        <f t="shared" si="46"/>
        <v>0</v>
      </c>
      <c r="AT63" s="21">
        <f t="shared" si="46"/>
        <v>0</v>
      </c>
      <c r="AU63" s="21">
        <f t="shared" si="46"/>
        <v>0</v>
      </c>
      <c r="AV63" s="21">
        <f t="shared" si="46"/>
        <v>0</v>
      </c>
      <c r="AW63" s="21">
        <f t="shared" si="46"/>
        <v>0</v>
      </c>
      <c r="AX63" s="21">
        <f t="shared" ref="AX63:AY63" si="47">+AX43+BN43</f>
        <v>0</v>
      </c>
      <c r="AY63" s="21">
        <f t="shared" si="47"/>
        <v>0</v>
      </c>
    </row>
    <row r="64" spans="8:51">
      <c r="AK64" s="7"/>
    </row>
    <row r="65" spans="37:37">
      <c r="AK65" s="7"/>
    </row>
  </sheetData>
  <mergeCells count="4">
    <mergeCell ref="AB32:AI32"/>
    <mergeCell ref="J32:O32"/>
    <mergeCell ref="P32:U32"/>
    <mergeCell ref="V32:AA32"/>
  </mergeCells>
  <phoneticPr fontId="73" type="noConversion"/>
  <pageMargins left="0.7" right="0.7" top="0.75" bottom="0.75" header="0.3" footer="0.3"/>
  <pageSetup orientation="portrait" horizontalDpi="1200" verticalDpi="1200" r:id="rId1"/>
  <customProperties>
    <customPr name="OrphanNamesChecked" r:id="rId2"/>
  </customProperties>
  <ignoredErrors>
    <ignoredError sqref="Q45:AH45 Y43:AH44 X44 BC43:BE4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CA04A3458E1E4BB7881FA0A25FC8CB" ma:contentTypeVersion="20" ma:contentTypeDescription="Create a new document." ma:contentTypeScope="" ma:versionID="1e570e7e9b7227a39093c1a084a0f00b">
  <xsd:schema xmlns:xsd="http://www.w3.org/2001/XMLSchema" xmlns:xs="http://www.w3.org/2001/XMLSchema" xmlns:p="http://schemas.microsoft.com/office/2006/metadata/properties" xmlns:ns1="http://schemas.microsoft.com/sharepoint/v3" xmlns:ns2="b37546f4-7ab7-428f-bbad-fb33bca8db91" xmlns:ns3="2db83f90-8eaf-4542-abe8-78ea8c216fbd" targetNamespace="http://schemas.microsoft.com/office/2006/metadata/properties" ma:root="true" ma:fieldsID="b05c9fa104ef37c39245a252ae5423a0" ns1:_="" ns2:_="" ns3:_="">
    <xsd:import namespace="http://schemas.microsoft.com/sharepoint/v3"/>
    <xsd:import namespace="b37546f4-7ab7-428f-bbad-fb33bca8db91"/>
    <xsd:import namespace="2db83f90-8eaf-4542-abe8-78ea8c216f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546f4-7ab7-428f-bbad-fb33bca8db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dfca5eb7-94b2-463d-af3b-4cd4d15aba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b83f90-8eaf-4542-abe8-78ea8c216fbd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ad27c92a-f18a-4cd9-9c93-1c6dd5b0f254}" ma:internalName="TaxCatchAll" ma:showField="CatchAllData" ma:web="2db83f90-8eaf-4542-abe8-78ea8c216f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37546f4-7ab7-428f-bbad-fb33bca8db91">
      <Terms xmlns="http://schemas.microsoft.com/office/infopath/2007/PartnerControls"/>
    </lcf76f155ced4ddcb4097134ff3c332f>
    <TaxCatchAll xmlns="2db83f90-8eaf-4542-abe8-78ea8c216fbd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48D58D2-A35A-4284-A5C4-6082F1A2C8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37546f4-7ab7-428f-bbad-fb33bca8db91"/>
    <ds:schemaRef ds:uri="2db83f90-8eaf-4542-abe8-78ea8c216f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ACCF36-8565-4526-8E3D-FD0B4D4ACD3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643289-9C1A-4ABC-8C11-2F3651F99CD9}">
  <ds:schemaRefs>
    <ds:schemaRef ds:uri="http://schemas.microsoft.com/office/2006/documentManagement/types"/>
    <ds:schemaRef ds:uri="http://purl.org/dc/terms/"/>
    <ds:schemaRef ds:uri="http://purl.org/dc/elements/1.1/"/>
    <ds:schemaRef ds:uri="2db83f90-8eaf-4542-abe8-78ea8c216fbd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  <ds:schemaRef ds:uri="b37546f4-7ab7-428f-bbad-fb33bca8db91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FC</vt:lpstr>
      <vt:lpstr>Chart</vt:lpstr>
      <vt:lpstr>Data Input=&gt;</vt:lpstr>
      <vt:lpstr>Audited Balance Sheet Input</vt:lpstr>
      <vt:lpstr>Budget P&amp;L Input</vt:lpstr>
      <vt:lpstr>Audited FS</vt:lpstr>
      <vt:lpstr>Workpapers=&gt;</vt:lpstr>
      <vt:lpstr>1007</vt:lpstr>
      <vt:lpstr>1008</vt:lpstr>
      <vt:lpstr>2005-2</vt:lpstr>
      <vt:lpstr>2503</vt:lpstr>
      <vt:lpstr>4001</vt:lpstr>
      <vt:lpstr>4002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Shiraga</dc:creator>
  <cp:keywords/>
  <dc:description/>
  <cp:lastModifiedBy>Mike Roth</cp:lastModifiedBy>
  <cp:revision/>
  <dcterms:created xsi:type="dcterms:W3CDTF">1999-05-12T12:42:33Z</dcterms:created>
  <dcterms:modified xsi:type="dcterms:W3CDTF">2024-10-23T00:45:49Z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0x0101001ECA04A3458E1E4BB7881FA0A25FC8CB</vt:lpwstr>
  </property>
  <property fmtid="{D5CDD505-2E9C-101B-9397-08002B2CF9AE}" pid="3" name="MediaServiceImageTags">
    <vt:lpwstr/>
  </property>
</Properties>
</file>