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rawings/drawing3.xml" ContentType="application/vnd.openxmlformats-officedocument.drawing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sons365-my.sharepoint.com/personal/robert_leckie_parsons_com/Documents/Desktop/"/>
    </mc:Choice>
  </mc:AlternateContent>
  <xr:revisionPtr revIDLastSave="0" documentId="8_{395DB312-E39E-410C-BF34-7D8A4B358E9E}" xr6:coauthVersionLast="47" xr6:coauthVersionMax="47" xr10:uidLastSave="{00000000-0000-0000-0000-000000000000}"/>
  <bookViews>
    <workbookView xWindow="4540" yWindow="1040" windowWidth="8700" windowHeight="10160" xr2:uid="{EA89130E-8563-418F-A74C-1A6B75D06124}"/>
  </bookViews>
  <sheets>
    <sheet name="Assumpt" sheetId="2" r:id="rId1"/>
    <sheet name="Pricing details" sheetId="1" r:id="rId2"/>
    <sheet name="cash flow" sheetId="4" r:id="rId3"/>
    <sheet name="price submittal form" sheetId="7" r:id="rId4"/>
    <sheet name="Application Development" sheetId="3" r:id="rId5"/>
    <sheet name="infrastructureold" sheetId="6" state="hidden" r:id="rId6"/>
    <sheet name="infrastructure" sheetId="8" r:id="rId7"/>
    <sheet name="Tablet (PIF - BUS TEAM)" sheetId="9" r:id="rId8"/>
    <sheet name="DESKTOP (PIF)" sheetId="10" r:id="rId9"/>
    <sheet name="DESKTOP (CIF)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1" localSheetId="6">#REF!</definedName>
    <definedName name="_1" localSheetId="5">#REF!</definedName>
    <definedName name="_1">#REF!</definedName>
    <definedName name="_2" localSheetId="6">#REF!</definedName>
    <definedName name="_2" localSheetId="5">#REF!</definedName>
    <definedName name="_2">#REF!</definedName>
    <definedName name="_44" localSheetId="6">#REF!</definedName>
    <definedName name="_44" localSheetId="5">#REF!</definedName>
    <definedName name="_44">#REF!</definedName>
    <definedName name="_Fill" hidden="1">#REF!</definedName>
    <definedName name="_xlnm._FilterDatabase" localSheetId="6" hidden="1">infrastructure!$A$4:$AI$76</definedName>
    <definedName name="_Key1" hidden="1">'[1]CM ODCs'!$B$16</definedName>
    <definedName name="_Order1" hidden="1">255</definedName>
    <definedName name="_Sort" hidden="1">'[1]CM ODCs'!$B$16:$B$44</definedName>
    <definedName name="a" localSheetId="6">#REF!</definedName>
    <definedName name="a" localSheetId="5">#REF!</definedName>
    <definedName name="a">#REF!</definedName>
    <definedName name="aa" localSheetId="6">#REF!</definedName>
    <definedName name="aa" localSheetId="5">#REF!</definedName>
    <definedName name="aa">#REF!</definedName>
    <definedName name="aaa" localSheetId="6">#REF!</definedName>
    <definedName name="aaa" localSheetId="5">#REF!</definedName>
    <definedName name="aaa">#REF!</definedName>
    <definedName name="aaaa">#REF!</definedName>
    <definedName name="APP">#REF!</definedName>
    <definedName name="b">#REF!</definedName>
    <definedName name="bb">#REF!</definedName>
    <definedName name="c_">#REF!</definedName>
    <definedName name="cc">#REF!</definedName>
    <definedName name="d">#REF!</definedName>
    <definedName name="dd">#REF!</definedName>
    <definedName name="e">#REF!</definedName>
    <definedName name="f">#REF!</definedName>
    <definedName name="ff">#REF!</definedName>
    <definedName name="fin" localSheetId="0">[2]CashFlow!#REF!</definedName>
    <definedName name="fin" localSheetId="5">[3]CashFlow!#REF!</definedName>
    <definedName name="fin">[4]CashFlow!#REF!</definedName>
    <definedName name="finn" localSheetId="0">[2]CashFlow!#REF!</definedName>
    <definedName name="finn" localSheetId="5">[3]CashFlow!#REF!</definedName>
    <definedName name="finn">[4]CashFlow!#REF!</definedName>
    <definedName name="g">Assumpt!$A$2:$W$84</definedName>
    <definedName name="h" localSheetId="6">#REF!</definedName>
    <definedName name="h" localSheetId="5">#REF!</definedName>
    <definedName name="h">#REF!</definedName>
    <definedName name="HD_VEH_POP_by_Phase_veh_power" localSheetId="6">#REF!</definedName>
    <definedName name="HD_VEH_POP_by_Phase_veh_power" localSheetId="5">#REF!</definedName>
    <definedName name="HD_VEH_POP_by_Phase_veh_power">#REF!</definedName>
    <definedName name="j" localSheetId="6">#REF!</definedName>
    <definedName name="j" localSheetId="5">#REF!</definedName>
    <definedName name="j">#REF!</definedName>
    <definedName name="m">#REF!</definedName>
    <definedName name="modelyear_inspected_by_year">#REF!</definedName>
    <definedName name="nn">#REF!</definedName>
    <definedName name="_xlnm.Print_Area" localSheetId="0">Assumpt!$A$1:$O$84</definedName>
    <definedName name="_xlnm.Print_Titles" localSheetId="3">'price submittal form'!$1:$3</definedName>
    <definedName name="PTSum" localSheetId="6">[5]Summary!#REF!</definedName>
    <definedName name="PTSum" localSheetId="5">[5]Summary!#REF!</definedName>
    <definedName name="PTSum">[5]Summary!#REF!</definedName>
    <definedName name="rate">'[6]IT Hours'!$K$3:$L$6</definedName>
    <definedName name="Rate1">'[6]IT Hours'!$L$3:$M$6</definedName>
    <definedName name="rates">[7]Sheet1!$A$72:$D$78</definedName>
    <definedName name="rgData" localSheetId="6">#REF!</definedName>
    <definedName name="rgData" localSheetId="5">#REF!</definedName>
    <definedName name="rgData">#REF!</definedName>
    <definedName name="rgDataDate" localSheetId="6">#REF!</definedName>
    <definedName name="rgDataDate" localSheetId="5">#REF!</definedName>
    <definedName name="rgDataDate">#REF!</definedName>
    <definedName name="rgDtlSheet" localSheetId="6">#REF!</definedName>
    <definedName name="rgDtlSheet" localSheetId="5">#REF!</definedName>
    <definedName name="rgDtlSheet">#REF!</definedName>
    <definedName name="rgDtlSheet2">#REF!</definedName>
    <definedName name="rgFirstDataColumn">#REF!</definedName>
    <definedName name="rgFirstDataRow">#REF!</definedName>
    <definedName name="rgFormatRow">#REF!</definedName>
    <definedName name="rgPTSheet">#REF!</definedName>
    <definedName name="rgReportSheet">#REF!</definedName>
    <definedName name="rgSumSheet">#REF!</definedName>
    <definedName name="rgWorkBookName">#REF!</definedName>
    <definedName name="vv">#REF!</definedName>
    <definedName name="wrn.All._.Divisions." localSheetId="4" hidden="1">{#N/A,#N/A,TRUE,"DIV1";#N/A,#N/A,TRUE,"DIV2";#N/A,#N/A,TRUE,"DIV3";#N/A,#N/A,TRUE,"DIV4";#N/A,#N/A,TRUE,"DIV5";#N/A,#N/A,TRUE,"DIV6";#N/A,#N/A,TRUE,"DIV7";#N/A,#N/A,TRUE,"DIV8";#N/A,#N/A,TRUE,"DIV9";#N/A,#N/A,TRUE,"DIV10";#N/A,#N/A,TRUE,"DIV11";#N/A,#N/A,TRUE,"DIV12";#N/A,#N/A,TRUE,"DIV13";#N/A,#N/A,TRUE,"DIV14";#N/A,#N/A,TRUE,"DIV15a";#N/A,#N/A,TRUE,"DIV15b";#N/A,#N/A,TRUE,"DIV15c";#N/A,#N/A,TRUE,"DIV15d";#N/A,#N/A,TRUE,"DIV16a";#N/A,#N/A,TRUE,"DIV16b";#N/A,#N/A,TRUE,"DIV16c"}</definedName>
    <definedName name="wrn.All._.Divisions." localSheetId="0" hidden="1">{#N/A,#N/A,TRUE,"DIV1";#N/A,#N/A,TRUE,"DIV2";#N/A,#N/A,TRUE,"DIV3";#N/A,#N/A,TRUE,"DIV4";#N/A,#N/A,TRUE,"DIV5";#N/A,#N/A,TRUE,"DIV6";#N/A,#N/A,TRUE,"DIV7";#N/A,#N/A,TRUE,"DIV8";#N/A,#N/A,TRUE,"DIV9";#N/A,#N/A,TRUE,"DIV10";#N/A,#N/A,TRUE,"DIV11";#N/A,#N/A,TRUE,"DIV12";#N/A,#N/A,TRUE,"DIV13";#N/A,#N/A,TRUE,"DIV14";#N/A,#N/A,TRUE,"DIV15a";#N/A,#N/A,TRUE,"DIV15b";#N/A,#N/A,TRUE,"DIV15c";#N/A,#N/A,TRUE,"DIV15d";#N/A,#N/A,TRUE,"DIV16a";#N/A,#N/A,TRUE,"DIV16b";#N/A,#N/A,TRUE,"DIV16c"}</definedName>
    <definedName name="wrn.All._.Divisions." localSheetId="6" hidden="1">{#N/A,#N/A,TRUE,"DIV1";#N/A,#N/A,TRUE,"DIV2";#N/A,#N/A,TRUE,"DIV3";#N/A,#N/A,TRUE,"DIV4";#N/A,#N/A,TRUE,"DIV5";#N/A,#N/A,TRUE,"DIV6";#N/A,#N/A,TRUE,"DIV7";#N/A,#N/A,TRUE,"DIV8";#N/A,#N/A,TRUE,"DIV9";#N/A,#N/A,TRUE,"DIV10";#N/A,#N/A,TRUE,"DIV11";#N/A,#N/A,TRUE,"DIV12";#N/A,#N/A,TRUE,"DIV13";#N/A,#N/A,TRUE,"DIV14";#N/A,#N/A,TRUE,"DIV15a";#N/A,#N/A,TRUE,"DIV15b";#N/A,#N/A,TRUE,"DIV15c";#N/A,#N/A,TRUE,"DIV15d";#N/A,#N/A,TRUE,"DIV16a";#N/A,#N/A,TRUE,"DIV16b";#N/A,#N/A,TRUE,"DIV16c"}</definedName>
    <definedName name="wrn.All._.Divisions." localSheetId="5" hidden="1">{#N/A,#N/A,TRUE,"DIV1";#N/A,#N/A,TRUE,"DIV2";#N/A,#N/A,TRUE,"DIV3";#N/A,#N/A,TRUE,"DIV4";#N/A,#N/A,TRUE,"DIV5";#N/A,#N/A,TRUE,"DIV6";#N/A,#N/A,TRUE,"DIV7";#N/A,#N/A,TRUE,"DIV8";#N/A,#N/A,TRUE,"DIV9";#N/A,#N/A,TRUE,"DIV10";#N/A,#N/A,TRUE,"DIV11";#N/A,#N/A,TRUE,"DIV12";#N/A,#N/A,TRUE,"DIV13";#N/A,#N/A,TRUE,"DIV14";#N/A,#N/A,TRUE,"DIV15a";#N/A,#N/A,TRUE,"DIV15b";#N/A,#N/A,TRUE,"DIV15c";#N/A,#N/A,TRUE,"DIV15d";#N/A,#N/A,TRUE,"DIV16a";#N/A,#N/A,TRUE,"DIV16b";#N/A,#N/A,TRUE,"DIV16c"}</definedName>
    <definedName name="wrn.All._.Divisions." hidden="1">{#N/A,#N/A,TRUE,"DIV1";#N/A,#N/A,TRUE,"DIV2";#N/A,#N/A,TRUE,"DIV3";#N/A,#N/A,TRUE,"DIV4";#N/A,#N/A,TRUE,"DIV5";#N/A,#N/A,TRUE,"DIV6";#N/A,#N/A,TRUE,"DIV7";#N/A,#N/A,TRUE,"DIV8";#N/A,#N/A,TRUE,"DIV9";#N/A,#N/A,TRUE,"DIV10";#N/A,#N/A,TRUE,"DIV11";#N/A,#N/A,TRUE,"DIV12";#N/A,#N/A,TRUE,"DIV13";#N/A,#N/A,TRUE,"DIV14";#N/A,#N/A,TRUE,"DIV15a";#N/A,#N/A,TRUE,"DIV15b";#N/A,#N/A,TRUE,"DIV15c";#N/A,#N/A,TRUE,"DIV15d";#N/A,#N/A,TRUE,"DIV16a";#N/A,#N/A,TRUE,"DIV16b";#N/A,#N/A,TRUE,"DIV16c"}</definedName>
    <definedName name="wrn.PCS." localSheetId="4" hidden="1">{#N/A,#N/A,FALSE,"Summary";#N/A,#N/A,FALSE,"Title 1";#N/A,#N/A,FALSE,"Title 2";#N/A,#N/A,FALSE,"Title 3"}</definedName>
    <definedName name="wrn.PCS." localSheetId="0" hidden="1">{#N/A,#N/A,FALSE,"Summary";#N/A,#N/A,FALSE,"Title 1";#N/A,#N/A,FALSE,"Title 2";#N/A,#N/A,FALSE,"Title 3"}</definedName>
    <definedName name="wrn.PCS." localSheetId="6" hidden="1">{#N/A,#N/A,FALSE,"Summary";#N/A,#N/A,FALSE,"Title 1";#N/A,#N/A,FALSE,"Title 2";#N/A,#N/A,FALSE,"Title 3"}</definedName>
    <definedName name="wrn.PCS." localSheetId="5" hidden="1">{#N/A,#N/A,FALSE,"Summary";#N/A,#N/A,FALSE,"Title 1";#N/A,#N/A,FALSE,"Title 2";#N/A,#N/A,FALSE,"Title 3"}</definedName>
    <definedName name="wrn.PCS." hidden="1">{#N/A,#N/A,FALSE,"Summary";#N/A,#N/A,FALSE,"Title 1";#N/A,#N/A,FALSE,"Title 2";#N/A,#N/A,FALSE,"Title 3"}</definedName>
    <definedName name="wrn.Summary." localSheetId="4" hidden="1">{#N/A,#N/A,TRUE,"summary"}</definedName>
    <definedName name="wrn.Summary." localSheetId="0" hidden="1">{#N/A,#N/A,TRUE,"summary"}</definedName>
    <definedName name="wrn.Summary." localSheetId="6" hidden="1">{#N/A,#N/A,TRUE,"summary"}</definedName>
    <definedName name="wrn.Summary." localSheetId="5" hidden="1">{#N/A,#N/A,TRUE,"summary"}</definedName>
    <definedName name="wrn.Summary." hidden="1">{#N/A,#N/A,TRUE,"summary"}</definedName>
    <definedName name="z" localSheetId="6">#REF!</definedName>
    <definedName name="z" localSheetId="5">#REF!</definedName>
    <definedName name="z">#REF!</definedName>
    <definedName name="zz" localSheetId="6">#REF!</definedName>
    <definedName name="zz" localSheetId="5">#REF!</definedName>
    <definedName name="zz">#REF!</definedName>
    <definedName name="zzz" localSheetId="6">#REF!</definedName>
    <definedName name="zzz" localSheetId="5">#REF!</definedName>
    <definedName name="zzz">#REF!</definedName>
    <definedName name="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O80" i="1" l="1"/>
  <c r="AP80" i="1" s="1"/>
  <c r="AQ80" i="1" s="1"/>
  <c r="AR80" i="1" s="1"/>
  <c r="AO53" i="1"/>
  <c r="AP53" i="1" s="1"/>
  <c r="AQ53" i="1" s="1"/>
  <c r="AR53" i="1" s="1"/>
  <c r="AN79" i="1" l="1"/>
  <c r="AO79" i="1" s="1"/>
  <c r="AM79" i="1"/>
  <c r="G14" i="11" l="1"/>
  <c r="G13" i="11"/>
  <c r="G12" i="11"/>
  <c r="G11" i="11"/>
  <c r="G10" i="11"/>
  <c r="G9" i="11"/>
  <c r="G8" i="11"/>
  <c r="G7" i="11"/>
  <c r="G6" i="11"/>
  <c r="G5" i="11"/>
  <c r="G4" i="11"/>
  <c r="G3" i="11"/>
  <c r="E20" i="10"/>
  <c r="M109" i="1" s="1"/>
  <c r="E19" i="10"/>
  <c r="G19" i="10" s="1"/>
  <c r="E18" i="10"/>
  <c r="G18" i="10" s="1"/>
  <c r="E17" i="10"/>
  <c r="G17" i="10" s="1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D20" i="9"/>
  <c r="D21" i="9" s="1"/>
  <c r="D22" i="9" s="1"/>
  <c r="D18" i="9"/>
  <c r="E18" i="9" s="1"/>
  <c r="G18" i="9" s="1"/>
  <c r="D17" i="9"/>
  <c r="E17" i="9" s="1"/>
  <c r="G17" i="9" s="1"/>
  <c r="D16" i="9"/>
  <c r="E16" i="9" s="1"/>
  <c r="D15" i="9"/>
  <c r="E15" i="9" s="1"/>
  <c r="F12" i="9"/>
  <c r="F11" i="9"/>
  <c r="F10" i="9"/>
  <c r="F9" i="9"/>
  <c r="F8" i="9"/>
  <c r="F7" i="9"/>
  <c r="F6" i="9"/>
  <c r="F5" i="9"/>
  <c r="F4" i="9"/>
  <c r="F3" i="9"/>
  <c r="F21" i="10" l="1"/>
  <c r="F22" i="10" s="1"/>
  <c r="F23" i="10" s="1"/>
  <c r="M99" i="1"/>
  <c r="G20" i="10"/>
  <c r="M115" i="1"/>
  <c r="G15" i="11"/>
  <c r="M97" i="1"/>
  <c r="M108" i="1"/>
  <c r="AM108" i="1" s="1"/>
  <c r="AS108" i="1" s="1"/>
  <c r="AZ108" i="1" s="1"/>
  <c r="BC108" i="1"/>
  <c r="AY108" i="1"/>
  <c r="H108" i="1"/>
  <c r="G16" i="11" l="1"/>
  <c r="M107" i="1"/>
  <c r="AN49" i="1" l="1"/>
  <c r="AO49" i="1" s="1"/>
  <c r="AN18" i="1"/>
  <c r="AM18" i="1"/>
  <c r="BC14" i="1" l="1"/>
  <c r="BC17" i="1"/>
  <c r="BC22" i="1"/>
  <c r="BC23" i="1"/>
  <c r="BC24" i="1"/>
  <c r="BC25" i="1"/>
  <c r="BC28" i="1"/>
  <c r="BC29" i="1"/>
  <c r="BC30" i="1"/>
  <c r="BC31" i="1"/>
  <c r="BC36" i="1"/>
  <c r="BC37" i="1"/>
  <c r="BC38" i="1"/>
  <c r="BC95" i="1"/>
  <c r="BC96" i="1"/>
  <c r="BC97" i="1"/>
  <c r="BC98" i="1"/>
  <c r="BC101" i="1"/>
  <c r="BC102" i="1"/>
  <c r="BC103" i="1"/>
  <c r="BC104" i="1"/>
  <c r="BC105" i="1"/>
  <c r="BC106" i="1"/>
  <c r="BC107" i="1"/>
  <c r="BC109" i="1"/>
  <c r="BC110" i="1"/>
  <c r="BC113" i="1"/>
  <c r="BC115" i="1"/>
  <c r="BC116" i="1"/>
  <c r="BC117" i="1"/>
  <c r="BC118" i="1"/>
  <c r="BC119" i="1"/>
  <c r="BC120" i="1"/>
  <c r="BC121" i="1"/>
  <c r="Z44" i="4"/>
  <c r="Z41" i="4"/>
  <c r="AM19" i="1"/>
  <c r="AM50" i="1"/>
  <c r="M6" i="8" l="1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5" i="8"/>
  <c r="AB76" i="8"/>
  <c r="S76" i="8"/>
  <c r="R76" i="8"/>
  <c r="P76" i="8"/>
  <c r="AB75" i="8"/>
  <c r="R75" i="8"/>
  <c r="T75" i="8" s="1"/>
  <c r="AB74" i="8"/>
  <c r="R74" i="8"/>
  <c r="T74" i="8" s="1"/>
  <c r="W74" i="8" s="1"/>
  <c r="X74" i="8" s="1"/>
  <c r="Y74" i="8" s="1"/>
  <c r="Z74" i="8" s="1"/>
  <c r="AA74" i="8" s="1"/>
  <c r="P74" i="8"/>
  <c r="AB73" i="8"/>
  <c r="R73" i="8"/>
  <c r="T73" i="8" s="1"/>
  <c r="W73" i="8" s="1"/>
  <c r="X73" i="8" s="1"/>
  <c r="Y73" i="8" s="1"/>
  <c r="Z73" i="8" s="1"/>
  <c r="AA73" i="8" s="1"/>
  <c r="P73" i="8"/>
  <c r="AB72" i="8"/>
  <c r="S72" i="8"/>
  <c r="R72" i="8"/>
  <c r="P72" i="8"/>
  <c r="AB71" i="8"/>
  <c r="S71" i="8"/>
  <c r="R71" i="8"/>
  <c r="P71" i="8"/>
  <c r="AB70" i="8"/>
  <c r="S70" i="8"/>
  <c r="R70" i="8"/>
  <c r="P70" i="8"/>
  <c r="AB69" i="8"/>
  <c r="S69" i="8"/>
  <c r="R69" i="8"/>
  <c r="P69" i="8"/>
  <c r="AB68" i="8"/>
  <c r="S68" i="8"/>
  <c r="T68" i="8" s="1"/>
  <c r="P68" i="8"/>
  <c r="S67" i="8"/>
  <c r="T67" i="8" s="1"/>
  <c r="W67" i="8" s="1"/>
  <c r="X67" i="8" s="1"/>
  <c r="Y67" i="8" s="1"/>
  <c r="Z67" i="8" s="1"/>
  <c r="AA67" i="8" s="1"/>
  <c r="P67" i="8"/>
  <c r="AB67" i="8" s="1"/>
  <c r="S66" i="8"/>
  <c r="R66" i="8"/>
  <c r="P66" i="8"/>
  <c r="T65" i="8"/>
  <c r="W65" i="8" s="1"/>
  <c r="X65" i="8" s="1"/>
  <c r="Y65" i="8" s="1"/>
  <c r="Z65" i="8" s="1"/>
  <c r="AA65" i="8" s="1"/>
  <c r="P65" i="8"/>
  <c r="AB65" i="8" s="1"/>
  <c r="S64" i="8"/>
  <c r="R64" i="8"/>
  <c r="P64" i="8"/>
  <c r="S63" i="8"/>
  <c r="R63" i="8"/>
  <c r="P63" i="8"/>
  <c r="V63" i="8" s="1"/>
  <c r="S62" i="8"/>
  <c r="R62" i="8"/>
  <c r="P62" i="8"/>
  <c r="AB62" i="8" s="1"/>
  <c r="AB61" i="8"/>
  <c r="S61" i="8"/>
  <c r="R61" i="8"/>
  <c r="P61" i="8"/>
  <c r="V61" i="8" s="1"/>
  <c r="S60" i="8"/>
  <c r="R60" i="8"/>
  <c r="P60" i="8"/>
  <c r="V60" i="8" s="1"/>
  <c r="AB59" i="8"/>
  <c r="S59" i="8"/>
  <c r="R59" i="8"/>
  <c r="P59" i="8"/>
  <c r="AB58" i="8"/>
  <c r="S58" i="8"/>
  <c r="T58" i="8" s="1"/>
  <c r="P58" i="8"/>
  <c r="AB57" i="8"/>
  <c r="T57" i="8"/>
  <c r="W57" i="8" s="1"/>
  <c r="X57" i="8" s="1"/>
  <c r="Y57" i="8" s="1"/>
  <c r="Z57" i="8" s="1"/>
  <c r="AA57" i="8" s="1"/>
  <c r="P57" i="8"/>
  <c r="AB56" i="8"/>
  <c r="S56" i="8"/>
  <c r="R56" i="8"/>
  <c r="P56" i="8"/>
  <c r="AB55" i="8"/>
  <c r="R55" i="8"/>
  <c r="T55" i="8" s="1"/>
  <c r="W55" i="8" s="1"/>
  <c r="X55" i="8" s="1"/>
  <c r="Y55" i="8" s="1"/>
  <c r="Z55" i="8" s="1"/>
  <c r="AA55" i="8" s="1"/>
  <c r="P55" i="8"/>
  <c r="AB54" i="8"/>
  <c r="S54" i="8"/>
  <c r="R54" i="8"/>
  <c r="P54" i="8"/>
  <c r="AB53" i="8"/>
  <c r="S53" i="8"/>
  <c r="R53" i="8"/>
  <c r="P53" i="8"/>
  <c r="AB52" i="8"/>
  <c r="S52" i="8"/>
  <c r="R52" i="8"/>
  <c r="P52" i="8"/>
  <c r="AB51" i="8"/>
  <c r="S51" i="8"/>
  <c r="R51" i="8"/>
  <c r="P51" i="8"/>
  <c r="AB50" i="8"/>
  <c r="R50" i="8"/>
  <c r="T50" i="8" s="1"/>
  <c r="W50" i="8" s="1"/>
  <c r="X50" i="8" s="1"/>
  <c r="Y50" i="8" s="1"/>
  <c r="Z50" i="8" s="1"/>
  <c r="AA50" i="8" s="1"/>
  <c r="P50" i="8"/>
  <c r="AB49" i="8"/>
  <c r="T49" i="8"/>
  <c r="W49" i="8" s="1"/>
  <c r="X49" i="8" s="1"/>
  <c r="Y49" i="8" s="1"/>
  <c r="Z49" i="8" s="1"/>
  <c r="AA49" i="8" s="1"/>
  <c r="S49" i="8"/>
  <c r="P49" i="8"/>
  <c r="AB48" i="8"/>
  <c r="T48" i="8"/>
  <c r="W48" i="8" s="1"/>
  <c r="X48" i="8" s="1"/>
  <c r="Y48" i="8" s="1"/>
  <c r="Z48" i="8" s="1"/>
  <c r="AA48" i="8" s="1"/>
  <c r="P48" i="8"/>
  <c r="AB47" i="8"/>
  <c r="R47" i="8"/>
  <c r="T47" i="8" s="1"/>
  <c r="W47" i="8" s="1"/>
  <c r="X47" i="8" s="1"/>
  <c r="Y47" i="8" s="1"/>
  <c r="Z47" i="8" s="1"/>
  <c r="AA47" i="8" s="1"/>
  <c r="P47" i="8"/>
  <c r="AB46" i="8"/>
  <c r="T46" i="8"/>
  <c r="P46" i="8"/>
  <c r="AB45" i="8"/>
  <c r="T45" i="8"/>
  <c r="P45" i="8"/>
  <c r="AB44" i="8"/>
  <c r="T44" i="8"/>
  <c r="P44" i="8"/>
  <c r="AB43" i="8"/>
  <c r="S43" i="8"/>
  <c r="T43" i="8" s="1"/>
  <c r="W43" i="8" s="1"/>
  <c r="X43" i="8" s="1"/>
  <c r="Y43" i="8" s="1"/>
  <c r="Z43" i="8" s="1"/>
  <c r="AA43" i="8" s="1"/>
  <c r="P43" i="8"/>
  <c r="AB42" i="8"/>
  <c r="S42" i="8"/>
  <c r="T42" i="8" s="1"/>
  <c r="W42" i="8" s="1"/>
  <c r="X42" i="8" s="1"/>
  <c r="Y42" i="8" s="1"/>
  <c r="Z42" i="8" s="1"/>
  <c r="AA42" i="8" s="1"/>
  <c r="P42" i="8"/>
  <c r="AB41" i="8"/>
  <c r="T41" i="8"/>
  <c r="W41" i="8" s="1"/>
  <c r="X41" i="8" s="1"/>
  <c r="Y41" i="8" s="1"/>
  <c r="Z41" i="8" s="1"/>
  <c r="AA41" i="8" s="1"/>
  <c r="P41" i="8"/>
  <c r="AB40" i="8"/>
  <c r="S40" i="8"/>
  <c r="R40" i="8"/>
  <c r="P40" i="8"/>
  <c r="AB39" i="8"/>
  <c r="S39" i="8"/>
  <c r="R39" i="8"/>
  <c r="P39" i="8"/>
  <c r="AB38" i="8"/>
  <c r="S38" i="8"/>
  <c r="R38" i="8"/>
  <c r="P38" i="8"/>
  <c r="AB37" i="8"/>
  <c r="S37" i="8"/>
  <c r="R37" i="8"/>
  <c r="P37" i="8"/>
  <c r="AB36" i="8"/>
  <c r="S36" i="8"/>
  <c r="R36" i="8"/>
  <c r="P36" i="8"/>
  <c r="AB35" i="8"/>
  <c r="R35" i="8"/>
  <c r="T35" i="8" s="1"/>
  <c r="X35" i="8" s="1"/>
  <c r="Y35" i="8" s="1"/>
  <c r="Z35" i="8" s="1"/>
  <c r="AA35" i="8" s="1"/>
  <c r="P35" i="8"/>
  <c r="V35" i="8" s="1"/>
  <c r="S34" i="8"/>
  <c r="R34" i="8"/>
  <c r="P34" i="8"/>
  <c r="AB34" i="8" s="1"/>
  <c r="AB33" i="8"/>
  <c r="S33" i="8"/>
  <c r="R33" i="8"/>
  <c r="P33" i="8"/>
  <c r="S32" i="8"/>
  <c r="R32" i="8"/>
  <c r="P32" i="8"/>
  <c r="AB32" i="8" s="1"/>
  <c r="S31" i="8"/>
  <c r="R31" i="8"/>
  <c r="P31" i="8"/>
  <c r="S30" i="8"/>
  <c r="R30" i="8"/>
  <c r="P30" i="8"/>
  <c r="AB30" i="8" s="1"/>
  <c r="S29" i="8"/>
  <c r="R29" i="8"/>
  <c r="P29" i="8"/>
  <c r="AB28" i="8"/>
  <c r="S28" i="8"/>
  <c r="R28" i="8"/>
  <c r="P28" i="8"/>
  <c r="V28" i="8" s="1"/>
  <c r="S27" i="8"/>
  <c r="R27" i="8"/>
  <c r="P27" i="8"/>
  <c r="AB27" i="8" s="1"/>
  <c r="S26" i="8"/>
  <c r="R26" i="8"/>
  <c r="P26" i="8"/>
  <c r="AB26" i="8" s="1"/>
  <c r="S25" i="8"/>
  <c r="R25" i="8"/>
  <c r="P25" i="8"/>
  <c r="AB25" i="8" s="1"/>
  <c r="S24" i="8"/>
  <c r="R24" i="8"/>
  <c r="P24" i="8"/>
  <c r="V24" i="8" s="1"/>
  <c r="AB23" i="8"/>
  <c r="R23" i="8"/>
  <c r="T23" i="8" s="1"/>
  <c r="P23" i="8"/>
  <c r="AB22" i="8"/>
  <c r="R22" i="8"/>
  <c r="T22" i="8" s="1"/>
  <c r="W22" i="8" s="1"/>
  <c r="X22" i="8" s="1"/>
  <c r="Y22" i="8" s="1"/>
  <c r="Z22" i="8" s="1"/>
  <c r="AA22" i="8" s="1"/>
  <c r="P22" i="8"/>
  <c r="AB21" i="8"/>
  <c r="R21" i="8"/>
  <c r="T21" i="8" s="1"/>
  <c r="P21" i="8"/>
  <c r="AB20" i="8"/>
  <c r="R20" i="8"/>
  <c r="T20" i="8" s="1"/>
  <c r="W20" i="8" s="1"/>
  <c r="X20" i="8" s="1"/>
  <c r="Y20" i="8" s="1"/>
  <c r="Z20" i="8" s="1"/>
  <c r="AA20" i="8" s="1"/>
  <c r="P20" i="8"/>
  <c r="AB19" i="8"/>
  <c r="R19" i="8"/>
  <c r="T19" i="8" s="1"/>
  <c r="W19" i="8" s="1"/>
  <c r="X19" i="8" s="1"/>
  <c r="Y19" i="8" s="1"/>
  <c r="Z19" i="8" s="1"/>
  <c r="AA19" i="8" s="1"/>
  <c r="P19" i="8"/>
  <c r="R18" i="8"/>
  <c r="T18" i="8" s="1"/>
  <c r="P18" i="8"/>
  <c r="A18" i="8"/>
  <c r="AB17" i="8"/>
  <c r="R17" i="8"/>
  <c r="T17" i="8" s="1"/>
  <c r="W17" i="8" s="1"/>
  <c r="X17" i="8" s="1"/>
  <c r="Y17" i="8" s="1"/>
  <c r="Z17" i="8" s="1"/>
  <c r="AA17" i="8" s="1"/>
  <c r="P17" i="8"/>
  <c r="AB16" i="8"/>
  <c r="AB88" i="8" s="1"/>
  <c r="R16" i="8"/>
  <c r="T16" i="8" s="1"/>
  <c r="P16" i="8"/>
  <c r="P88" i="8" s="1"/>
  <c r="AB15" i="8"/>
  <c r="R15" i="8"/>
  <c r="T15" i="8" s="1"/>
  <c r="W15" i="8" s="1"/>
  <c r="X15" i="8" s="1"/>
  <c r="Y15" i="8" s="1"/>
  <c r="Z15" i="8" s="1"/>
  <c r="AA15" i="8" s="1"/>
  <c r="P15" i="8"/>
  <c r="AB14" i="8"/>
  <c r="R14" i="8"/>
  <c r="T14" i="8" s="1"/>
  <c r="W14" i="8" s="1"/>
  <c r="X14" i="8" s="1"/>
  <c r="Y14" i="8" s="1"/>
  <c r="Z14" i="8" s="1"/>
  <c r="AA14" i="8" s="1"/>
  <c r="P14" i="8"/>
  <c r="AB13" i="8"/>
  <c r="R13" i="8"/>
  <c r="T13" i="8" s="1"/>
  <c r="W13" i="8" s="1"/>
  <c r="X13" i="8" s="1"/>
  <c r="Y13" i="8" s="1"/>
  <c r="Z13" i="8" s="1"/>
  <c r="AA13" i="8" s="1"/>
  <c r="P13" i="8"/>
  <c r="AB12" i="8"/>
  <c r="R12" i="8"/>
  <c r="T12" i="8" s="1"/>
  <c r="P12" i="8"/>
  <c r="AB11" i="8"/>
  <c r="R11" i="8"/>
  <c r="T11" i="8" s="1"/>
  <c r="W11" i="8" s="1"/>
  <c r="X11" i="8" s="1"/>
  <c r="Y11" i="8" s="1"/>
  <c r="Z11" i="8" s="1"/>
  <c r="AA11" i="8" s="1"/>
  <c r="P11" i="8"/>
  <c r="AB10" i="8"/>
  <c r="R10" i="8"/>
  <c r="T10" i="8" s="1"/>
  <c r="W10" i="8" s="1"/>
  <c r="X10" i="8" s="1"/>
  <c r="Y10" i="8" s="1"/>
  <c r="Z10" i="8" s="1"/>
  <c r="AA10" i="8" s="1"/>
  <c r="P10" i="8"/>
  <c r="AB9" i="8"/>
  <c r="R9" i="8"/>
  <c r="T9" i="8" s="1"/>
  <c r="W9" i="8" s="1"/>
  <c r="X9" i="8" s="1"/>
  <c r="Y9" i="8" s="1"/>
  <c r="Z9" i="8" s="1"/>
  <c r="AA9" i="8" s="1"/>
  <c r="P9" i="8"/>
  <c r="AB8" i="8"/>
  <c r="T8" i="8"/>
  <c r="W8" i="8" s="1"/>
  <c r="X8" i="8" s="1"/>
  <c r="Y8" i="8" s="1"/>
  <c r="Z8" i="8" s="1"/>
  <c r="P8" i="8"/>
  <c r="AB7" i="8"/>
  <c r="R7" i="8"/>
  <c r="S7" i="8" s="1"/>
  <c r="T7" i="8" s="1"/>
  <c r="P7" i="8"/>
  <c r="AB6" i="8"/>
  <c r="R6" i="8"/>
  <c r="S6" i="8" s="1"/>
  <c r="T6" i="8" s="1"/>
  <c r="W6" i="8" s="1"/>
  <c r="X6" i="8" s="1"/>
  <c r="Y6" i="8" s="1"/>
  <c r="Z6" i="8" s="1"/>
  <c r="AC6" i="8" s="1"/>
  <c r="P6" i="8"/>
  <c r="AB5" i="8"/>
  <c r="R5" i="8"/>
  <c r="S5" i="8" s="1"/>
  <c r="T5" i="8" s="1"/>
  <c r="P5" i="8"/>
  <c r="T69" i="8" l="1"/>
  <c r="W69" i="8" s="1"/>
  <c r="X69" i="8" s="1"/>
  <c r="Y69" i="8" s="1"/>
  <c r="Z69" i="8" s="1"/>
  <c r="AA69" i="8" s="1"/>
  <c r="A69" i="8" s="1"/>
  <c r="AB87" i="8"/>
  <c r="T36" i="8"/>
  <c r="W36" i="8" s="1"/>
  <c r="X36" i="8" s="1"/>
  <c r="Y36" i="8" s="1"/>
  <c r="Z36" i="8" s="1"/>
  <c r="AA36" i="8" s="1"/>
  <c r="AC36" i="8" s="1"/>
  <c r="AD36" i="8" s="1"/>
  <c r="AE36" i="8" s="1"/>
  <c r="AF36" i="8" s="1"/>
  <c r="AG36" i="8" s="1"/>
  <c r="AH36" i="8" s="1"/>
  <c r="T37" i="8"/>
  <c r="W37" i="8" s="1"/>
  <c r="X37" i="8" s="1"/>
  <c r="Y37" i="8" s="1"/>
  <c r="Z37" i="8" s="1"/>
  <c r="AA37" i="8" s="1"/>
  <c r="P86" i="8"/>
  <c r="W16" i="8"/>
  <c r="T88" i="8"/>
  <c r="P87" i="8"/>
  <c r="T87" i="8"/>
  <c r="T26" i="8"/>
  <c r="W26" i="8" s="1"/>
  <c r="X26" i="8" s="1"/>
  <c r="Y26" i="8" s="1"/>
  <c r="Z26" i="8" s="1"/>
  <c r="AA26" i="8" s="1"/>
  <c r="AC26" i="8" s="1"/>
  <c r="AD26" i="8" s="1"/>
  <c r="AE26" i="8" s="1"/>
  <c r="AF26" i="8" s="1"/>
  <c r="AG26" i="8" s="1"/>
  <c r="AH26" i="8" s="1"/>
  <c r="V14" i="8"/>
  <c r="T39" i="8"/>
  <c r="W39" i="8" s="1"/>
  <c r="X39" i="8" s="1"/>
  <c r="Y39" i="8" s="1"/>
  <c r="Z39" i="8" s="1"/>
  <c r="AA39" i="8" s="1"/>
  <c r="A39" i="8" s="1"/>
  <c r="V8" i="8"/>
  <c r="T31" i="8"/>
  <c r="W31" i="8" s="1"/>
  <c r="X31" i="8" s="1"/>
  <c r="Y31" i="8" s="1"/>
  <c r="Z31" i="8" s="1"/>
  <c r="AA31" i="8" s="1"/>
  <c r="A31" i="8" s="1"/>
  <c r="AC47" i="8"/>
  <c r="AD47" i="8" s="1"/>
  <c r="AE47" i="8" s="1"/>
  <c r="AF47" i="8" s="1"/>
  <c r="AG47" i="8" s="1"/>
  <c r="AH47" i="8" s="1"/>
  <c r="A47" i="8"/>
  <c r="V48" i="8"/>
  <c r="T70" i="8"/>
  <c r="W70" i="8" s="1"/>
  <c r="X70" i="8" s="1"/>
  <c r="Y70" i="8" s="1"/>
  <c r="Z70" i="8" s="1"/>
  <c r="AA70" i="8" s="1"/>
  <c r="AC70" i="8" s="1"/>
  <c r="AD70" i="8" s="1"/>
  <c r="AE70" i="8" s="1"/>
  <c r="AF70" i="8" s="1"/>
  <c r="AG70" i="8" s="1"/>
  <c r="AH70" i="8" s="1"/>
  <c r="AB63" i="8"/>
  <c r="T40" i="8"/>
  <c r="W40" i="8" s="1"/>
  <c r="X40" i="8" s="1"/>
  <c r="Y40" i="8" s="1"/>
  <c r="Z40" i="8" s="1"/>
  <c r="AA40" i="8" s="1"/>
  <c r="A40" i="8" s="1"/>
  <c r="T53" i="8"/>
  <c r="W53" i="8" s="1"/>
  <c r="X53" i="8" s="1"/>
  <c r="Y53" i="8" s="1"/>
  <c r="Z53" i="8" s="1"/>
  <c r="AA53" i="8" s="1"/>
  <c r="AC53" i="8" s="1"/>
  <c r="AD53" i="8" s="1"/>
  <c r="AE53" i="8" s="1"/>
  <c r="AF53" i="8" s="1"/>
  <c r="AG53" i="8" s="1"/>
  <c r="AH53" i="8" s="1"/>
  <c r="T76" i="8"/>
  <c r="W76" i="8" s="1"/>
  <c r="X76" i="8" s="1"/>
  <c r="Y76" i="8" s="1"/>
  <c r="Z76" i="8" s="1"/>
  <c r="AA76" i="8" s="1"/>
  <c r="A76" i="8" s="1"/>
  <c r="W7" i="8"/>
  <c r="V42" i="8"/>
  <c r="T66" i="8"/>
  <c r="W66" i="8" s="1"/>
  <c r="X66" i="8" s="1"/>
  <c r="Y66" i="8" s="1"/>
  <c r="Z66" i="8" s="1"/>
  <c r="AA66" i="8" s="1"/>
  <c r="AC66" i="8" s="1"/>
  <c r="AD66" i="8" s="1"/>
  <c r="AE66" i="8" s="1"/>
  <c r="AF66" i="8" s="1"/>
  <c r="AG66" i="8" s="1"/>
  <c r="AH66" i="8" s="1"/>
  <c r="V13" i="8"/>
  <c r="T64" i="8"/>
  <c r="W64" i="8" s="1"/>
  <c r="X64" i="8" s="1"/>
  <c r="Y64" i="8" s="1"/>
  <c r="Z64" i="8" s="1"/>
  <c r="AA64" i="8" s="1"/>
  <c r="A64" i="8" s="1"/>
  <c r="V43" i="8"/>
  <c r="V7" i="8"/>
  <c r="T25" i="8"/>
  <c r="W25" i="8" s="1"/>
  <c r="X25" i="8" s="1"/>
  <c r="Y25" i="8" s="1"/>
  <c r="Z25" i="8" s="1"/>
  <c r="AA25" i="8" s="1"/>
  <c r="A25" i="8" s="1"/>
  <c r="T30" i="8"/>
  <c r="W30" i="8" s="1"/>
  <c r="X30" i="8" s="1"/>
  <c r="Y30" i="8" s="1"/>
  <c r="Z30" i="8" s="1"/>
  <c r="AA30" i="8" s="1"/>
  <c r="AC30" i="8" s="1"/>
  <c r="AD30" i="8" s="1"/>
  <c r="AE30" i="8" s="1"/>
  <c r="AF30" i="8" s="1"/>
  <c r="AG30" i="8" s="1"/>
  <c r="AH30" i="8" s="1"/>
  <c r="V41" i="8"/>
  <c r="V45" i="8"/>
  <c r="V47" i="8"/>
  <c r="T51" i="8"/>
  <c r="W51" i="8" s="1"/>
  <c r="X51" i="8" s="1"/>
  <c r="Y51" i="8" s="1"/>
  <c r="Z51" i="8" s="1"/>
  <c r="AA51" i="8" s="1"/>
  <c r="A51" i="8" s="1"/>
  <c r="V55" i="8"/>
  <c r="V68" i="8"/>
  <c r="T72" i="8"/>
  <c r="V72" i="8" s="1"/>
  <c r="V21" i="8"/>
  <c r="T59" i="8"/>
  <c r="T61" i="8"/>
  <c r="W61" i="8" s="1"/>
  <c r="X61" i="8" s="1"/>
  <c r="Y61" i="8" s="1"/>
  <c r="Z61" i="8" s="1"/>
  <c r="AA61" i="8" s="1"/>
  <c r="AC61" i="8" s="1"/>
  <c r="AD61" i="8" s="1"/>
  <c r="AE61" i="8" s="1"/>
  <c r="AF61" i="8" s="1"/>
  <c r="AG61" i="8" s="1"/>
  <c r="AH61" i="8" s="1"/>
  <c r="A43" i="8"/>
  <c r="AC43" i="8"/>
  <c r="AD43" i="8" s="1"/>
  <c r="AE43" i="8" s="1"/>
  <c r="AF43" i="8" s="1"/>
  <c r="AG43" i="8" s="1"/>
  <c r="AH43" i="8" s="1"/>
  <c r="A20" i="8"/>
  <c r="AC20" i="8"/>
  <c r="AD20" i="8" s="1"/>
  <c r="AE20" i="8" s="1"/>
  <c r="AF20" i="8" s="1"/>
  <c r="AG20" i="8" s="1"/>
  <c r="AH20" i="8" s="1"/>
  <c r="A11" i="8"/>
  <c r="AC11" i="8"/>
  <c r="AD11" i="8" s="1"/>
  <c r="AE11" i="8" s="1"/>
  <c r="AF11" i="8" s="1"/>
  <c r="AG11" i="8" s="1"/>
  <c r="AH11" i="8" s="1"/>
  <c r="V9" i="8"/>
  <c r="V20" i="8"/>
  <c r="V51" i="8"/>
  <c r="V6" i="8"/>
  <c r="V11" i="8"/>
  <c r="V16" i="8"/>
  <c r="V88" i="8" s="1"/>
  <c r="W21" i="8"/>
  <c r="X21" i="8" s="1"/>
  <c r="Y21" i="8" s="1"/>
  <c r="Z21" i="8" s="1"/>
  <c r="AA21" i="8" s="1"/>
  <c r="AC21" i="8" s="1"/>
  <c r="AD21" i="8" s="1"/>
  <c r="AE21" i="8" s="1"/>
  <c r="AF21" i="8" s="1"/>
  <c r="AG21" i="8" s="1"/>
  <c r="AH21" i="8" s="1"/>
  <c r="T27" i="8"/>
  <c r="W27" i="8" s="1"/>
  <c r="X27" i="8" s="1"/>
  <c r="Y27" i="8" s="1"/>
  <c r="Z27" i="8" s="1"/>
  <c r="AA27" i="8" s="1"/>
  <c r="A27" i="8" s="1"/>
  <c r="T38" i="8"/>
  <c r="W38" i="8" s="1"/>
  <c r="X38" i="8" s="1"/>
  <c r="Y38" i="8" s="1"/>
  <c r="Z38" i="8" s="1"/>
  <c r="AA38" i="8" s="1"/>
  <c r="V65" i="8"/>
  <c r="V69" i="8"/>
  <c r="V18" i="8"/>
  <c r="T54" i="8"/>
  <c r="W54" i="8" s="1"/>
  <c r="X54" i="8" s="1"/>
  <c r="Y54" i="8" s="1"/>
  <c r="Z54" i="8" s="1"/>
  <c r="AA54" i="8" s="1"/>
  <c r="A54" i="8" s="1"/>
  <c r="T63" i="8"/>
  <c r="W63" i="8" s="1"/>
  <c r="X63" i="8" s="1"/>
  <c r="Y63" i="8" s="1"/>
  <c r="Z63" i="8" s="1"/>
  <c r="AA63" i="8" s="1"/>
  <c r="AC63" i="8" s="1"/>
  <c r="AD63" i="8" s="1"/>
  <c r="AE63" i="8" s="1"/>
  <c r="AF63" i="8" s="1"/>
  <c r="AG63" i="8" s="1"/>
  <c r="AH63" i="8" s="1"/>
  <c r="V15" i="8"/>
  <c r="AA6" i="8"/>
  <c r="A6" i="8" s="1"/>
  <c r="W18" i="8"/>
  <c r="T28" i="8"/>
  <c r="W28" i="8" s="1"/>
  <c r="X28" i="8" s="1"/>
  <c r="Y28" i="8" s="1"/>
  <c r="Z28" i="8" s="1"/>
  <c r="AA28" i="8" s="1"/>
  <c r="AC28" i="8" s="1"/>
  <c r="AD28" i="8" s="1"/>
  <c r="AE28" i="8" s="1"/>
  <c r="AF28" i="8" s="1"/>
  <c r="AG28" i="8" s="1"/>
  <c r="AH28" i="8" s="1"/>
  <c r="T56" i="8"/>
  <c r="W56" i="8" s="1"/>
  <c r="X56" i="8" s="1"/>
  <c r="Y56" i="8" s="1"/>
  <c r="Z56" i="8" s="1"/>
  <c r="AA56" i="8" s="1"/>
  <c r="A56" i="8" s="1"/>
  <c r="T60" i="8"/>
  <c r="W60" i="8" s="1"/>
  <c r="X60" i="8" s="1"/>
  <c r="Y60" i="8" s="1"/>
  <c r="Z60" i="8" s="1"/>
  <c r="AA60" i="8" s="1"/>
  <c r="A60" i="8" s="1"/>
  <c r="V74" i="8"/>
  <c r="AB60" i="8"/>
  <c r="V30" i="8"/>
  <c r="V57" i="8"/>
  <c r="T62" i="8"/>
  <c r="W62" i="8" s="1"/>
  <c r="X62" i="8" s="1"/>
  <c r="Y62" i="8" s="1"/>
  <c r="Z62" i="8" s="1"/>
  <c r="AA62" i="8" s="1"/>
  <c r="AC62" i="8" s="1"/>
  <c r="AD62" i="8" s="1"/>
  <c r="AE62" i="8" s="1"/>
  <c r="AF62" i="8" s="1"/>
  <c r="AG62" i="8" s="1"/>
  <c r="AH62" i="8" s="1"/>
  <c r="AB24" i="8"/>
  <c r="AB86" i="8" s="1"/>
  <c r="AB89" i="8" s="1"/>
  <c r="T29" i="8"/>
  <c r="W29" i="8" s="1"/>
  <c r="X29" i="8" s="1"/>
  <c r="Y29" i="8" s="1"/>
  <c r="Z29" i="8" s="1"/>
  <c r="AA29" i="8" s="1"/>
  <c r="AC29" i="8" s="1"/>
  <c r="AD29" i="8" s="1"/>
  <c r="AE29" i="8" s="1"/>
  <c r="AF29" i="8" s="1"/>
  <c r="AG29" i="8" s="1"/>
  <c r="AH29" i="8" s="1"/>
  <c r="V40" i="8"/>
  <c r="V49" i="8"/>
  <c r="AC19" i="8"/>
  <c r="AD19" i="8" s="1"/>
  <c r="AE19" i="8" s="1"/>
  <c r="AF19" i="8" s="1"/>
  <c r="AG19" i="8" s="1"/>
  <c r="AH19" i="8" s="1"/>
  <c r="A19" i="8"/>
  <c r="A17" i="8"/>
  <c r="AC17" i="8"/>
  <c r="AD17" i="8" s="1"/>
  <c r="AE17" i="8" s="1"/>
  <c r="AF17" i="8" s="1"/>
  <c r="AG17" i="8" s="1"/>
  <c r="AH17" i="8" s="1"/>
  <c r="AC14" i="8"/>
  <c r="AD14" i="8" s="1"/>
  <c r="AE14" i="8" s="1"/>
  <c r="AF14" i="8" s="1"/>
  <c r="AG14" i="8" s="1"/>
  <c r="AH14" i="8" s="1"/>
  <c r="A14" i="8"/>
  <c r="A9" i="8"/>
  <c r="AC9" i="8"/>
  <c r="AD9" i="8" s="1"/>
  <c r="AE9" i="8" s="1"/>
  <c r="AF9" i="8" s="1"/>
  <c r="AG9" i="8" s="1"/>
  <c r="A13" i="8"/>
  <c r="AC13" i="8"/>
  <c r="AD13" i="8" s="1"/>
  <c r="AE13" i="8" s="1"/>
  <c r="AF13" i="8" s="1"/>
  <c r="AG13" i="8" s="1"/>
  <c r="AH13" i="8" s="1"/>
  <c r="W5" i="8"/>
  <c r="V5" i="8"/>
  <c r="AC15" i="8"/>
  <c r="AD15" i="8" s="1"/>
  <c r="AE15" i="8" s="1"/>
  <c r="AF15" i="8" s="1"/>
  <c r="AG15" i="8" s="1"/>
  <c r="AH15" i="8" s="1"/>
  <c r="A15" i="8"/>
  <c r="A22" i="8"/>
  <c r="AC22" i="8"/>
  <c r="AD22" i="8" s="1"/>
  <c r="AE22" i="8" s="1"/>
  <c r="AF22" i="8" s="1"/>
  <c r="AG22" i="8" s="1"/>
  <c r="AH22" i="8" s="1"/>
  <c r="AC10" i="8"/>
  <c r="AD10" i="8" s="1"/>
  <c r="AE10" i="8" s="1"/>
  <c r="AF10" i="8" s="1"/>
  <c r="AG10" i="8" s="1"/>
  <c r="AH10" i="8" s="1"/>
  <c r="A10" i="8"/>
  <c r="AC37" i="8"/>
  <c r="AD37" i="8" s="1"/>
  <c r="AE37" i="8" s="1"/>
  <c r="AF37" i="8" s="1"/>
  <c r="AG37" i="8" s="1"/>
  <c r="AH37" i="8" s="1"/>
  <c r="A37" i="8"/>
  <c r="V22" i="8"/>
  <c r="AC40" i="8"/>
  <c r="AD40" i="8" s="1"/>
  <c r="AE40" i="8" s="1"/>
  <c r="AF40" i="8" s="1"/>
  <c r="AG40" i="8" s="1"/>
  <c r="AH40" i="8" s="1"/>
  <c r="A49" i="8"/>
  <c r="AC49" i="8"/>
  <c r="AD49" i="8" s="1"/>
  <c r="AE49" i="8" s="1"/>
  <c r="AF49" i="8" s="1"/>
  <c r="AG49" i="8" s="1"/>
  <c r="AH49" i="8" s="1"/>
  <c r="V10" i="8"/>
  <c r="V27" i="8"/>
  <c r="AB29" i="8"/>
  <c r="A48" i="8"/>
  <c r="AC48" i="8"/>
  <c r="AD48" i="8" s="1"/>
  <c r="AE48" i="8" s="1"/>
  <c r="AF48" i="8" s="1"/>
  <c r="AG48" i="8" s="1"/>
  <c r="AH48" i="8" s="1"/>
  <c r="W58" i="8"/>
  <c r="X58" i="8" s="1"/>
  <c r="Y58" i="8" s="1"/>
  <c r="Z58" i="8" s="1"/>
  <c r="AA58" i="8" s="1"/>
  <c r="V58" i="8"/>
  <c r="W12" i="8"/>
  <c r="X12" i="8" s="1"/>
  <c r="Y12" i="8" s="1"/>
  <c r="Z12" i="8" s="1"/>
  <c r="AA12" i="8" s="1"/>
  <c r="V12" i="8"/>
  <c r="A26" i="8"/>
  <c r="AC65" i="8"/>
  <c r="AD65" i="8" s="1"/>
  <c r="AE65" i="8" s="1"/>
  <c r="AF65" i="8" s="1"/>
  <c r="AG65" i="8" s="1"/>
  <c r="AH65" i="8" s="1"/>
  <c r="A65" i="8"/>
  <c r="AC8" i="8"/>
  <c r="AA8" i="8"/>
  <c r="V19" i="8"/>
  <c r="A41" i="8"/>
  <c r="AC41" i="8"/>
  <c r="AD41" i="8" s="1"/>
  <c r="AE41" i="8" s="1"/>
  <c r="AF41" i="8" s="1"/>
  <c r="AG41" i="8" s="1"/>
  <c r="AH41" i="8" s="1"/>
  <c r="AC50" i="8"/>
  <c r="AD50" i="8" s="1"/>
  <c r="AE50" i="8" s="1"/>
  <c r="AF50" i="8" s="1"/>
  <c r="AG50" i="8" s="1"/>
  <c r="AH50" i="8" s="1"/>
  <c r="A50" i="8"/>
  <c r="A74" i="8"/>
  <c r="AC74" i="8"/>
  <c r="AD74" i="8" s="1"/>
  <c r="AE74" i="8" s="1"/>
  <c r="AF74" i="8" s="1"/>
  <c r="AG74" i="8" s="1"/>
  <c r="AH74" i="8" s="1"/>
  <c r="W23" i="8"/>
  <c r="X23" i="8" s="1"/>
  <c r="Y23" i="8" s="1"/>
  <c r="Z23" i="8" s="1"/>
  <c r="AA23" i="8" s="1"/>
  <c r="V23" i="8"/>
  <c r="AB31" i="8"/>
  <c r="V31" i="8"/>
  <c r="AC35" i="8"/>
  <c r="AD35" i="8" s="1"/>
  <c r="AE35" i="8" s="1"/>
  <c r="AF35" i="8" s="1"/>
  <c r="AG35" i="8" s="1"/>
  <c r="AH35" i="8" s="1"/>
  <c r="A35" i="8"/>
  <c r="AC42" i="8"/>
  <c r="AD42" i="8" s="1"/>
  <c r="AE42" i="8" s="1"/>
  <c r="AF42" i="8" s="1"/>
  <c r="AG42" i="8" s="1"/>
  <c r="AH42" i="8" s="1"/>
  <c r="A42" i="8"/>
  <c r="AC55" i="8"/>
  <c r="AD55" i="8" s="1"/>
  <c r="AE55" i="8" s="1"/>
  <c r="AF55" i="8" s="1"/>
  <c r="AG55" i="8" s="1"/>
  <c r="AH55" i="8" s="1"/>
  <c r="A55" i="8"/>
  <c r="V64" i="8"/>
  <c r="AB64" i="8"/>
  <c r="T24" i="8"/>
  <c r="W24" i="8" s="1"/>
  <c r="X24" i="8" s="1"/>
  <c r="Y24" i="8" s="1"/>
  <c r="Z24" i="8" s="1"/>
  <c r="AA24" i="8" s="1"/>
  <c r="W75" i="8"/>
  <c r="X75" i="8"/>
  <c r="Y75" i="8" s="1"/>
  <c r="Z75" i="8" s="1"/>
  <c r="AA75" i="8" s="1"/>
  <c r="V46" i="8"/>
  <c r="W46" i="8"/>
  <c r="X46" i="8" s="1"/>
  <c r="Y46" i="8" s="1"/>
  <c r="Z46" i="8" s="1"/>
  <c r="AA46" i="8" s="1"/>
  <c r="AC57" i="8"/>
  <c r="AD57" i="8" s="1"/>
  <c r="AE57" i="8" s="1"/>
  <c r="AF57" i="8" s="1"/>
  <c r="AG57" i="8" s="1"/>
  <c r="AH57" i="8" s="1"/>
  <c r="A57" i="8"/>
  <c r="AC64" i="8"/>
  <c r="AD64" i="8" s="1"/>
  <c r="AE64" i="8" s="1"/>
  <c r="AF64" i="8" s="1"/>
  <c r="AG64" i="8" s="1"/>
  <c r="AH64" i="8" s="1"/>
  <c r="P79" i="8"/>
  <c r="V17" i="8"/>
  <c r="T32" i="8"/>
  <c r="W32" i="8" s="1"/>
  <c r="X32" i="8" s="1"/>
  <c r="Y32" i="8" s="1"/>
  <c r="Z32" i="8" s="1"/>
  <c r="AA32" i="8" s="1"/>
  <c r="V25" i="8"/>
  <c r="T33" i="8"/>
  <c r="W33" i="8" s="1"/>
  <c r="X33" i="8" s="1"/>
  <c r="Y33" i="8" s="1"/>
  <c r="Z33" i="8" s="1"/>
  <c r="AA33" i="8" s="1"/>
  <c r="T34" i="8"/>
  <c r="W45" i="8"/>
  <c r="X45" i="8" s="1"/>
  <c r="Y45" i="8" s="1"/>
  <c r="Z45" i="8" s="1"/>
  <c r="AA45" i="8" s="1"/>
  <c r="V50" i="8"/>
  <c r="V37" i="8"/>
  <c r="V44" i="8"/>
  <c r="W44" i="8"/>
  <c r="X44" i="8" s="1"/>
  <c r="Y44" i="8" s="1"/>
  <c r="Z44" i="8" s="1"/>
  <c r="AA44" i="8" s="1"/>
  <c r="V70" i="8"/>
  <c r="AC67" i="8"/>
  <c r="AD67" i="8" s="1"/>
  <c r="AE67" i="8" s="1"/>
  <c r="AF67" i="8" s="1"/>
  <c r="AG67" i="8" s="1"/>
  <c r="AH67" i="8" s="1"/>
  <c r="A67" i="8"/>
  <c r="T71" i="8"/>
  <c r="AB66" i="8"/>
  <c r="W68" i="8"/>
  <c r="X68" i="8" s="1"/>
  <c r="Y68" i="8" s="1"/>
  <c r="Z68" i="8" s="1"/>
  <c r="AA68" i="8" s="1"/>
  <c r="V73" i="8"/>
  <c r="AC73" i="8"/>
  <c r="AD73" i="8" s="1"/>
  <c r="AE73" i="8" s="1"/>
  <c r="AF73" i="8" s="1"/>
  <c r="AG73" i="8" s="1"/>
  <c r="AH73" i="8" s="1"/>
  <c r="A73" i="8"/>
  <c r="T52" i="8"/>
  <c r="AC69" i="8"/>
  <c r="AD69" i="8" s="1"/>
  <c r="AE69" i="8" s="1"/>
  <c r="AF69" i="8" s="1"/>
  <c r="AG69" i="8" s="1"/>
  <c r="AH69" i="8" s="1"/>
  <c r="V87" i="8" l="1"/>
  <c r="M25" i="1"/>
  <c r="X7" i="8"/>
  <c r="W87" i="8"/>
  <c r="X16" i="8"/>
  <c r="W88" i="8"/>
  <c r="A28" i="8"/>
  <c r="A36" i="8"/>
  <c r="V26" i="8"/>
  <c r="V86" i="8" s="1"/>
  <c r="V89" i="8" s="1"/>
  <c r="V36" i="8"/>
  <c r="AC39" i="8"/>
  <c r="AD39" i="8" s="1"/>
  <c r="AE39" i="8" s="1"/>
  <c r="AF39" i="8" s="1"/>
  <c r="AG39" i="8" s="1"/>
  <c r="AH39" i="8" s="1"/>
  <c r="V39" i="8"/>
  <c r="AB81" i="8"/>
  <c r="M27" i="1" s="1"/>
  <c r="V38" i="8"/>
  <c r="AC76" i="8"/>
  <c r="AD76" i="8" s="1"/>
  <c r="AE76" i="8" s="1"/>
  <c r="AF76" i="8" s="1"/>
  <c r="AG76" i="8" s="1"/>
  <c r="AH76" i="8" s="1"/>
  <c r="T86" i="8"/>
  <c r="M26" i="1" s="1"/>
  <c r="T91" i="8"/>
  <c r="A62" i="8"/>
  <c r="AD6" i="8"/>
  <c r="AE6" i="8" s="1"/>
  <c r="AF6" i="8" s="1"/>
  <c r="AG6" i="8" s="1"/>
  <c r="AC27" i="8"/>
  <c r="AD27" i="8" s="1"/>
  <c r="AE27" i="8" s="1"/>
  <c r="AF27" i="8" s="1"/>
  <c r="AG27" i="8" s="1"/>
  <c r="AH27" i="8" s="1"/>
  <c r="A53" i="8"/>
  <c r="AC31" i="8"/>
  <c r="AD31" i="8" s="1"/>
  <c r="AE31" i="8" s="1"/>
  <c r="AF31" i="8" s="1"/>
  <c r="AG31" i="8" s="1"/>
  <c r="AH31" i="8" s="1"/>
  <c r="AC60" i="8"/>
  <c r="AD60" i="8" s="1"/>
  <c r="AE60" i="8" s="1"/>
  <c r="AF60" i="8" s="1"/>
  <c r="AG60" i="8" s="1"/>
  <c r="AH60" i="8" s="1"/>
  <c r="V53" i="8"/>
  <c r="V76" i="8"/>
  <c r="AC51" i="8"/>
  <c r="AD51" i="8" s="1"/>
  <c r="AE51" i="8" s="1"/>
  <c r="AF51" i="8" s="1"/>
  <c r="AG51" i="8" s="1"/>
  <c r="AH51" i="8" s="1"/>
  <c r="A70" i="8"/>
  <c r="AC56" i="8"/>
  <c r="AD56" i="8" s="1"/>
  <c r="AE56" i="8" s="1"/>
  <c r="AF56" i="8" s="1"/>
  <c r="AG56" i="8" s="1"/>
  <c r="AH56" i="8" s="1"/>
  <c r="V29" i="8"/>
  <c r="AC25" i="8"/>
  <c r="AD25" i="8" s="1"/>
  <c r="AE25" i="8" s="1"/>
  <c r="AF25" i="8" s="1"/>
  <c r="AG25" i="8" s="1"/>
  <c r="AH25" i="8" s="1"/>
  <c r="V62" i="8"/>
  <c r="A30" i="8"/>
  <c r="V56" i="8"/>
  <c r="W72" i="8"/>
  <c r="X72" i="8" s="1"/>
  <c r="Y72" i="8" s="1"/>
  <c r="Z72" i="8" s="1"/>
  <c r="AA72" i="8" s="1"/>
  <c r="AC72" i="8" s="1"/>
  <c r="AD72" i="8" s="1"/>
  <c r="AE72" i="8" s="1"/>
  <c r="AF72" i="8" s="1"/>
  <c r="AG72" i="8" s="1"/>
  <c r="AH72" i="8" s="1"/>
  <c r="W59" i="8"/>
  <c r="X59" i="8" s="1"/>
  <c r="Y59" i="8" s="1"/>
  <c r="Z59" i="8" s="1"/>
  <c r="AA59" i="8" s="1"/>
  <c r="V59" i="8"/>
  <c r="A61" i="8"/>
  <c r="A66" i="8"/>
  <c r="AB79" i="8"/>
  <c r="AB91" i="8" s="1"/>
  <c r="A29" i="8"/>
  <c r="A63" i="8"/>
  <c r="V66" i="8"/>
  <c r="A21" i="8"/>
  <c r="AC54" i="8"/>
  <c r="AD54" i="8" s="1"/>
  <c r="AE54" i="8" s="1"/>
  <c r="AF54" i="8" s="1"/>
  <c r="AG54" i="8" s="1"/>
  <c r="AH54" i="8" s="1"/>
  <c r="AH9" i="8"/>
  <c r="V54" i="8"/>
  <c r="W52" i="8"/>
  <c r="X52" i="8" s="1"/>
  <c r="Y52" i="8" s="1"/>
  <c r="Z52" i="8" s="1"/>
  <c r="AA52" i="8" s="1"/>
  <c r="V52" i="8"/>
  <c r="AC75" i="8"/>
  <c r="AD75" i="8" s="1"/>
  <c r="AE75" i="8" s="1"/>
  <c r="AF75" i="8" s="1"/>
  <c r="AG75" i="8" s="1"/>
  <c r="AH75" i="8" s="1"/>
  <c r="A75" i="8"/>
  <c r="W71" i="8"/>
  <c r="X71" i="8" s="1"/>
  <c r="Y71" i="8" s="1"/>
  <c r="Z71" i="8" s="1"/>
  <c r="AA71" i="8" s="1"/>
  <c r="V71" i="8"/>
  <c r="W34" i="8"/>
  <c r="X34" i="8" s="1"/>
  <c r="Y34" i="8" s="1"/>
  <c r="Z34" i="8" s="1"/>
  <c r="AA34" i="8" s="1"/>
  <c r="V34" i="8"/>
  <c r="X5" i="8"/>
  <c r="X86" i="8" s="1"/>
  <c r="A33" i="8"/>
  <c r="AC33" i="8"/>
  <c r="AD33" i="8" s="1"/>
  <c r="AE33" i="8" s="1"/>
  <c r="AF33" i="8" s="1"/>
  <c r="AG33" i="8" s="1"/>
  <c r="AH33" i="8" s="1"/>
  <c r="AC38" i="8"/>
  <c r="AD38" i="8" s="1"/>
  <c r="AE38" i="8" s="1"/>
  <c r="AF38" i="8" s="1"/>
  <c r="AG38" i="8" s="1"/>
  <c r="AH38" i="8" s="1"/>
  <c r="A38" i="8"/>
  <c r="AC68" i="8"/>
  <c r="AD68" i="8" s="1"/>
  <c r="AE68" i="8" s="1"/>
  <c r="AF68" i="8" s="1"/>
  <c r="AG68" i="8" s="1"/>
  <c r="AH68" i="8" s="1"/>
  <c r="A68" i="8"/>
  <c r="V32" i="8"/>
  <c r="V33" i="8"/>
  <c r="A8" i="8"/>
  <c r="AD8" i="8"/>
  <c r="AE8" i="8" s="1"/>
  <c r="AF8" i="8" s="1"/>
  <c r="AG8" i="8" s="1"/>
  <c r="A12" i="8"/>
  <c r="AC12" i="8"/>
  <c r="AD12" i="8" s="1"/>
  <c r="AE12" i="8" s="1"/>
  <c r="AF12" i="8" s="1"/>
  <c r="AG12" i="8" s="1"/>
  <c r="AH12" i="8" s="1"/>
  <c r="A32" i="8"/>
  <c r="AC32" i="8"/>
  <c r="AD32" i="8" s="1"/>
  <c r="AE32" i="8" s="1"/>
  <c r="AF32" i="8" s="1"/>
  <c r="AG32" i="8" s="1"/>
  <c r="AH32" i="8" s="1"/>
  <c r="A24" i="8"/>
  <c r="AC24" i="8"/>
  <c r="AD24" i="8" s="1"/>
  <c r="AE24" i="8" s="1"/>
  <c r="AF24" i="8" s="1"/>
  <c r="AG24" i="8" s="1"/>
  <c r="AH24" i="8" s="1"/>
  <c r="AC58" i="8"/>
  <c r="AD58" i="8" s="1"/>
  <c r="AE58" i="8" s="1"/>
  <c r="AF58" i="8" s="1"/>
  <c r="AG58" i="8" s="1"/>
  <c r="AH58" i="8" s="1"/>
  <c r="A58" i="8"/>
  <c r="AC45" i="8"/>
  <c r="AD45" i="8" s="1"/>
  <c r="AE45" i="8" s="1"/>
  <c r="AF45" i="8" s="1"/>
  <c r="AG45" i="8" s="1"/>
  <c r="AH45" i="8" s="1"/>
  <c r="A45" i="8"/>
  <c r="A44" i="8"/>
  <c r="AC44" i="8"/>
  <c r="AD44" i="8" s="1"/>
  <c r="AE44" i="8" s="1"/>
  <c r="AF44" i="8" s="1"/>
  <c r="AG44" i="8" s="1"/>
  <c r="AH44" i="8" s="1"/>
  <c r="AC46" i="8"/>
  <c r="AD46" i="8" s="1"/>
  <c r="AE46" i="8" s="1"/>
  <c r="AF46" i="8" s="1"/>
  <c r="AG46" i="8" s="1"/>
  <c r="AH46" i="8" s="1"/>
  <c r="A46" i="8"/>
  <c r="AC23" i="8"/>
  <c r="AD23" i="8" s="1"/>
  <c r="AE23" i="8" s="1"/>
  <c r="AF23" i="8" s="1"/>
  <c r="AG23" i="8" s="1"/>
  <c r="AH23" i="8" s="1"/>
  <c r="A23" i="8"/>
  <c r="T79" i="8"/>
  <c r="AO26" i="1" l="1"/>
  <c r="Y7" i="8"/>
  <c r="X87" i="8"/>
  <c r="X89" i="8" s="1"/>
  <c r="Y16" i="8"/>
  <c r="X88" i="8"/>
  <c r="W86" i="8"/>
  <c r="AN26" i="1" s="1"/>
  <c r="W89" i="8"/>
  <c r="V94" i="8"/>
  <c r="AM26" i="1"/>
  <c r="AH6" i="8"/>
  <c r="T89" i="8"/>
  <c r="AE81" i="8"/>
  <c r="A72" i="8"/>
  <c r="V79" i="8"/>
  <c r="AC59" i="8"/>
  <c r="AD59" i="8" s="1"/>
  <c r="AE59" i="8" s="1"/>
  <c r="AF59" i="8" s="1"/>
  <c r="AG59" i="8" s="1"/>
  <c r="AH59" i="8" s="1"/>
  <c r="A59" i="8"/>
  <c r="X79" i="8"/>
  <c r="Y5" i="8"/>
  <c r="Y86" i="8" s="1"/>
  <c r="W79" i="8"/>
  <c r="A34" i="8"/>
  <c r="AC34" i="8"/>
  <c r="AD34" i="8" s="1"/>
  <c r="AE34" i="8" s="1"/>
  <c r="AF34" i="8" s="1"/>
  <c r="AG34" i="8" s="1"/>
  <c r="AH34" i="8" s="1"/>
  <c r="AC52" i="8"/>
  <c r="AD52" i="8" s="1"/>
  <c r="AE52" i="8" s="1"/>
  <c r="AF52" i="8" s="1"/>
  <c r="AG52" i="8" s="1"/>
  <c r="AH52" i="8" s="1"/>
  <c r="A52" i="8"/>
  <c r="AC71" i="8"/>
  <c r="AD71" i="8" s="1"/>
  <c r="AE71" i="8" s="1"/>
  <c r="AF71" i="8" s="1"/>
  <c r="AG71" i="8" s="1"/>
  <c r="AH71" i="8" s="1"/>
  <c r="A71" i="8"/>
  <c r="AH8" i="8"/>
  <c r="Z7" i="8" l="1"/>
  <c r="Y87" i="8"/>
  <c r="Y89" i="8" s="1"/>
  <c r="AP26" i="1"/>
  <c r="X91" i="8"/>
  <c r="V81" i="8"/>
  <c r="V91" i="8"/>
  <c r="W91" i="8"/>
  <c r="Z16" i="8"/>
  <c r="Y88" i="8"/>
  <c r="Y79" i="8"/>
  <c r="Z5" i="8"/>
  <c r="Z86" i="8" s="1"/>
  <c r="Y91" i="8" l="1"/>
  <c r="AA16" i="8"/>
  <c r="Z88" i="8"/>
  <c r="AC7" i="8"/>
  <c r="AC87" i="8" s="1"/>
  <c r="Z87" i="8"/>
  <c r="Z89" i="8" s="1"/>
  <c r="AA7" i="8"/>
  <c r="Z79" i="8"/>
  <c r="AA5" i="8"/>
  <c r="AA86" i="8" s="1"/>
  <c r="AC5" i="8"/>
  <c r="AC86" i="8" l="1"/>
  <c r="AD7" i="8"/>
  <c r="AA87" i="8"/>
  <c r="AA89" i="8" s="1"/>
  <c r="A7" i="8"/>
  <c r="AC16" i="8"/>
  <c r="AA88" i="8"/>
  <c r="A16" i="8"/>
  <c r="Z91" i="8"/>
  <c r="AA79" i="8"/>
  <c r="A5" i="8"/>
  <c r="AD5" i="8"/>
  <c r="AD86" i="8" s="1"/>
  <c r="AE7" i="8" l="1"/>
  <c r="AD87" i="8"/>
  <c r="AA91" i="8"/>
  <c r="AD16" i="8"/>
  <c r="AC88" i="8"/>
  <c r="AC89" i="8" s="1"/>
  <c r="AC79" i="8"/>
  <c r="AE5" i="8"/>
  <c r="AE86" i="8" s="1"/>
  <c r="AE16" i="8" l="1"/>
  <c r="AD88" i="8"/>
  <c r="AD89" i="8" s="1"/>
  <c r="AF7" i="8"/>
  <c r="AE87" i="8"/>
  <c r="AD79" i="8"/>
  <c r="AC80" i="8"/>
  <c r="AC91" i="8"/>
  <c r="AE79" i="8"/>
  <c r="AF5" i="8"/>
  <c r="AF86" i="8" s="1"/>
  <c r="AG7" i="8" l="1"/>
  <c r="AG87" i="8" s="1"/>
  <c r="AF87" i="8"/>
  <c r="AH7" i="8"/>
  <c r="AD91" i="8"/>
  <c r="AF16" i="8"/>
  <c r="AF79" i="8" s="1"/>
  <c r="AE88" i="8"/>
  <c r="AE89" i="8" s="1"/>
  <c r="AE91" i="8" s="1"/>
  <c r="AG5" i="8"/>
  <c r="AH5" i="8"/>
  <c r="AH79" i="8" l="1"/>
  <c r="AG79" i="8"/>
  <c r="AG86" i="8"/>
  <c r="AG16" i="8"/>
  <c r="AF88" i="8"/>
  <c r="AF89" i="8" s="1"/>
  <c r="AF91" i="8" s="1"/>
  <c r="M27" i="4"/>
  <c r="E148" i="4"/>
  <c r="F88" i="2"/>
  <c r="H88" i="2" s="1"/>
  <c r="E88" i="2"/>
  <c r="G88" i="2" l="1"/>
  <c r="AH16" i="8"/>
  <c r="AG88" i="8"/>
  <c r="AG89" i="8" s="1"/>
  <c r="AG91" i="8" s="1"/>
  <c r="M121" i="4"/>
  <c r="G69" i="4"/>
  <c r="G83" i="4"/>
  <c r="AM112" i="1" l="1"/>
  <c r="AH112" i="1"/>
  <c r="AG112" i="1"/>
  <c r="AF112" i="1"/>
  <c r="AE112" i="1"/>
  <c r="AD112" i="1"/>
  <c r="AC112" i="1"/>
  <c r="AB112" i="1"/>
  <c r="AA112" i="1"/>
  <c r="AN112" i="1"/>
  <c r="H112" i="1"/>
  <c r="AH111" i="1"/>
  <c r="AG111" i="1"/>
  <c r="AF111" i="1"/>
  <c r="AE111" i="1"/>
  <c r="AD111" i="1"/>
  <c r="AC111" i="1"/>
  <c r="AB111" i="1"/>
  <c r="AA111" i="1"/>
  <c r="H111" i="1"/>
  <c r="K165" i="4"/>
  <c r="M165" i="4" s="1"/>
  <c r="O165" i="4" s="1"/>
  <c r="K164" i="4"/>
  <c r="M164" i="4" s="1"/>
  <c r="O164" i="4" s="1"/>
  <c r="AO84" i="1"/>
  <c r="AP84" i="1" s="1"/>
  <c r="AQ84" i="1" s="1"/>
  <c r="AR84" i="1" s="1"/>
  <c r="AO48" i="1"/>
  <c r="AP48" i="1" s="1"/>
  <c r="AQ48" i="1" s="1"/>
  <c r="AR48" i="1" s="1"/>
  <c r="AP49" i="1"/>
  <c r="AQ49" i="1" s="1"/>
  <c r="AR49" i="1" s="1"/>
  <c r="AO50" i="1"/>
  <c r="AP50" i="1" s="1"/>
  <c r="AQ50" i="1" s="1"/>
  <c r="AR50" i="1" s="1"/>
  <c r="AO51" i="1"/>
  <c r="AP51" i="1" s="1"/>
  <c r="AQ51" i="1" s="1"/>
  <c r="AR51" i="1" s="1"/>
  <c r="AO52" i="1"/>
  <c r="AP52" i="1" s="1"/>
  <c r="AQ52" i="1" s="1"/>
  <c r="AR52" i="1" s="1"/>
  <c r="AO54" i="1"/>
  <c r="AP54" i="1" s="1"/>
  <c r="AQ54" i="1" s="1"/>
  <c r="AR54" i="1" s="1"/>
  <c r="AO55" i="1"/>
  <c r="AP55" i="1" s="1"/>
  <c r="AQ55" i="1" s="1"/>
  <c r="AR55" i="1" s="1"/>
  <c r="AO56" i="1"/>
  <c r="AP56" i="1" s="1"/>
  <c r="AQ56" i="1" s="1"/>
  <c r="AR56" i="1" s="1"/>
  <c r="AO57" i="1"/>
  <c r="AP57" i="1" s="1"/>
  <c r="AQ57" i="1" s="1"/>
  <c r="AR57" i="1" s="1"/>
  <c r="AO58" i="1"/>
  <c r="AP58" i="1" s="1"/>
  <c r="AQ58" i="1" s="1"/>
  <c r="AR58" i="1" s="1"/>
  <c r="AO59" i="1"/>
  <c r="AP59" i="1" s="1"/>
  <c r="AQ59" i="1" s="1"/>
  <c r="AR59" i="1" s="1"/>
  <c r="AO60" i="1"/>
  <c r="AP60" i="1"/>
  <c r="AQ60" i="1" s="1"/>
  <c r="AR60" i="1" s="1"/>
  <c r="AO61" i="1"/>
  <c r="AP61" i="1" s="1"/>
  <c r="AQ61" i="1" s="1"/>
  <c r="AR61" i="1" s="1"/>
  <c r="AO62" i="1"/>
  <c r="AP62" i="1" s="1"/>
  <c r="AQ62" i="1" s="1"/>
  <c r="AR62" i="1" s="1"/>
  <c r="AO63" i="1"/>
  <c r="AP63" i="1" s="1"/>
  <c r="AQ63" i="1" s="1"/>
  <c r="AR63" i="1" s="1"/>
  <c r="AO64" i="1"/>
  <c r="AP64" i="1" s="1"/>
  <c r="AQ64" i="1" s="1"/>
  <c r="AR64" i="1" s="1"/>
  <c r="AO66" i="1"/>
  <c r="AP66" i="1" s="1"/>
  <c r="AQ66" i="1" s="1"/>
  <c r="AR66" i="1" s="1"/>
  <c r="AO67" i="1"/>
  <c r="AP67" i="1" s="1"/>
  <c r="AQ67" i="1" s="1"/>
  <c r="AR67" i="1" s="1"/>
  <c r="AO68" i="1"/>
  <c r="AP68" i="1" s="1"/>
  <c r="AQ68" i="1" s="1"/>
  <c r="AR68" i="1" s="1"/>
  <c r="AO69" i="1"/>
  <c r="AP69" i="1" s="1"/>
  <c r="AQ69" i="1" s="1"/>
  <c r="AR69" i="1" s="1"/>
  <c r="AO70" i="1"/>
  <c r="AP70" i="1" s="1"/>
  <c r="AQ70" i="1" s="1"/>
  <c r="AR70" i="1" s="1"/>
  <c r="AO71" i="1"/>
  <c r="AP71" i="1" s="1"/>
  <c r="AQ71" i="1" s="1"/>
  <c r="AR71" i="1" s="1"/>
  <c r="AO72" i="1"/>
  <c r="AP72" i="1" s="1"/>
  <c r="AQ72" i="1" s="1"/>
  <c r="AR72" i="1" s="1"/>
  <c r="AO73" i="1"/>
  <c r="AP73" i="1" s="1"/>
  <c r="AQ73" i="1" s="1"/>
  <c r="AR73" i="1" s="1"/>
  <c r="AO74" i="1"/>
  <c r="AP74" i="1" s="1"/>
  <c r="AQ74" i="1" s="1"/>
  <c r="AR74" i="1" s="1"/>
  <c r="AU74" i="1" s="1"/>
  <c r="AV74" i="1" s="1"/>
  <c r="AO75" i="1"/>
  <c r="AP75" i="1" s="1"/>
  <c r="AQ75" i="1" s="1"/>
  <c r="AR75" i="1" s="1"/>
  <c r="AO76" i="1"/>
  <c r="AP76" i="1" s="1"/>
  <c r="AQ76" i="1" s="1"/>
  <c r="AR76" i="1" s="1"/>
  <c r="AO77" i="1"/>
  <c r="AP77" i="1" s="1"/>
  <c r="AQ77" i="1" s="1"/>
  <c r="AR77" i="1" s="1"/>
  <c r="AO78" i="1"/>
  <c r="AP78" i="1" s="1"/>
  <c r="AQ78" i="1" s="1"/>
  <c r="AR78" i="1" s="1"/>
  <c r="AP79" i="1"/>
  <c r="AQ79" i="1" s="1"/>
  <c r="AR79" i="1" s="1"/>
  <c r="AP81" i="1"/>
  <c r="AQ81" i="1" s="1"/>
  <c r="AR81" i="1" s="1"/>
  <c r="AO82" i="1"/>
  <c r="AP82" i="1" s="1"/>
  <c r="AQ82" i="1" s="1"/>
  <c r="AR82" i="1" s="1"/>
  <c r="AO83" i="1"/>
  <c r="AP83" i="1" s="1"/>
  <c r="AQ83" i="1" s="1"/>
  <c r="AR83" i="1" s="1"/>
  <c r="AO85" i="1"/>
  <c r="AP85" i="1" s="1"/>
  <c r="AQ85" i="1" s="1"/>
  <c r="AR85" i="1" s="1"/>
  <c r="AO86" i="1"/>
  <c r="AP86" i="1" s="1"/>
  <c r="AQ86" i="1" s="1"/>
  <c r="AR86" i="1" s="1"/>
  <c r="AO87" i="1"/>
  <c r="AP87" i="1" s="1"/>
  <c r="AQ87" i="1" s="1"/>
  <c r="AR87" i="1" s="1"/>
  <c r="AO88" i="1"/>
  <c r="AP88" i="1"/>
  <c r="AQ88" i="1" s="1"/>
  <c r="AR88" i="1" s="1"/>
  <c r="AO89" i="1"/>
  <c r="AP89" i="1" s="1"/>
  <c r="AQ89" i="1" s="1"/>
  <c r="AR89" i="1" s="1"/>
  <c r="AO90" i="1"/>
  <c r="AP90" i="1" s="1"/>
  <c r="AQ90" i="1" s="1"/>
  <c r="AR90" i="1" s="1"/>
  <c r="AO91" i="1"/>
  <c r="AP91" i="1" s="1"/>
  <c r="AQ91" i="1" s="1"/>
  <c r="AR91" i="1" s="1"/>
  <c r="AO92" i="1"/>
  <c r="AP92" i="1" s="1"/>
  <c r="AQ92" i="1" s="1"/>
  <c r="AR92" i="1" s="1"/>
  <c r="AO93" i="1"/>
  <c r="AP93" i="1" s="1"/>
  <c r="AQ93" i="1" s="1"/>
  <c r="AR93" i="1" s="1"/>
  <c r="AO95" i="1"/>
  <c r="AP95" i="1" s="1"/>
  <c r="AQ95" i="1" s="1"/>
  <c r="AR95" i="1" s="1"/>
  <c r="AO96" i="1"/>
  <c r="AP96" i="1" s="1"/>
  <c r="AQ96" i="1" s="1"/>
  <c r="AR96" i="1" s="1"/>
  <c r="AO97" i="1"/>
  <c r="AP97" i="1" s="1"/>
  <c r="AQ97" i="1" s="1"/>
  <c r="AR97" i="1" s="1"/>
  <c r="AO98" i="1"/>
  <c r="AP98" i="1" s="1"/>
  <c r="AQ98" i="1" s="1"/>
  <c r="AR98" i="1" s="1"/>
  <c r="AO46" i="1"/>
  <c r="AP46" i="1" s="1"/>
  <c r="AQ46" i="1" s="1"/>
  <c r="AR46" i="1" s="1"/>
  <c r="AO47" i="1"/>
  <c r="AP47" i="1" s="1"/>
  <c r="AQ47" i="1" s="1"/>
  <c r="AR47" i="1" s="1"/>
  <c r="AO45" i="1"/>
  <c r="AP45" i="1" s="1"/>
  <c r="AQ45" i="1" s="1"/>
  <c r="AR45" i="1" s="1"/>
  <c r="AU45" i="1" s="1"/>
  <c r="AV45" i="1" s="1"/>
  <c r="BC45" i="1" s="1"/>
  <c r="AW74" i="1" l="1"/>
  <c r="AX74" i="1" s="1"/>
  <c r="BC74" i="1"/>
  <c r="P165" i="4"/>
  <c r="J119" i="4" s="1"/>
  <c r="W120" i="4"/>
  <c r="W71" i="4" s="1"/>
  <c r="X120" i="4"/>
  <c r="X71" i="4" s="1"/>
  <c r="Y120" i="4"/>
  <c r="Y71" i="4" s="1"/>
  <c r="V120" i="4"/>
  <c r="V71" i="4" s="1"/>
  <c r="L119" i="4"/>
  <c r="K119" i="4"/>
  <c r="I119" i="4"/>
  <c r="H119" i="4"/>
  <c r="H120" i="4" s="1"/>
  <c r="P164" i="4"/>
  <c r="G119" i="4" s="1"/>
  <c r="G120" i="4" s="1"/>
  <c r="AN111" i="1"/>
  <c r="AM111" i="1"/>
  <c r="AB119" i="4"/>
  <c r="AA7" i="4"/>
  <c r="AO19" i="1"/>
  <c r="AP19" i="1" s="1"/>
  <c r="AQ19" i="1" s="1"/>
  <c r="AR19" i="1" s="1"/>
  <c r="AU19" i="1" s="1"/>
  <c r="AV19" i="1" s="1"/>
  <c r="AO18" i="1"/>
  <c r="AN65" i="1"/>
  <c r="AO65" i="1" s="1"/>
  <c r="AP65" i="1" s="1"/>
  <c r="AQ65" i="1" s="1"/>
  <c r="AR65" i="1" s="1"/>
  <c r="AM94" i="1"/>
  <c r="AN94" i="1" s="1"/>
  <c r="AO94" i="1" s="1"/>
  <c r="AP94" i="1" s="1"/>
  <c r="AQ94" i="1" s="1"/>
  <c r="AR94" i="1" s="1"/>
  <c r="BC19" i="1" l="1"/>
  <c r="AW19" i="1"/>
  <c r="AX19" i="1" s="1"/>
  <c r="F12" i="7"/>
  <c r="H71" i="4"/>
  <c r="G71" i="4"/>
  <c r="E11" i="7"/>
  <c r="W119" i="4"/>
  <c r="X119" i="4"/>
  <c r="Y119" i="4"/>
  <c r="V119" i="4"/>
  <c r="M119" i="4"/>
  <c r="Z27" i="4"/>
  <c r="Z33" i="4"/>
  <c r="W26" i="4"/>
  <c r="X26" i="4"/>
  <c r="Y26" i="4"/>
  <c r="W28" i="4"/>
  <c r="X28" i="4"/>
  <c r="Y28" i="4"/>
  <c r="W30" i="4"/>
  <c r="X30" i="4"/>
  <c r="Y30" i="4"/>
  <c r="W31" i="4"/>
  <c r="X31" i="4"/>
  <c r="Y31" i="4"/>
  <c r="V31" i="4"/>
  <c r="V30" i="4"/>
  <c r="V28" i="4"/>
  <c r="V26" i="4"/>
  <c r="Z20" i="4"/>
  <c r="Z15" i="4"/>
  <c r="Z18" i="4"/>
  <c r="W12" i="4"/>
  <c r="X12" i="4"/>
  <c r="Y12" i="4"/>
  <c r="W13" i="4"/>
  <c r="X13" i="4"/>
  <c r="Y13" i="4"/>
  <c r="W14" i="4"/>
  <c r="X14" i="4"/>
  <c r="Y14" i="4"/>
  <c r="Y40" i="4" s="1"/>
  <c r="W17" i="4"/>
  <c r="W43" i="4" s="1"/>
  <c r="X17" i="4"/>
  <c r="Y17" i="4"/>
  <c r="V12" i="4"/>
  <c r="V13" i="4"/>
  <c r="V14" i="4"/>
  <c r="V17" i="4"/>
  <c r="W40" i="4" l="1"/>
  <c r="Z26" i="4"/>
  <c r="Y43" i="4"/>
  <c r="Z30" i="4"/>
  <c r="Z13" i="4"/>
  <c r="V43" i="4"/>
  <c r="X40" i="4"/>
  <c r="Z28" i="4"/>
  <c r="Z31" i="4"/>
  <c r="Z119" i="4"/>
  <c r="Z12" i="4"/>
  <c r="Z14" i="4"/>
  <c r="V40" i="4"/>
  <c r="X43" i="4"/>
  <c r="Z17" i="4"/>
  <c r="AD86" i="4"/>
  <c r="S140" i="4"/>
  <c r="S139" i="4"/>
  <c r="S138" i="4"/>
  <c r="S133" i="4"/>
  <c r="S132" i="4"/>
  <c r="S131" i="4"/>
  <c r="S127" i="4"/>
  <c r="S126" i="4"/>
  <c r="S125" i="4"/>
  <c r="S116" i="4"/>
  <c r="S115" i="4"/>
  <c r="S114" i="4"/>
  <c r="S108" i="4"/>
  <c r="S107" i="4"/>
  <c r="S106" i="4"/>
  <c r="S102" i="4"/>
  <c r="S101" i="4"/>
  <c r="S97" i="4"/>
  <c r="S96" i="4"/>
  <c r="S95" i="4"/>
  <c r="S92" i="4"/>
  <c r="S91" i="4"/>
  <c r="S90" i="4"/>
  <c r="AV21" i="1"/>
  <c r="BC21" i="1" s="1"/>
  <c r="AW21" i="1"/>
  <c r="AX21" i="1"/>
  <c r="AU21" i="1"/>
  <c r="AY14" i="1"/>
  <c r="AY17" i="1"/>
  <c r="AY19" i="1"/>
  <c r="AY22" i="1"/>
  <c r="AY23" i="1"/>
  <c r="AY24" i="1"/>
  <c r="AY25" i="1"/>
  <c r="AY28" i="1"/>
  <c r="AY29" i="1"/>
  <c r="AY30" i="1"/>
  <c r="AY31" i="1"/>
  <c r="AY36" i="1"/>
  <c r="AY37" i="1"/>
  <c r="AY38" i="1"/>
  <c r="AY95" i="1"/>
  <c r="AY96" i="1"/>
  <c r="AY97" i="1"/>
  <c r="AY98" i="1"/>
  <c r="AY101" i="1"/>
  <c r="AY102" i="1"/>
  <c r="AY103" i="1"/>
  <c r="AY104" i="1"/>
  <c r="AY105" i="1"/>
  <c r="AY106" i="1"/>
  <c r="AY107" i="1"/>
  <c r="AY109" i="1"/>
  <c r="AY113" i="1"/>
  <c r="AZ113" i="1" s="1"/>
  <c r="AY115" i="1"/>
  <c r="AY116" i="1"/>
  <c r="AY117" i="1"/>
  <c r="AY118" i="1"/>
  <c r="AY119" i="1"/>
  <c r="AY120" i="1"/>
  <c r="AY121" i="1"/>
  <c r="K13" i="7"/>
  <c r="K10" i="7"/>
  <c r="Z43" i="4" l="1"/>
  <c r="Z40" i="4"/>
  <c r="AY21" i="1"/>
  <c r="AN20" i="1"/>
  <c r="AN21" i="1"/>
  <c r="AM21" i="1"/>
  <c r="AM20" i="1" l="1"/>
  <c r="H20" i="1"/>
  <c r="H21" i="1"/>
  <c r="AN115" i="1"/>
  <c r="AM115" i="1"/>
  <c r="H115" i="1"/>
  <c r="AN114" i="1"/>
  <c r="AM114" i="1"/>
  <c r="H114" i="1"/>
  <c r="AM105" i="1" l="1"/>
  <c r="AM106" i="1"/>
  <c r="AM104" i="1"/>
  <c r="AN33" i="1"/>
  <c r="AN34" i="1"/>
  <c r="AN35" i="1"/>
  <c r="AN32" i="1"/>
  <c r="AO21" i="1" l="1"/>
  <c r="AP18" i="1"/>
  <c r="AO20" i="1"/>
  <c r="AP21" i="1"/>
  <c r="AS17" i="1"/>
  <c r="AZ17" i="1" s="1"/>
  <c r="AS22" i="1"/>
  <c r="AZ22" i="1" s="1"/>
  <c r="AS23" i="1"/>
  <c r="AZ23" i="1" s="1"/>
  <c r="AS24" i="1"/>
  <c r="AZ24" i="1" s="1"/>
  <c r="AS27" i="1"/>
  <c r="AS28" i="1"/>
  <c r="AZ28" i="1" s="1"/>
  <c r="AS29" i="1"/>
  <c r="AZ29" i="1" s="1"/>
  <c r="AS30" i="1"/>
  <c r="AZ30" i="1" s="1"/>
  <c r="AS31" i="1"/>
  <c r="AZ31" i="1" s="1"/>
  <c r="AS36" i="1"/>
  <c r="AZ36" i="1" s="1"/>
  <c r="AS37" i="1"/>
  <c r="AZ37" i="1" s="1"/>
  <c r="AS38" i="1"/>
  <c r="AZ38" i="1" s="1"/>
  <c r="AS39" i="1"/>
  <c r="AS95" i="1"/>
  <c r="AZ95" i="1" s="1"/>
  <c r="AS96" i="1"/>
  <c r="AZ96" i="1" s="1"/>
  <c r="AS98" i="1"/>
  <c r="AZ98" i="1" s="1"/>
  <c r="AS101" i="1"/>
  <c r="AZ101" i="1" s="1"/>
  <c r="AS102" i="1"/>
  <c r="AZ102" i="1" s="1"/>
  <c r="AS103" i="1"/>
  <c r="AZ103" i="1" s="1"/>
  <c r="AS104" i="1"/>
  <c r="AZ104" i="1" s="1"/>
  <c r="AS105" i="1"/>
  <c r="AZ105" i="1" s="1"/>
  <c r="AS106" i="1"/>
  <c r="AZ106" i="1" s="1"/>
  <c r="AS116" i="1"/>
  <c r="AZ116" i="1" s="1"/>
  <c r="AS117" i="1"/>
  <c r="AZ117" i="1" s="1"/>
  <c r="AS118" i="1"/>
  <c r="AZ118" i="1" s="1"/>
  <c r="AS119" i="1"/>
  <c r="AZ119" i="1" s="1"/>
  <c r="AS120" i="1"/>
  <c r="AZ120" i="1" s="1"/>
  <c r="AS121" i="1"/>
  <c r="AZ121" i="1" s="1"/>
  <c r="O82" i="4"/>
  <c r="L79" i="4"/>
  <c r="K79" i="4"/>
  <c r="J79" i="4"/>
  <c r="I79" i="4"/>
  <c r="H79" i="4"/>
  <c r="D132" i="4"/>
  <c r="D133" i="4"/>
  <c r="D131" i="4"/>
  <c r="H109" i="4"/>
  <c r="I109" i="4"/>
  <c r="J109" i="4"/>
  <c r="K109" i="4"/>
  <c r="L109" i="4"/>
  <c r="D108" i="4"/>
  <c r="D107" i="4"/>
  <c r="D106" i="4"/>
  <c r="AQ18" i="1" l="1"/>
  <c r="AP20" i="1"/>
  <c r="AQ21" i="1"/>
  <c r="L134" i="4"/>
  <c r="AR18" i="1" l="1"/>
  <c r="AS18" i="1" s="1"/>
  <c r="AQ20" i="1"/>
  <c r="AR21" i="1"/>
  <c r="AS19" i="1"/>
  <c r="AZ19" i="1" s="1"/>
  <c r="H134" i="4"/>
  <c r="J134" i="4"/>
  <c r="K134" i="4"/>
  <c r="I134" i="4"/>
  <c r="AR20" i="1" l="1"/>
  <c r="AS20" i="1" s="1"/>
  <c r="AU18" i="1"/>
  <c r="AS21" i="1"/>
  <c r="AZ21" i="1" s="1"/>
  <c r="M20" i="4"/>
  <c r="AM100" i="1"/>
  <c r="H100" i="1"/>
  <c r="H99" i="1"/>
  <c r="AM109" i="1"/>
  <c r="AS109" i="1" s="1"/>
  <c r="AZ109" i="1" s="1"/>
  <c r="H109" i="1"/>
  <c r="AM107" i="1"/>
  <c r="AS107" i="1" s="1"/>
  <c r="AZ107" i="1" s="1"/>
  <c r="AN129" i="1"/>
  <c r="AO129" i="1"/>
  <c r="AP129" i="1"/>
  <c r="AQ129" i="1"/>
  <c r="AR129" i="1"/>
  <c r="AN130" i="1"/>
  <c r="AO130" i="1"/>
  <c r="AP130" i="1"/>
  <c r="AQ130" i="1"/>
  <c r="AR130" i="1"/>
  <c r="AN131" i="1"/>
  <c r="AO131" i="1"/>
  <c r="AP131" i="1"/>
  <c r="AQ131" i="1"/>
  <c r="AR131" i="1"/>
  <c r="AN133" i="1"/>
  <c r="AO133" i="1"/>
  <c r="AP133" i="1"/>
  <c r="AQ133" i="1"/>
  <c r="AR133" i="1"/>
  <c r="AN134" i="1"/>
  <c r="AO134" i="1"/>
  <c r="AP134" i="1"/>
  <c r="AQ134" i="1"/>
  <c r="AR134" i="1"/>
  <c r="AN135" i="1"/>
  <c r="AN136" i="1"/>
  <c r="AO136" i="1"/>
  <c r="AP136" i="1"/>
  <c r="AQ136" i="1"/>
  <c r="AR136" i="1"/>
  <c r="D127" i="4"/>
  <c r="D126" i="4"/>
  <c r="D125" i="4"/>
  <c r="D116" i="4"/>
  <c r="D115" i="4"/>
  <c r="D114" i="4"/>
  <c r="D103" i="4"/>
  <c r="D102" i="4"/>
  <c r="D101" i="4"/>
  <c r="D139" i="4"/>
  <c r="D140" i="4"/>
  <c r="D138" i="4"/>
  <c r="D96" i="4"/>
  <c r="D97" i="4"/>
  <c r="D95" i="4"/>
  <c r="D91" i="4"/>
  <c r="D92" i="4"/>
  <c r="D90" i="4"/>
  <c r="H13" i="1"/>
  <c r="H14" i="1"/>
  <c r="H15" i="1"/>
  <c r="H16" i="1"/>
  <c r="H17" i="1"/>
  <c r="H18" i="1"/>
  <c r="H19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104" i="1"/>
  <c r="H105" i="1"/>
  <c r="H106" i="1"/>
  <c r="H107" i="1"/>
  <c r="H116" i="1"/>
  <c r="H117" i="1"/>
  <c r="H118" i="1"/>
  <c r="H119" i="1"/>
  <c r="H120" i="1"/>
  <c r="H121" i="1"/>
  <c r="H12" i="1"/>
  <c r="B90" i="4"/>
  <c r="B95" i="4"/>
  <c r="B101" i="4"/>
  <c r="B114" i="4"/>
  <c r="B125" i="4"/>
  <c r="B138" i="4"/>
  <c r="H69" i="4"/>
  <c r="H72" i="4" s="1"/>
  <c r="Y97" i="1"/>
  <c r="G114" i="4" l="1"/>
  <c r="G115" i="4"/>
  <c r="G140" i="4"/>
  <c r="G145" i="4" s="1"/>
  <c r="AM99" i="1"/>
  <c r="G116" i="4"/>
  <c r="AV18" i="1"/>
  <c r="AU20" i="1"/>
  <c r="X114" i="4"/>
  <c r="X96" i="4"/>
  <c r="V97" i="4"/>
  <c r="W92" i="4"/>
  <c r="Z114" i="4"/>
  <c r="W114" i="4"/>
  <c r="Y96" i="4"/>
  <c r="X92" i="4"/>
  <c r="W96" i="4"/>
  <c r="V114" i="4"/>
  <c r="Z96" i="4"/>
  <c r="AB96" i="4" s="1"/>
  <c r="Y92" i="4"/>
  <c r="Y97" i="4"/>
  <c r="Y114" i="4"/>
  <c r="W97" i="4"/>
  <c r="V91" i="4"/>
  <c r="V96" i="4"/>
  <c r="X97" i="4"/>
  <c r="V92" i="4"/>
  <c r="W91" i="4"/>
  <c r="Z97" i="4"/>
  <c r="AB97" i="4" s="1"/>
  <c r="X91" i="4"/>
  <c r="Y91" i="4"/>
  <c r="AM97" i="1"/>
  <c r="AS97" i="1" s="1"/>
  <c r="AZ97" i="1" s="1"/>
  <c r="M133" i="4"/>
  <c r="O133" i="4" s="1"/>
  <c r="G108" i="4"/>
  <c r="M108" i="4" s="1"/>
  <c r="O108" i="4" s="1"/>
  <c r="G106" i="4"/>
  <c r="M106" i="4" s="1"/>
  <c r="O106" i="4" s="1"/>
  <c r="G107" i="4"/>
  <c r="L126" i="4"/>
  <c r="I125" i="4"/>
  <c r="H126" i="4"/>
  <c r="J114" i="4"/>
  <c r="K126" i="4"/>
  <c r="L125" i="4"/>
  <c r="H125" i="4"/>
  <c r="K125" i="4"/>
  <c r="H127" i="4"/>
  <c r="J125" i="4"/>
  <c r="J126" i="4"/>
  <c r="I126" i="4"/>
  <c r="G126" i="4"/>
  <c r="K114" i="4"/>
  <c r="I114" i="4"/>
  <c r="H114" i="4"/>
  <c r="L114" i="4"/>
  <c r="H101" i="4"/>
  <c r="K102" i="4"/>
  <c r="G102" i="4"/>
  <c r="J102" i="4"/>
  <c r="K103" i="4"/>
  <c r="H102" i="4"/>
  <c r="I102" i="4"/>
  <c r="J103" i="4"/>
  <c r="L101" i="4"/>
  <c r="L103" i="4"/>
  <c r="I103" i="4"/>
  <c r="K101" i="4"/>
  <c r="J101" i="4"/>
  <c r="H103" i="4"/>
  <c r="L102" i="4"/>
  <c r="I101" i="4"/>
  <c r="L91" i="4"/>
  <c r="L97" i="4"/>
  <c r="G92" i="4"/>
  <c r="K91" i="4"/>
  <c r="K97" i="4"/>
  <c r="H96" i="4"/>
  <c r="H92" i="4"/>
  <c r="J91" i="4"/>
  <c r="G96" i="4"/>
  <c r="J97" i="4"/>
  <c r="I91" i="4"/>
  <c r="H91" i="4"/>
  <c r="H97" i="4"/>
  <c r="G91" i="4"/>
  <c r="L92" i="4"/>
  <c r="K92" i="4"/>
  <c r="J92" i="4"/>
  <c r="L96" i="4"/>
  <c r="G101" i="4"/>
  <c r="I97" i="4"/>
  <c r="I92" i="4"/>
  <c r="G97" i="4"/>
  <c r="K96" i="4"/>
  <c r="G125" i="4"/>
  <c r="J96" i="4"/>
  <c r="I96" i="4"/>
  <c r="G117" i="4" l="1"/>
  <c r="AV20" i="1"/>
  <c r="BC20" i="1" s="1"/>
  <c r="BC18" i="1"/>
  <c r="G103" i="4"/>
  <c r="G104" i="4" s="1"/>
  <c r="AW18" i="1"/>
  <c r="AW20" i="1" s="1"/>
  <c r="Z92" i="4"/>
  <c r="AB92" i="4" s="1"/>
  <c r="AB114" i="4"/>
  <c r="Z91" i="4"/>
  <c r="AB91" i="4" s="1"/>
  <c r="M107" i="4"/>
  <c r="O107" i="4" s="1"/>
  <c r="G109" i="4"/>
  <c r="I104" i="4"/>
  <c r="I26" i="4" s="1"/>
  <c r="I40" i="4" s="1"/>
  <c r="L104" i="4"/>
  <c r="L26" i="4" s="1"/>
  <c r="L40" i="4" s="1"/>
  <c r="H104" i="4"/>
  <c r="H26" i="4" s="1"/>
  <c r="M96" i="4"/>
  <c r="O96" i="4" s="1"/>
  <c r="J104" i="4"/>
  <c r="J26" i="4" s="1"/>
  <c r="J40" i="4" s="1"/>
  <c r="K104" i="4"/>
  <c r="K26" i="4" s="1"/>
  <c r="K40" i="4" s="1"/>
  <c r="M97" i="4"/>
  <c r="O97" i="4" s="1"/>
  <c r="H128" i="4"/>
  <c r="H30" i="4" s="1"/>
  <c r="M125" i="4"/>
  <c r="M126" i="4"/>
  <c r="O126" i="4" s="1"/>
  <c r="M101" i="4"/>
  <c r="O101" i="4" s="1"/>
  <c r="M102" i="4"/>
  <c r="O102" i="4" s="1"/>
  <c r="M91" i="4"/>
  <c r="O91" i="4" s="1"/>
  <c r="M114" i="4"/>
  <c r="M92" i="4"/>
  <c r="O92" i="4" s="1"/>
  <c r="M103" i="4" l="1"/>
  <c r="O103" i="4" s="1"/>
  <c r="O104" i="4" s="1"/>
  <c r="F9" i="7" s="1"/>
  <c r="K9" i="7" s="1"/>
  <c r="AX18" i="1"/>
  <c r="AX20" i="1" s="1"/>
  <c r="AY20" i="1" s="1"/>
  <c r="AZ20" i="1" s="1"/>
  <c r="G28" i="4"/>
  <c r="M28" i="4" s="1"/>
  <c r="M109" i="4"/>
  <c r="P111" i="4" s="1"/>
  <c r="M104" i="4"/>
  <c r="G26" i="4"/>
  <c r="M26" i="4" s="1"/>
  <c r="O114" i="4"/>
  <c r="O125" i="4"/>
  <c r="H61" i="4" l="1"/>
  <c r="H14" i="4" s="1"/>
  <c r="H40" i="4" s="1"/>
  <c r="P103" i="4"/>
  <c r="S103" i="4" s="1"/>
  <c r="G61" i="4"/>
  <c r="G14" i="4" s="1"/>
  <c r="G15" i="4"/>
  <c r="G41" i="4" s="1"/>
  <c r="M41" i="4" s="1"/>
  <c r="K11" i="7"/>
  <c r="AY18" i="1"/>
  <c r="AZ18" i="1" s="1"/>
  <c r="M66" i="4"/>
  <c r="M14" i="4" l="1"/>
  <c r="M61" i="4"/>
  <c r="T9" i="7" s="1"/>
  <c r="U9" i="7" s="1"/>
  <c r="G40" i="4"/>
  <c r="M40" i="4" s="1"/>
  <c r="AL3" i="1" l="1"/>
  <c r="AL4" i="1"/>
  <c r="AL32" i="1"/>
  <c r="AL33" i="1"/>
  <c r="AL34" i="1"/>
  <c r="AL129" i="1"/>
  <c r="AL130" i="1"/>
  <c r="AL131" i="1"/>
  <c r="AL132" i="1"/>
  <c r="AL133" i="1"/>
  <c r="AL134" i="1"/>
  <c r="M15" i="4" l="1"/>
  <c r="AM25" i="1"/>
  <c r="X54" i="6"/>
  <c r="O54" i="6"/>
  <c r="P54" i="6" s="1"/>
  <c r="S54" i="6" s="1"/>
  <c r="T54" i="6" s="1"/>
  <c r="U54" i="6" s="1"/>
  <c r="V54" i="6" s="1"/>
  <c r="N54" i="6"/>
  <c r="L54" i="6"/>
  <c r="X53" i="6"/>
  <c r="N53" i="6"/>
  <c r="P53" i="6" s="1"/>
  <c r="S53" i="6" s="1"/>
  <c r="T53" i="6" s="1"/>
  <c r="U53" i="6" s="1"/>
  <c r="V53" i="6" s="1"/>
  <c r="L53" i="6"/>
  <c r="X52" i="6"/>
  <c r="N52" i="6"/>
  <c r="P52" i="6" s="1"/>
  <c r="S52" i="6" s="1"/>
  <c r="T52" i="6" s="1"/>
  <c r="U52" i="6" s="1"/>
  <c r="V52" i="6" s="1"/>
  <c r="L52" i="6"/>
  <c r="R52" i="6" s="1"/>
  <c r="X51" i="6"/>
  <c r="O51" i="6"/>
  <c r="N51" i="6"/>
  <c r="L51" i="6"/>
  <c r="X50" i="6"/>
  <c r="O50" i="6"/>
  <c r="N50" i="6"/>
  <c r="L50" i="6"/>
  <c r="X49" i="6"/>
  <c r="O49" i="6"/>
  <c r="P49" i="6" s="1"/>
  <c r="S49" i="6" s="1"/>
  <c r="T49" i="6" s="1"/>
  <c r="U49" i="6" s="1"/>
  <c r="V49" i="6" s="1"/>
  <c r="N49" i="6"/>
  <c r="L49" i="6"/>
  <c r="X48" i="6"/>
  <c r="O48" i="6"/>
  <c r="N48" i="6"/>
  <c r="P48" i="6" s="1"/>
  <c r="L48" i="6"/>
  <c r="X47" i="6"/>
  <c r="O47" i="6"/>
  <c r="P47" i="6" s="1"/>
  <c r="L47" i="6"/>
  <c r="N46" i="6"/>
  <c r="P46" i="6" s="1"/>
  <c r="L46" i="6"/>
  <c r="X46" i="6" s="1"/>
  <c r="X45" i="6"/>
  <c r="O45" i="6"/>
  <c r="P45" i="6" s="1"/>
  <c r="N45" i="6"/>
  <c r="L45" i="6"/>
  <c r="P44" i="6"/>
  <c r="S44" i="6" s="1"/>
  <c r="T44" i="6" s="1"/>
  <c r="U44" i="6" s="1"/>
  <c r="V44" i="6" s="1"/>
  <c r="L44" i="6"/>
  <c r="O43" i="6"/>
  <c r="N43" i="6"/>
  <c r="L43" i="6"/>
  <c r="X43" i="6" s="1"/>
  <c r="X42" i="6"/>
  <c r="O42" i="6"/>
  <c r="N42" i="6"/>
  <c r="L42" i="6"/>
  <c r="X41" i="6"/>
  <c r="O41" i="6"/>
  <c r="N41" i="6"/>
  <c r="L41" i="6"/>
  <c r="P40" i="6"/>
  <c r="S40" i="6" s="1"/>
  <c r="T40" i="6" s="1"/>
  <c r="U40" i="6" s="1"/>
  <c r="V40" i="6" s="1"/>
  <c r="W40" i="6" s="1"/>
  <c r="A40" i="6" s="1"/>
  <c r="O40" i="6"/>
  <c r="N40" i="6"/>
  <c r="L40" i="6"/>
  <c r="X40" i="6" s="1"/>
  <c r="X39" i="6"/>
  <c r="O39" i="6"/>
  <c r="N39" i="6"/>
  <c r="L39" i="6"/>
  <c r="O38" i="6"/>
  <c r="N38" i="6"/>
  <c r="L38" i="6"/>
  <c r="X38" i="6" s="1"/>
  <c r="X37" i="6"/>
  <c r="O37" i="6"/>
  <c r="P37" i="6" s="1"/>
  <c r="L37" i="6"/>
  <c r="X36" i="6"/>
  <c r="P36" i="6"/>
  <c r="S36" i="6" s="1"/>
  <c r="T36" i="6" s="1"/>
  <c r="L36" i="6"/>
  <c r="R36" i="6" s="1"/>
  <c r="X35" i="6"/>
  <c r="O35" i="6"/>
  <c r="N35" i="6"/>
  <c r="L35" i="6"/>
  <c r="X34" i="6"/>
  <c r="N34" i="6"/>
  <c r="P34" i="6" s="1"/>
  <c r="L34" i="6"/>
  <c r="X33" i="6"/>
  <c r="O33" i="6"/>
  <c r="N33" i="6"/>
  <c r="L33" i="6"/>
  <c r="X32" i="6"/>
  <c r="O32" i="6"/>
  <c r="N32" i="6"/>
  <c r="L32" i="6"/>
  <c r="X31" i="6"/>
  <c r="O31" i="6"/>
  <c r="P31" i="6" s="1"/>
  <c r="S31" i="6" s="1"/>
  <c r="T31" i="6" s="1"/>
  <c r="U31" i="6" s="1"/>
  <c r="V31" i="6" s="1"/>
  <c r="N31" i="6"/>
  <c r="L31" i="6"/>
  <c r="X30" i="6"/>
  <c r="O30" i="6"/>
  <c r="N30" i="6"/>
  <c r="L30" i="6"/>
  <c r="X29" i="6"/>
  <c r="N29" i="6"/>
  <c r="P29" i="6" s="1"/>
  <c r="L29" i="6"/>
  <c r="X28" i="6"/>
  <c r="P28" i="6"/>
  <c r="S28" i="6" s="1"/>
  <c r="T28" i="6" s="1"/>
  <c r="U28" i="6" s="1"/>
  <c r="V28" i="6" s="1"/>
  <c r="W28" i="6" s="1"/>
  <c r="L28" i="6"/>
  <c r="R28" i="6" s="1"/>
  <c r="X27" i="6"/>
  <c r="P27" i="6"/>
  <c r="S27" i="6" s="1"/>
  <c r="T27" i="6" s="1"/>
  <c r="U27" i="6" s="1"/>
  <c r="V27" i="6" s="1"/>
  <c r="Y27" i="6" s="1"/>
  <c r="L27" i="6"/>
  <c r="R27" i="6" s="1"/>
  <c r="X26" i="6"/>
  <c r="N26" i="6"/>
  <c r="P26" i="6" s="1"/>
  <c r="S26" i="6" s="1"/>
  <c r="T26" i="6" s="1"/>
  <c r="U26" i="6" s="1"/>
  <c r="V26" i="6" s="1"/>
  <c r="Y26" i="6" s="1"/>
  <c r="L26" i="6"/>
  <c r="X25" i="6"/>
  <c r="P25" i="6"/>
  <c r="S25" i="6" s="1"/>
  <c r="T25" i="6" s="1"/>
  <c r="U25" i="6" s="1"/>
  <c r="V25" i="6" s="1"/>
  <c r="L25" i="6"/>
  <c r="R25" i="6" s="1"/>
  <c r="X24" i="6"/>
  <c r="P24" i="6"/>
  <c r="S24" i="6" s="1"/>
  <c r="T24" i="6" s="1"/>
  <c r="U24" i="6" s="1"/>
  <c r="V24" i="6" s="1"/>
  <c r="L24" i="6"/>
  <c r="X23" i="6"/>
  <c r="K23" i="6"/>
  <c r="O23" i="6" s="1"/>
  <c r="P23" i="6" s="1"/>
  <c r="S23" i="6" s="1"/>
  <c r="T23" i="6" s="1"/>
  <c r="U23" i="6" s="1"/>
  <c r="V23" i="6" s="1"/>
  <c r="X22" i="6"/>
  <c r="P22" i="6"/>
  <c r="S22" i="6" s="1"/>
  <c r="T22" i="6" s="1"/>
  <c r="U22" i="6" s="1"/>
  <c r="V22" i="6" s="1"/>
  <c r="L22" i="6"/>
  <c r="X21" i="6"/>
  <c r="O21" i="6"/>
  <c r="N21" i="6"/>
  <c r="L21" i="6"/>
  <c r="X20" i="6"/>
  <c r="O20" i="6"/>
  <c r="N20" i="6"/>
  <c r="P20" i="6" s="1"/>
  <c r="S20" i="6" s="1"/>
  <c r="T20" i="6" s="1"/>
  <c r="U20" i="6" s="1"/>
  <c r="V20" i="6" s="1"/>
  <c r="L20" i="6"/>
  <c r="X19" i="6"/>
  <c r="O19" i="6"/>
  <c r="N19" i="6"/>
  <c r="L19" i="6"/>
  <c r="X18" i="6"/>
  <c r="O18" i="6"/>
  <c r="P18" i="6" s="1"/>
  <c r="N18" i="6"/>
  <c r="L18" i="6"/>
  <c r="X17" i="6"/>
  <c r="O17" i="6"/>
  <c r="N17" i="6"/>
  <c r="P17" i="6" s="1"/>
  <c r="S17" i="6" s="1"/>
  <c r="T17" i="6" s="1"/>
  <c r="U17" i="6" s="1"/>
  <c r="V17" i="6" s="1"/>
  <c r="W17" i="6" s="1"/>
  <c r="A17" i="6" s="1"/>
  <c r="L17" i="6"/>
  <c r="O16" i="6"/>
  <c r="P16" i="6" s="1"/>
  <c r="N16" i="6"/>
  <c r="L16" i="6"/>
  <c r="X16" i="6" s="1"/>
  <c r="X15" i="6"/>
  <c r="O15" i="6"/>
  <c r="P15" i="6" s="1"/>
  <c r="R15" i="6" s="1"/>
  <c r="N15" i="6"/>
  <c r="L15" i="6"/>
  <c r="O14" i="6"/>
  <c r="N14" i="6"/>
  <c r="L14" i="6"/>
  <c r="X13" i="6"/>
  <c r="O13" i="6"/>
  <c r="P13" i="6" s="1"/>
  <c r="S13" i="6" s="1"/>
  <c r="T13" i="6" s="1"/>
  <c r="U13" i="6" s="1"/>
  <c r="V13" i="6" s="1"/>
  <c r="N13" i="6"/>
  <c r="L13" i="6"/>
  <c r="X12" i="6"/>
  <c r="O12" i="6"/>
  <c r="P12" i="6" s="1"/>
  <c r="S12" i="6" s="1"/>
  <c r="T12" i="6" s="1"/>
  <c r="U12" i="6" s="1"/>
  <c r="V12" i="6" s="1"/>
  <c r="N12" i="6"/>
  <c r="L12" i="6"/>
  <c r="O11" i="6"/>
  <c r="P11" i="6" s="1"/>
  <c r="S11" i="6" s="1"/>
  <c r="T11" i="6" s="1"/>
  <c r="U11" i="6" s="1"/>
  <c r="V11" i="6" s="1"/>
  <c r="Y11" i="6" s="1"/>
  <c r="N11" i="6"/>
  <c r="L11" i="6"/>
  <c r="X11" i="6" s="1"/>
  <c r="X10" i="6"/>
  <c r="O10" i="6"/>
  <c r="N10" i="6"/>
  <c r="L10" i="6"/>
  <c r="P9" i="6"/>
  <c r="R9" i="6" s="1"/>
  <c r="O9" i="6"/>
  <c r="N9" i="6"/>
  <c r="L9" i="6"/>
  <c r="X9" i="6" s="1"/>
  <c r="X8" i="6"/>
  <c r="O8" i="6"/>
  <c r="N8" i="6"/>
  <c r="L8" i="6"/>
  <c r="O7" i="6"/>
  <c r="P7" i="6" s="1"/>
  <c r="S7" i="6" s="1"/>
  <c r="T7" i="6" s="1"/>
  <c r="U7" i="6" s="1"/>
  <c r="V7" i="6" s="1"/>
  <c r="N7" i="6"/>
  <c r="L7" i="6"/>
  <c r="X6" i="6"/>
  <c r="P6" i="6"/>
  <c r="S6" i="6" s="1"/>
  <c r="T6" i="6" s="1"/>
  <c r="U6" i="6" s="1"/>
  <c r="V6" i="6" s="1"/>
  <c r="L6" i="6"/>
  <c r="X5" i="6"/>
  <c r="N5" i="6"/>
  <c r="O5" i="6" s="1"/>
  <c r="P5" i="6" s="1"/>
  <c r="L5" i="6"/>
  <c r="R16" i="6" l="1"/>
  <c r="S16" i="6"/>
  <c r="T16" i="6" s="1"/>
  <c r="U16" i="6" s="1"/>
  <c r="V16" i="6" s="1"/>
  <c r="W16" i="6" s="1"/>
  <c r="A16" i="6" s="1"/>
  <c r="R17" i="6"/>
  <c r="S9" i="6"/>
  <c r="T9" i="6" s="1"/>
  <c r="U9" i="6" s="1"/>
  <c r="V9" i="6" s="1"/>
  <c r="P19" i="6"/>
  <c r="S19" i="6" s="1"/>
  <c r="T19" i="6" s="1"/>
  <c r="U19" i="6" s="1"/>
  <c r="V19" i="6" s="1"/>
  <c r="P33" i="6"/>
  <c r="S33" i="6" s="1"/>
  <c r="T33" i="6" s="1"/>
  <c r="U33" i="6" s="1"/>
  <c r="V33" i="6" s="1"/>
  <c r="P35" i="6"/>
  <c r="P38" i="6"/>
  <c r="Y40" i="6"/>
  <c r="P41" i="6"/>
  <c r="P42" i="6"/>
  <c r="S42" i="6" s="1"/>
  <c r="T42" i="6" s="1"/>
  <c r="U42" i="6" s="1"/>
  <c r="V42" i="6" s="1"/>
  <c r="P43" i="6"/>
  <c r="R11" i="6"/>
  <c r="R7" i="6"/>
  <c r="P10" i="6"/>
  <c r="S10" i="6" s="1"/>
  <c r="T10" i="6" s="1"/>
  <c r="U10" i="6" s="1"/>
  <c r="V10" i="6" s="1"/>
  <c r="R13" i="6"/>
  <c r="P21" i="6"/>
  <c r="S21" i="6" s="1"/>
  <c r="T21" i="6" s="1"/>
  <c r="U21" i="6" s="1"/>
  <c r="V21" i="6" s="1"/>
  <c r="P39" i="6"/>
  <c r="S39" i="6" s="1"/>
  <c r="T39" i="6" s="1"/>
  <c r="U39" i="6" s="1"/>
  <c r="V39" i="6" s="1"/>
  <c r="Y39" i="6" s="1"/>
  <c r="Z40" i="6"/>
  <c r="AA40" i="6" s="1"/>
  <c r="AB40" i="6" s="1"/>
  <c r="P50" i="6"/>
  <c r="P51" i="6"/>
  <c r="R54" i="6"/>
  <c r="R6" i="6"/>
  <c r="P8" i="6"/>
  <c r="S8" i="6" s="1"/>
  <c r="T8" i="6" s="1"/>
  <c r="U8" i="6" s="1"/>
  <c r="V8" i="6" s="1"/>
  <c r="R20" i="6"/>
  <c r="P32" i="6"/>
  <c r="S32" i="6" s="1"/>
  <c r="T32" i="6" s="1"/>
  <c r="U32" i="6" s="1"/>
  <c r="V32" i="6" s="1"/>
  <c r="Y32" i="6" s="1"/>
  <c r="R53" i="6"/>
  <c r="AS25" i="1"/>
  <c r="G127" i="4"/>
  <c r="AL25" i="1"/>
  <c r="AL26" i="1"/>
  <c r="AU27" i="1"/>
  <c r="BC27" i="1" s="1"/>
  <c r="AL27" i="1"/>
  <c r="W9" i="6"/>
  <c r="Y9" i="6"/>
  <c r="W21" i="6"/>
  <c r="Y21" i="6"/>
  <c r="U36" i="6"/>
  <c r="V36" i="6" s="1"/>
  <c r="Y24" i="6"/>
  <c r="W24" i="6"/>
  <c r="W6" i="6"/>
  <c r="Y6" i="6"/>
  <c r="S29" i="6"/>
  <c r="T29" i="6" s="1"/>
  <c r="U29" i="6" s="1"/>
  <c r="V29" i="6" s="1"/>
  <c r="R29" i="6"/>
  <c r="Y31" i="6"/>
  <c r="W31" i="6"/>
  <c r="W13" i="6"/>
  <c r="Y13" i="6"/>
  <c r="R10" i="6"/>
  <c r="Y20" i="6"/>
  <c r="W20" i="6"/>
  <c r="Y22" i="6"/>
  <c r="W22" i="6"/>
  <c r="W33" i="6"/>
  <c r="Y33" i="6"/>
  <c r="W39" i="6"/>
  <c r="Y8" i="6"/>
  <c r="W8" i="6"/>
  <c r="W7" i="6"/>
  <c r="Y7" i="6"/>
  <c r="W12" i="6"/>
  <c r="Y12" i="6"/>
  <c r="W23" i="6"/>
  <c r="Y23" i="6"/>
  <c r="Y25" i="6"/>
  <c r="W25" i="6"/>
  <c r="S5" i="6"/>
  <c r="R8" i="6"/>
  <c r="Y19" i="6"/>
  <c r="W19" i="6"/>
  <c r="W32" i="6"/>
  <c r="S41" i="6"/>
  <c r="T41" i="6" s="1"/>
  <c r="U41" i="6" s="1"/>
  <c r="V41" i="6" s="1"/>
  <c r="R41" i="6"/>
  <c r="R12" i="6"/>
  <c r="S18" i="6"/>
  <c r="T18" i="6" s="1"/>
  <c r="U18" i="6" s="1"/>
  <c r="V18" i="6" s="1"/>
  <c r="R18" i="6"/>
  <c r="R42" i="6"/>
  <c r="R46" i="6"/>
  <c r="S46" i="6"/>
  <c r="T46" i="6" s="1"/>
  <c r="U46" i="6" s="1"/>
  <c r="V46" i="6" s="1"/>
  <c r="S50" i="6"/>
  <c r="T50" i="6" s="1"/>
  <c r="U50" i="6" s="1"/>
  <c r="V50" i="6" s="1"/>
  <c r="R50" i="6"/>
  <c r="Y16" i="6"/>
  <c r="AC16" i="6" s="1"/>
  <c r="R30" i="6"/>
  <c r="S15" i="6"/>
  <c r="T15" i="6" s="1"/>
  <c r="U15" i="6" s="1"/>
  <c r="V15" i="6" s="1"/>
  <c r="Z16" i="6"/>
  <c r="AA16" i="6" s="1"/>
  <c r="AB16" i="6" s="1"/>
  <c r="Y17" i="6"/>
  <c r="R47" i="6"/>
  <c r="S47" i="6"/>
  <c r="T47" i="6" s="1"/>
  <c r="U47" i="6" s="1"/>
  <c r="V47" i="6" s="1"/>
  <c r="Y53" i="6"/>
  <c r="W53" i="6"/>
  <c r="W11" i="6"/>
  <c r="Z17" i="6"/>
  <c r="AA17" i="6" s="1"/>
  <c r="AB17" i="6" s="1"/>
  <c r="R19" i="6"/>
  <c r="R21" i="6"/>
  <c r="Y28" i="6"/>
  <c r="AC28" i="6" s="1"/>
  <c r="P30" i="6"/>
  <c r="S30" i="6" s="1"/>
  <c r="T30" i="6" s="1"/>
  <c r="U30" i="6" s="1"/>
  <c r="V30" i="6" s="1"/>
  <c r="W49" i="6"/>
  <c r="Y49" i="6"/>
  <c r="S51" i="6"/>
  <c r="T51" i="6" s="1"/>
  <c r="U51" i="6" s="1"/>
  <c r="V51" i="6" s="1"/>
  <c r="R51" i="6"/>
  <c r="Y44" i="6"/>
  <c r="W44" i="6"/>
  <c r="X7" i="6"/>
  <c r="R5" i="6"/>
  <c r="S37" i="6"/>
  <c r="T37" i="6" s="1"/>
  <c r="U37" i="6" s="1"/>
  <c r="V37" i="6" s="1"/>
  <c r="R37" i="6"/>
  <c r="R45" i="6"/>
  <c r="S45" i="6"/>
  <c r="T45" i="6" s="1"/>
  <c r="U45" i="6" s="1"/>
  <c r="V45" i="6" s="1"/>
  <c r="Z28" i="6"/>
  <c r="AA28" i="6" s="1"/>
  <c r="AB28" i="6" s="1"/>
  <c r="A28" i="6"/>
  <c r="R33" i="6"/>
  <c r="R43" i="6"/>
  <c r="S43" i="6"/>
  <c r="T43" i="6" s="1"/>
  <c r="U43" i="6" s="1"/>
  <c r="V43" i="6" s="1"/>
  <c r="S48" i="6"/>
  <c r="T48" i="6" s="1"/>
  <c r="U48" i="6" s="1"/>
  <c r="V48" i="6" s="1"/>
  <c r="R48" i="6"/>
  <c r="Y54" i="6"/>
  <c r="W54" i="6"/>
  <c r="R44" i="6"/>
  <c r="X44" i="6"/>
  <c r="W26" i="6"/>
  <c r="Y42" i="6"/>
  <c r="W42" i="6"/>
  <c r="X57" i="6"/>
  <c r="P14" i="6"/>
  <c r="S14" i="6" s="1"/>
  <c r="T14" i="6" s="1"/>
  <c r="U14" i="6" s="1"/>
  <c r="V14" i="6" s="1"/>
  <c r="R26" i="6"/>
  <c r="W27" i="6"/>
  <c r="R31" i="6"/>
  <c r="S34" i="6"/>
  <c r="T34" i="6" s="1"/>
  <c r="U34" i="6" s="1"/>
  <c r="V34" i="6" s="1"/>
  <c r="R34" i="6"/>
  <c r="R40" i="6"/>
  <c r="AC40" i="6" s="1"/>
  <c r="Y52" i="6"/>
  <c r="W52" i="6"/>
  <c r="X14" i="6"/>
  <c r="R22" i="6"/>
  <c r="R24" i="6"/>
  <c r="R49" i="6"/>
  <c r="L23" i="6"/>
  <c r="R23" i="6" s="1"/>
  <c r="R35" i="6" l="1"/>
  <c r="S35" i="6"/>
  <c r="T35" i="6" s="1"/>
  <c r="U35" i="6" s="1"/>
  <c r="V35" i="6" s="1"/>
  <c r="R32" i="6"/>
  <c r="R38" i="6"/>
  <c r="S38" i="6"/>
  <c r="T38" i="6" s="1"/>
  <c r="U38" i="6" s="1"/>
  <c r="V38" i="6" s="1"/>
  <c r="R39" i="6"/>
  <c r="M132" i="4"/>
  <c r="O132" i="4" s="1"/>
  <c r="G139" i="4"/>
  <c r="AY27" i="1"/>
  <c r="AL135" i="1"/>
  <c r="AZ25" i="1"/>
  <c r="G128" i="4"/>
  <c r="G30" i="4" s="1"/>
  <c r="H140" i="4"/>
  <c r="Y15" i="6"/>
  <c r="W15" i="6"/>
  <c r="S57" i="6"/>
  <c r="T5" i="6"/>
  <c r="A49" i="6"/>
  <c r="Z49" i="6"/>
  <c r="AA49" i="6" s="1"/>
  <c r="AB49" i="6" s="1"/>
  <c r="Z32" i="6"/>
  <c r="A32" i="6"/>
  <c r="Z25" i="6"/>
  <c r="AA25" i="6" s="1"/>
  <c r="AB25" i="6" s="1"/>
  <c r="A25" i="6"/>
  <c r="Z7" i="6"/>
  <c r="AA7" i="6" s="1"/>
  <c r="AB7" i="6" s="1"/>
  <c r="A7" i="6"/>
  <c r="A22" i="6"/>
  <c r="Z22" i="6"/>
  <c r="AA22" i="6" s="1"/>
  <c r="AB22" i="6" s="1"/>
  <c r="W50" i="6"/>
  <c r="Y50" i="6"/>
  <c r="Z12" i="6"/>
  <c r="AA12" i="6" s="1"/>
  <c r="AB12" i="6" s="1"/>
  <c r="A12" i="6"/>
  <c r="A11" i="6"/>
  <c r="Z11" i="6"/>
  <c r="AA11" i="6" s="1"/>
  <c r="AB11" i="6" s="1"/>
  <c r="Y48" i="6"/>
  <c r="W48" i="6"/>
  <c r="W34" i="6"/>
  <c r="Y34" i="6"/>
  <c r="Z26" i="6"/>
  <c r="AA26" i="6" s="1"/>
  <c r="AB26" i="6" s="1"/>
  <c r="A26" i="6"/>
  <c r="Y43" i="6"/>
  <c r="W43" i="6"/>
  <c r="Z44" i="6"/>
  <c r="AA44" i="6" s="1"/>
  <c r="AB44" i="6" s="1"/>
  <c r="A44" i="6"/>
  <c r="Y30" i="6"/>
  <c r="W30" i="6"/>
  <c r="Z8" i="6"/>
  <c r="AA8" i="6" s="1"/>
  <c r="AB8" i="6" s="1"/>
  <c r="A8" i="6"/>
  <c r="Z6" i="6"/>
  <c r="A6" i="6"/>
  <c r="Y51" i="6"/>
  <c r="W51" i="6"/>
  <c r="W29" i="6"/>
  <c r="Y29" i="6"/>
  <c r="Z42" i="6"/>
  <c r="AA42" i="6" s="1"/>
  <c r="AB42" i="6" s="1"/>
  <c r="A42" i="6"/>
  <c r="W41" i="6"/>
  <c r="Y41" i="6"/>
  <c r="W36" i="6"/>
  <c r="Y36" i="6"/>
  <c r="Y47" i="6"/>
  <c r="W47" i="6"/>
  <c r="Z19" i="6"/>
  <c r="AA19" i="6" s="1"/>
  <c r="AB19" i="6" s="1"/>
  <c r="A19" i="6"/>
  <c r="Z20" i="6"/>
  <c r="AA20" i="6" s="1"/>
  <c r="AB20" i="6" s="1"/>
  <c r="A20" i="6"/>
  <c r="Z13" i="6"/>
  <c r="AA13" i="6" s="1"/>
  <c r="AB13" i="6" s="1"/>
  <c r="A13" i="6"/>
  <c r="A24" i="6"/>
  <c r="Z24" i="6"/>
  <c r="AA24" i="6" s="1"/>
  <c r="AB24" i="6" s="1"/>
  <c r="Z21" i="6"/>
  <c r="AA21" i="6" s="1"/>
  <c r="AB21" i="6" s="1"/>
  <c r="A21" i="6"/>
  <c r="Y46" i="6"/>
  <c r="W46" i="6"/>
  <c r="Y10" i="6"/>
  <c r="W10" i="6"/>
  <c r="A53" i="6"/>
  <c r="Z53" i="6"/>
  <c r="P57" i="6"/>
  <c r="Y45" i="6"/>
  <c r="W45" i="6"/>
  <c r="Z27" i="6"/>
  <c r="A27" i="6"/>
  <c r="L57" i="6"/>
  <c r="W18" i="6"/>
  <c r="Y18" i="6"/>
  <c r="Z23" i="6"/>
  <c r="AA23" i="6" s="1"/>
  <c r="AB23" i="6" s="1"/>
  <c r="A23" i="6"/>
  <c r="A39" i="6"/>
  <c r="Z39" i="6"/>
  <c r="AC20" i="6"/>
  <c r="Z31" i="6"/>
  <c r="AA31" i="6" s="1"/>
  <c r="AB31" i="6" s="1"/>
  <c r="A31" i="6"/>
  <c r="Y14" i="6"/>
  <c r="W14" i="6"/>
  <c r="AC17" i="6"/>
  <c r="R14" i="6"/>
  <c r="R57" i="6" s="1"/>
  <c r="Z33" i="6"/>
  <c r="AA33" i="6" s="1"/>
  <c r="AB33" i="6" s="1"/>
  <c r="A33" i="6"/>
  <c r="A52" i="6"/>
  <c r="Z52" i="6"/>
  <c r="AA52" i="6" s="1"/>
  <c r="AB52" i="6" s="1"/>
  <c r="AC26" i="6"/>
  <c r="A54" i="6"/>
  <c r="Z54" i="6"/>
  <c r="AA54" i="6" s="1"/>
  <c r="AB54" i="6" s="1"/>
  <c r="W37" i="6"/>
  <c r="Y37" i="6"/>
  <c r="AC12" i="6"/>
  <c r="Z9" i="6"/>
  <c r="A9" i="6"/>
  <c r="AA59" i="6" l="1"/>
  <c r="AC19" i="6"/>
  <c r="AC21" i="6"/>
  <c r="AC22" i="6"/>
  <c r="AC24" i="6"/>
  <c r="W35" i="6"/>
  <c r="Y35" i="6"/>
  <c r="W38" i="6"/>
  <c r="Y38" i="6"/>
  <c r="G144" i="4"/>
  <c r="H145" i="4"/>
  <c r="AZ27" i="1"/>
  <c r="AC13" i="6"/>
  <c r="AC49" i="6"/>
  <c r="AA6" i="6"/>
  <c r="AB6" i="6" s="1"/>
  <c r="A48" i="6"/>
  <c r="Z48" i="6"/>
  <c r="AA48" i="6" s="1"/>
  <c r="AB48" i="6" s="1"/>
  <c r="AC48" i="6" s="1"/>
  <c r="A36" i="6"/>
  <c r="Z36" i="6"/>
  <c r="AA36" i="6" s="1"/>
  <c r="AB36" i="6" s="1"/>
  <c r="AA9" i="6"/>
  <c r="AB9" i="6" s="1"/>
  <c r="Z43" i="6"/>
  <c r="A43" i="6"/>
  <c r="AC8" i="6"/>
  <c r="AC31" i="6"/>
  <c r="A10" i="6"/>
  <c r="Z10" i="6"/>
  <c r="AA10" i="6" s="1"/>
  <c r="AB10" i="6" s="1"/>
  <c r="A34" i="6"/>
  <c r="Z34" i="6"/>
  <c r="AA34" i="6" s="1"/>
  <c r="AB34" i="6" s="1"/>
  <c r="Z47" i="6"/>
  <c r="A47" i="6"/>
  <c r="AC11" i="6"/>
  <c r="A50" i="6"/>
  <c r="Z50" i="6"/>
  <c r="AC33" i="6"/>
  <c r="Z46" i="6"/>
  <c r="AA46" i="6" s="1"/>
  <c r="AB46" i="6" s="1"/>
  <c r="A46" i="6"/>
  <c r="Z14" i="6"/>
  <c r="AA14" i="6" s="1"/>
  <c r="AB14" i="6" s="1"/>
  <c r="A14" i="6"/>
  <c r="Z29" i="6"/>
  <c r="AA29" i="6" s="1"/>
  <c r="AB29" i="6" s="1"/>
  <c r="A29" i="6"/>
  <c r="AC25" i="6"/>
  <c r="AA32" i="6"/>
  <c r="AB32" i="6" s="1"/>
  <c r="AC32" i="6"/>
  <c r="AC52" i="6"/>
  <c r="A37" i="6"/>
  <c r="Z37" i="6"/>
  <c r="AA37" i="6" s="1"/>
  <c r="AB37" i="6" s="1"/>
  <c r="Z45" i="6"/>
  <c r="AA45" i="6" s="1"/>
  <c r="AB45" i="6" s="1"/>
  <c r="A45" i="6"/>
  <c r="A15" i="6"/>
  <c r="Z15" i="6"/>
  <c r="AA15" i="6" s="1"/>
  <c r="AB15" i="6" s="1"/>
  <c r="AA39" i="6"/>
  <c r="AB39" i="6" s="1"/>
  <c r="AC39" i="6"/>
  <c r="Z41" i="6"/>
  <c r="AA41" i="6" s="1"/>
  <c r="AB41" i="6" s="1"/>
  <c r="A41" i="6"/>
  <c r="AC44" i="6"/>
  <c r="AA53" i="6"/>
  <c r="AB53" i="6" s="1"/>
  <c r="AC53" i="6"/>
  <c r="AC54" i="6"/>
  <c r="Z18" i="6"/>
  <c r="AA18" i="6" s="1"/>
  <c r="AB18" i="6" s="1"/>
  <c r="A18" i="6"/>
  <c r="AA27" i="6"/>
  <c r="AB27" i="6" s="1"/>
  <c r="AC27" i="6"/>
  <c r="AC18" i="6"/>
  <c r="A51" i="6"/>
  <c r="Z51" i="6"/>
  <c r="AA51" i="6" s="1"/>
  <c r="AB51" i="6" s="1"/>
  <c r="Z30" i="6"/>
  <c r="AA30" i="6" s="1"/>
  <c r="AB30" i="6" s="1"/>
  <c r="A30" i="6"/>
  <c r="AC23" i="6"/>
  <c r="AC42" i="6"/>
  <c r="T57" i="6"/>
  <c r="U5" i="6"/>
  <c r="AC7" i="6"/>
  <c r="A38" i="6" l="1"/>
  <c r="Z38" i="6"/>
  <c r="AA38" i="6" s="1"/>
  <c r="AB38" i="6" s="1"/>
  <c r="AC38" i="6"/>
  <c r="AC34" i="6"/>
  <c r="A35" i="6"/>
  <c r="Z35" i="6"/>
  <c r="AC10" i="6"/>
  <c r="AC6" i="6"/>
  <c r="AC45" i="6"/>
  <c r="AC15" i="6"/>
  <c r="AC36" i="6"/>
  <c r="AA47" i="6"/>
  <c r="AB47" i="6" s="1"/>
  <c r="AC46" i="6"/>
  <c r="AC30" i="6"/>
  <c r="U57" i="6"/>
  <c r="V5" i="6"/>
  <c r="AA43" i="6"/>
  <c r="AB43" i="6" s="1"/>
  <c r="AC43" i="6"/>
  <c r="AC29" i="6"/>
  <c r="AA50" i="6"/>
  <c r="AB50" i="6" s="1"/>
  <c r="AC14" i="6"/>
  <c r="AC37" i="6"/>
  <c r="AC51" i="6"/>
  <c r="AC9" i="6"/>
  <c r="AC41" i="6"/>
  <c r="AC50" i="6" l="1"/>
  <c r="AA35" i="6"/>
  <c r="AB35" i="6" s="1"/>
  <c r="AC35" i="6"/>
  <c r="AC47" i="6"/>
  <c r="V57" i="6"/>
  <c r="W5" i="6"/>
  <c r="Y5" i="6"/>
  <c r="Y57" i="6" s="1"/>
  <c r="Y58" i="6" s="1"/>
  <c r="W57" i="6" l="1"/>
  <c r="Z5" i="6"/>
  <c r="A5" i="6"/>
  <c r="Z57" i="6" l="1"/>
  <c r="AA5" i="6"/>
  <c r="AA57" i="6" l="1"/>
  <c r="AB5" i="6"/>
  <c r="AB57" i="6" l="1"/>
  <c r="AC57" i="6" s="1"/>
  <c r="AC5" i="6"/>
  <c r="J14" i="1" l="1"/>
  <c r="M14" i="1"/>
  <c r="X14" i="1"/>
  <c r="AA19" i="1"/>
  <c r="AB19" i="1" s="1"/>
  <c r="AC19" i="1" s="1"/>
  <c r="AD19" i="1" s="1"/>
  <c r="AE19" i="1" s="1"/>
  <c r="AF19" i="1" s="1"/>
  <c r="AG19" i="1" s="1"/>
  <c r="AH19" i="1" s="1"/>
  <c r="AA18" i="1"/>
  <c r="AI19" i="1" l="1"/>
  <c r="AJ19" i="1" s="1"/>
  <c r="AL14" i="1"/>
  <c r="AB18" i="1"/>
  <c r="AC18" i="1" s="1"/>
  <c r="AD18" i="1" s="1"/>
  <c r="AE18" i="1" s="1"/>
  <c r="AF18" i="1" s="1"/>
  <c r="AG18" i="1" s="1"/>
  <c r="AH18" i="1" s="1"/>
  <c r="AO40" i="1"/>
  <c r="AO41" i="1"/>
  <c r="AO42" i="1"/>
  <c r="AO43" i="1"/>
  <c r="AO44" i="1"/>
  <c r="H83" i="4"/>
  <c r="AU89" i="1" l="1"/>
  <c r="AU81" i="1"/>
  <c r="AU73" i="1"/>
  <c r="AU65" i="1"/>
  <c r="AU57" i="1"/>
  <c r="AU49" i="1"/>
  <c r="AP41" i="1"/>
  <c r="AQ41" i="1" s="1"/>
  <c r="AR41" i="1" s="1"/>
  <c r="AU41" i="1" s="1"/>
  <c r="AU88" i="1"/>
  <c r="AU80" i="1"/>
  <c r="AU72" i="1"/>
  <c r="AU64" i="1"/>
  <c r="AU56" i="1"/>
  <c r="AU48" i="1"/>
  <c r="AP40" i="1"/>
  <c r="AQ40" i="1" s="1"/>
  <c r="AR40" i="1" s="1"/>
  <c r="AU40" i="1" s="1"/>
  <c r="AU82" i="1"/>
  <c r="AP42" i="1"/>
  <c r="AQ42" i="1" s="1"/>
  <c r="AR42" i="1" s="1"/>
  <c r="AU42" i="1" s="1"/>
  <c r="AU39" i="1"/>
  <c r="AU87" i="1"/>
  <c r="AU79" i="1"/>
  <c r="AU71" i="1"/>
  <c r="AU63" i="1"/>
  <c r="AU55" i="1"/>
  <c r="AU47" i="1"/>
  <c r="AU90" i="1"/>
  <c r="AU66" i="1"/>
  <c r="AU50" i="1"/>
  <c r="AU94" i="1"/>
  <c r="AU86" i="1"/>
  <c r="AU78" i="1"/>
  <c r="AU70" i="1"/>
  <c r="AU62" i="1"/>
  <c r="AU54" i="1"/>
  <c r="AU46" i="1"/>
  <c r="AU58" i="1"/>
  <c r="AU93" i="1"/>
  <c r="AU85" i="1"/>
  <c r="AU77" i="1"/>
  <c r="AU69" i="1"/>
  <c r="AU61" i="1"/>
  <c r="AU53" i="1"/>
  <c r="AU92" i="1"/>
  <c r="AU84" i="1"/>
  <c r="AU76" i="1"/>
  <c r="AU68" i="1"/>
  <c r="AU60" i="1"/>
  <c r="AU52" i="1"/>
  <c r="AP44" i="1"/>
  <c r="AQ44" i="1" s="1"/>
  <c r="AR44" i="1" s="1"/>
  <c r="AU44" i="1" s="1"/>
  <c r="AI18" i="1"/>
  <c r="AJ18" i="1" s="1"/>
  <c r="AU91" i="1"/>
  <c r="AU83" i="1"/>
  <c r="AU75" i="1"/>
  <c r="AU67" i="1"/>
  <c r="AU59" i="1"/>
  <c r="AU51" i="1"/>
  <c r="AP43" i="1"/>
  <c r="AQ43" i="1" s="1"/>
  <c r="AR43" i="1" s="1"/>
  <c r="AU43" i="1" s="1"/>
  <c r="AV60" i="1" l="1"/>
  <c r="AV47" i="1"/>
  <c r="AV41" i="1"/>
  <c r="AV70" i="1"/>
  <c r="AV75" i="1"/>
  <c r="AV85" i="1"/>
  <c r="AV83" i="1"/>
  <c r="AV71" i="1"/>
  <c r="AV56" i="1"/>
  <c r="AV68" i="1"/>
  <c r="AV49" i="1"/>
  <c r="AV78" i="1"/>
  <c r="AV93" i="1"/>
  <c r="AV58" i="1"/>
  <c r="AV79" i="1"/>
  <c r="AV64" i="1"/>
  <c r="AV73" i="1"/>
  <c r="AV48" i="1"/>
  <c r="AV86" i="1"/>
  <c r="AV91" i="1"/>
  <c r="AV92" i="1"/>
  <c r="AY74" i="1"/>
  <c r="AV50" i="1"/>
  <c r="AV87" i="1"/>
  <c r="AV72" i="1"/>
  <c r="AV81" i="1"/>
  <c r="AV59" i="1"/>
  <c r="AV69" i="1"/>
  <c r="AV82" i="1"/>
  <c r="AV77" i="1"/>
  <c r="AV40" i="1"/>
  <c r="AV76" i="1"/>
  <c r="AV57" i="1"/>
  <c r="AV43" i="1"/>
  <c r="AV44" i="1"/>
  <c r="AV53" i="1"/>
  <c r="AV46" i="1"/>
  <c r="AV66" i="1"/>
  <c r="AV39" i="1"/>
  <c r="AV80" i="1"/>
  <c r="AV89" i="1"/>
  <c r="AV62" i="1"/>
  <c r="AV67" i="1"/>
  <c r="AV55" i="1"/>
  <c r="AV63" i="1"/>
  <c r="AV84" i="1"/>
  <c r="AV51" i="1"/>
  <c r="AV52" i="1"/>
  <c r="AV61" i="1"/>
  <c r="AV54" i="1"/>
  <c r="AV90" i="1"/>
  <c r="AV42" i="1"/>
  <c r="AV88" i="1"/>
  <c r="AV65" i="1"/>
  <c r="AV94" i="1"/>
  <c r="BC94" i="1" s="1"/>
  <c r="AS44" i="1"/>
  <c r="AS76" i="1"/>
  <c r="AS69" i="1"/>
  <c r="AS49" i="1"/>
  <c r="AS78" i="1"/>
  <c r="AS57" i="1"/>
  <c r="AS61" i="1"/>
  <c r="AS40" i="1"/>
  <c r="AS82" i="1"/>
  <c r="AS77" i="1"/>
  <c r="AS74" i="1"/>
  <c r="AS59" i="1"/>
  <c r="AS72" i="1"/>
  <c r="AS81" i="1"/>
  <c r="AS67" i="1"/>
  <c r="AS46" i="1"/>
  <c r="AS89" i="1"/>
  <c r="AS87" i="1"/>
  <c r="AS75" i="1"/>
  <c r="AS70" i="1"/>
  <c r="AS90" i="1"/>
  <c r="AS91" i="1"/>
  <c r="AS92" i="1"/>
  <c r="AS54" i="1"/>
  <c r="AS88" i="1"/>
  <c r="AS64" i="1"/>
  <c r="AS43" i="1"/>
  <c r="AS48" i="1"/>
  <c r="AS47" i="1"/>
  <c r="AS85" i="1"/>
  <c r="AS62" i="1"/>
  <c r="AS41" i="1"/>
  <c r="AS56" i="1"/>
  <c r="AS58" i="1"/>
  <c r="AS83" i="1"/>
  <c r="AS60" i="1"/>
  <c r="AS45" i="1"/>
  <c r="AS55" i="1"/>
  <c r="AS86" i="1"/>
  <c r="AS65" i="1"/>
  <c r="AS42" i="1"/>
  <c r="AS71" i="1"/>
  <c r="AS93" i="1"/>
  <c r="AS50" i="1"/>
  <c r="AS52" i="1"/>
  <c r="AS94" i="1"/>
  <c r="AS66" i="1"/>
  <c r="AS80" i="1"/>
  <c r="AS68" i="1"/>
  <c r="AS53" i="1"/>
  <c r="AS79" i="1"/>
  <c r="AS63" i="1"/>
  <c r="AS73" i="1"/>
  <c r="AS84" i="1"/>
  <c r="AS51" i="1"/>
  <c r="AW65" i="1" l="1"/>
  <c r="AX65" i="1" s="1"/>
  <c r="BC65" i="1"/>
  <c r="AW39" i="1"/>
  <c r="AX39" i="1" s="1"/>
  <c r="AY39" i="1" s="1"/>
  <c r="AZ39" i="1" s="1"/>
  <c r="BC39" i="1"/>
  <c r="AW40" i="1"/>
  <c r="AX40" i="1" s="1"/>
  <c r="BC40" i="1"/>
  <c r="AW50" i="1"/>
  <c r="AX50" i="1" s="1"/>
  <c r="AY50" i="1" s="1"/>
  <c r="BC50" i="1"/>
  <c r="AW83" i="1"/>
  <c r="AX83" i="1" s="1"/>
  <c r="BC83" i="1"/>
  <c r="AW58" i="1"/>
  <c r="AX58" i="1" s="1"/>
  <c r="BC58" i="1"/>
  <c r="AW42" i="1"/>
  <c r="AX42" i="1" s="1"/>
  <c r="BC42" i="1"/>
  <c r="AW63" i="1"/>
  <c r="AX63" i="1" s="1"/>
  <c r="BC63" i="1"/>
  <c r="AW46" i="1"/>
  <c r="AX46" i="1" s="1"/>
  <c r="BC46" i="1"/>
  <c r="AW82" i="1"/>
  <c r="AX82" i="1" s="1"/>
  <c r="BC82" i="1"/>
  <c r="AW92" i="1"/>
  <c r="AX92" i="1" s="1"/>
  <c r="BC92" i="1"/>
  <c r="AW93" i="1"/>
  <c r="AX93" i="1" s="1"/>
  <c r="BC93" i="1"/>
  <c r="AW75" i="1"/>
  <c r="AX75" i="1" s="1"/>
  <c r="BC75" i="1"/>
  <c r="AW90" i="1"/>
  <c r="AX90" i="1" s="1"/>
  <c r="BC90" i="1"/>
  <c r="AW55" i="1"/>
  <c r="AX55" i="1" s="1"/>
  <c r="BC55" i="1"/>
  <c r="AW69" i="1"/>
  <c r="AX69" i="1" s="1"/>
  <c r="BC69" i="1"/>
  <c r="AW91" i="1"/>
  <c r="AX91" i="1" s="1"/>
  <c r="BC91" i="1"/>
  <c r="AW78" i="1"/>
  <c r="AX78" i="1" s="1"/>
  <c r="BC78" i="1"/>
  <c r="AW70" i="1"/>
  <c r="AX70" i="1" s="1"/>
  <c r="BC70" i="1"/>
  <c r="AW88" i="1"/>
  <c r="AX88" i="1" s="1"/>
  <c r="BC88" i="1"/>
  <c r="AW77" i="1"/>
  <c r="AX77" i="1" s="1"/>
  <c r="BC77" i="1"/>
  <c r="AW54" i="1"/>
  <c r="AX54" i="1" s="1"/>
  <c r="BC54" i="1"/>
  <c r="AW67" i="1"/>
  <c r="AX67" i="1" s="1"/>
  <c r="BC67" i="1"/>
  <c r="AW44" i="1"/>
  <c r="AX44" i="1" s="1"/>
  <c r="BC44" i="1"/>
  <c r="AW59" i="1"/>
  <c r="AX59" i="1" s="1"/>
  <c r="BC59" i="1"/>
  <c r="AW86" i="1"/>
  <c r="AX86" i="1" s="1"/>
  <c r="BC86" i="1"/>
  <c r="AW85" i="1"/>
  <c r="AX85" i="1" s="1"/>
  <c r="BC85" i="1"/>
  <c r="AW61" i="1"/>
  <c r="AX61" i="1" s="1"/>
  <c r="AY61" i="1" s="1"/>
  <c r="AZ61" i="1" s="1"/>
  <c r="BC61" i="1"/>
  <c r="AW62" i="1"/>
  <c r="AX62" i="1" s="1"/>
  <c r="BC62" i="1"/>
  <c r="AW43" i="1"/>
  <c r="AX43" i="1" s="1"/>
  <c r="BC43" i="1"/>
  <c r="AW48" i="1"/>
  <c r="AX48" i="1" s="1"/>
  <c r="BC48" i="1"/>
  <c r="AW68" i="1"/>
  <c r="AX68" i="1" s="1"/>
  <c r="BC68" i="1"/>
  <c r="AW41" i="1"/>
  <c r="BC41" i="1"/>
  <c r="AW66" i="1"/>
  <c r="AX66" i="1" s="1"/>
  <c r="AY66" i="1" s="1"/>
  <c r="BC66" i="1"/>
  <c r="AW52" i="1"/>
  <c r="AX52" i="1" s="1"/>
  <c r="BC52" i="1"/>
  <c r="AW89" i="1"/>
  <c r="AX89" i="1" s="1"/>
  <c r="BC89" i="1"/>
  <c r="AW57" i="1"/>
  <c r="AX57" i="1" s="1"/>
  <c r="BC57" i="1"/>
  <c r="AW72" i="1"/>
  <c r="AX72" i="1" s="1"/>
  <c r="BC72" i="1"/>
  <c r="AW73" i="1"/>
  <c r="AX73" i="1" s="1"/>
  <c r="BC73" i="1"/>
  <c r="AW56" i="1"/>
  <c r="AX56" i="1" s="1"/>
  <c r="BC56" i="1"/>
  <c r="AW47" i="1"/>
  <c r="AX47" i="1" s="1"/>
  <c r="BC47" i="1"/>
  <c r="AW84" i="1"/>
  <c r="AX84" i="1" s="1"/>
  <c r="BC84" i="1"/>
  <c r="AW51" i="1"/>
  <c r="AX51" i="1" s="1"/>
  <c r="BC51" i="1"/>
  <c r="AW80" i="1"/>
  <c r="AX80" i="1" s="1"/>
  <c r="BC80" i="1"/>
  <c r="AW76" i="1"/>
  <c r="AX76" i="1" s="1"/>
  <c r="BC76" i="1"/>
  <c r="AW87" i="1"/>
  <c r="AX87" i="1" s="1"/>
  <c r="BC87" i="1"/>
  <c r="AW64" i="1"/>
  <c r="AX64" i="1" s="1"/>
  <c r="BC64" i="1"/>
  <c r="AW71" i="1"/>
  <c r="AX71" i="1" s="1"/>
  <c r="AY71" i="1" s="1"/>
  <c r="AZ71" i="1" s="1"/>
  <c r="BC71" i="1"/>
  <c r="AW60" i="1"/>
  <c r="AX60" i="1" s="1"/>
  <c r="BC60" i="1"/>
  <c r="AW81" i="1"/>
  <c r="AX81" i="1" s="1"/>
  <c r="AY81" i="1" s="1"/>
  <c r="AZ81" i="1" s="1"/>
  <c r="BC81" i="1"/>
  <c r="AW79" i="1"/>
  <c r="AX79" i="1" s="1"/>
  <c r="BC79" i="1"/>
  <c r="AW53" i="1"/>
  <c r="AX53" i="1" s="1"/>
  <c r="BC53" i="1"/>
  <c r="AW49" i="1"/>
  <c r="AX49" i="1" s="1"/>
  <c r="BC49" i="1"/>
  <c r="AY59" i="1"/>
  <c r="AZ59" i="1" s="1"/>
  <c r="AY70" i="1"/>
  <c r="AY77" i="1"/>
  <c r="AZ77" i="1" s="1"/>
  <c r="AY40" i="1"/>
  <c r="AZ40" i="1" s="1"/>
  <c r="AY83" i="1"/>
  <c r="AZ83" i="1" s="1"/>
  <c r="AY90" i="1"/>
  <c r="AZ90" i="1" s="1"/>
  <c r="AY78" i="1"/>
  <c r="AZ78" i="1" s="1"/>
  <c r="AZ74" i="1"/>
  <c r="AY54" i="1"/>
  <c r="AZ54" i="1" s="1"/>
  <c r="AY85" i="1"/>
  <c r="AZ85" i="1" s="1"/>
  <c r="AY91" i="1"/>
  <c r="AZ91" i="1" s="1"/>
  <c r="AY47" i="1"/>
  <c r="AZ47" i="1" s="1"/>
  <c r="AW45" i="1"/>
  <c r="AX45" i="1" s="1"/>
  <c r="AY88" i="1"/>
  <c r="AZ88" i="1" s="1"/>
  <c r="AY63" i="1"/>
  <c r="AZ63" i="1" s="1"/>
  <c r="AY46" i="1"/>
  <c r="AZ46" i="1" s="1"/>
  <c r="AY82" i="1"/>
  <c r="AZ82" i="1" s="1"/>
  <c r="AY48" i="1"/>
  <c r="AZ48" i="1" s="1"/>
  <c r="AY58" i="1"/>
  <c r="AZ58" i="1" s="1"/>
  <c r="AZ66" i="1"/>
  <c r="AZ50" i="1"/>
  <c r="AZ70" i="1"/>
  <c r="AY42" i="1"/>
  <c r="AZ42" i="1" s="1"/>
  <c r="AY55" i="1"/>
  <c r="AZ55" i="1" s="1"/>
  <c r="AY76" i="1"/>
  <c r="AZ76" i="1" s="1"/>
  <c r="AY69" i="1"/>
  <c r="AZ69" i="1" s="1"/>
  <c r="AY87" i="1"/>
  <c r="AZ87" i="1" s="1"/>
  <c r="AY92" i="1"/>
  <c r="AZ92" i="1" s="1"/>
  <c r="AY73" i="1"/>
  <c r="AZ73" i="1" s="1"/>
  <c r="AY93" i="1"/>
  <c r="AZ93" i="1" s="1"/>
  <c r="AY75" i="1"/>
  <c r="AZ75" i="1" s="1"/>
  <c r="AY65" i="1"/>
  <c r="AZ65" i="1" s="1"/>
  <c r="AW94" i="1"/>
  <c r="M16" i="1"/>
  <c r="AY52" i="1" l="1"/>
  <c r="AZ52" i="1" s="1"/>
  <c r="AY72" i="1"/>
  <c r="AZ72" i="1" s="1"/>
  <c r="AY60" i="1"/>
  <c r="AZ60" i="1" s="1"/>
  <c r="AY53" i="1"/>
  <c r="AZ53" i="1" s="1"/>
  <c r="AY57" i="1"/>
  <c r="AZ57" i="1" s="1"/>
  <c r="AY62" i="1"/>
  <c r="AZ62" i="1" s="1"/>
  <c r="AY86" i="1"/>
  <c r="AZ86" i="1" s="1"/>
  <c r="AY80" i="1"/>
  <c r="AZ80" i="1" s="1"/>
  <c r="AY51" i="1"/>
  <c r="AZ51" i="1" s="1"/>
  <c r="AY64" i="1"/>
  <c r="AZ64" i="1" s="1"/>
  <c r="AY56" i="1"/>
  <c r="AZ56" i="1" s="1"/>
  <c r="AY89" i="1"/>
  <c r="AZ89" i="1" s="1"/>
  <c r="AY67" i="1"/>
  <c r="AZ67" i="1" s="1"/>
  <c r="AY43" i="1"/>
  <c r="AZ43" i="1" s="1"/>
  <c r="AY44" i="1"/>
  <c r="AZ44" i="1" s="1"/>
  <c r="AX41" i="1"/>
  <c r="AY41" i="1" s="1"/>
  <c r="AZ41" i="1" s="1"/>
  <c r="AY68" i="1"/>
  <c r="AZ68" i="1" s="1"/>
  <c r="AY84" i="1"/>
  <c r="AZ84" i="1" s="1"/>
  <c r="AY79" i="1"/>
  <c r="AZ79" i="1" s="1"/>
  <c r="AY49" i="1"/>
  <c r="AZ49" i="1" s="1"/>
  <c r="AY45" i="1"/>
  <c r="AZ45" i="1" s="1"/>
  <c r="AX94" i="1"/>
  <c r="AY94" i="1" s="1"/>
  <c r="N33" i="2"/>
  <c r="AZ94" i="1" l="1"/>
  <c r="E39" i="2"/>
  <c r="E79" i="2"/>
  <c r="Z99" i="1" s="1"/>
  <c r="AN99" i="1" s="1"/>
  <c r="E59" i="2"/>
  <c r="F59" i="2"/>
  <c r="G59" i="2"/>
  <c r="H59" i="2"/>
  <c r="I59" i="2"/>
  <c r="J59" i="2"/>
  <c r="K59" i="2"/>
  <c r="L59" i="2"/>
  <c r="M59" i="2"/>
  <c r="D59" i="2"/>
  <c r="D58" i="2"/>
  <c r="E58" i="2"/>
  <c r="F58" i="2"/>
  <c r="G58" i="2"/>
  <c r="H58" i="2"/>
  <c r="I58" i="2"/>
  <c r="J58" i="2"/>
  <c r="K58" i="2"/>
  <c r="L58" i="2"/>
  <c r="M58" i="2"/>
  <c r="C58" i="2"/>
  <c r="C59" i="2"/>
  <c r="E80" i="2" l="1"/>
  <c r="Z100" i="1"/>
  <c r="AN100" i="1" s="1"/>
  <c r="AO100" i="1" s="1"/>
  <c r="AP100" i="1" s="1"/>
  <c r="AQ100" i="1" s="1"/>
  <c r="AR100" i="1" s="1"/>
  <c r="AO99" i="1"/>
  <c r="AP99" i="1" s="1"/>
  <c r="AQ99" i="1" s="1"/>
  <c r="AR99" i="1" s="1"/>
  <c r="AM129" i="1"/>
  <c r="H139" i="4"/>
  <c r="AX135" i="1"/>
  <c r="AU130" i="1"/>
  <c r="AV130" i="1"/>
  <c r="AW130" i="1"/>
  <c r="AX130" i="1"/>
  <c r="AU131" i="1"/>
  <c r="AV131" i="1"/>
  <c r="AW131" i="1"/>
  <c r="AX131" i="1"/>
  <c r="AU133" i="1"/>
  <c r="AV133" i="1"/>
  <c r="AW133" i="1"/>
  <c r="AX133" i="1"/>
  <c r="AU134" i="1"/>
  <c r="AV134" i="1"/>
  <c r="AW134" i="1"/>
  <c r="AX134" i="1"/>
  <c r="AM130" i="1"/>
  <c r="AM131" i="1"/>
  <c r="AM132" i="1"/>
  <c r="AM133" i="1"/>
  <c r="AM134" i="1"/>
  <c r="AO13" i="1"/>
  <c r="AP13" i="1"/>
  <c r="AQ13" i="1"/>
  <c r="B1" i="3"/>
  <c r="AI12" i="1"/>
  <c r="AI13" i="1"/>
  <c r="X15" i="1"/>
  <c r="M15" i="1"/>
  <c r="M12" i="1"/>
  <c r="J12" i="1"/>
  <c r="G154" i="3"/>
  <c r="G163" i="3" s="1"/>
  <c r="F152" i="3"/>
  <c r="E151" i="3"/>
  <c r="F149" i="3"/>
  <c r="E148" i="3"/>
  <c r="F146" i="3"/>
  <c r="E145" i="3"/>
  <c r="F143" i="3"/>
  <c r="E142" i="3"/>
  <c r="F140" i="3"/>
  <c r="E139" i="3"/>
  <c r="F137" i="3"/>
  <c r="E136" i="3"/>
  <c r="F134" i="3"/>
  <c r="E133" i="3"/>
  <c r="F130" i="3"/>
  <c r="E129" i="3"/>
  <c r="F127" i="3"/>
  <c r="E126" i="3"/>
  <c r="F124" i="3"/>
  <c r="E123" i="3"/>
  <c r="F121" i="3"/>
  <c r="E120" i="3"/>
  <c r="F118" i="3"/>
  <c r="E117" i="3"/>
  <c r="F115" i="3"/>
  <c r="E114" i="3"/>
  <c r="F112" i="3"/>
  <c r="E111" i="3"/>
  <c r="F109" i="3"/>
  <c r="E108" i="3"/>
  <c r="F106" i="3"/>
  <c r="M105" i="3"/>
  <c r="E105" i="3"/>
  <c r="F103" i="3"/>
  <c r="E102" i="3"/>
  <c r="F100" i="3"/>
  <c r="E99" i="3"/>
  <c r="F97" i="3"/>
  <c r="E96" i="3"/>
  <c r="F94" i="3"/>
  <c r="E93" i="3"/>
  <c r="F91" i="3"/>
  <c r="E90" i="3"/>
  <c r="F88" i="3"/>
  <c r="E87" i="3"/>
  <c r="F85" i="3"/>
  <c r="E84" i="3"/>
  <c r="F82" i="3"/>
  <c r="E81" i="3"/>
  <c r="F77" i="3"/>
  <c r="E76" i="3"/>
  <c r="F74" i="3"/>
  <c r="F73" i="3"/>
  <c r="E72" i="3"/>
  <c r="F60" i="3"/>
  <c r="E59" i="3"/>
  <c r="F56" i="3"/>
  <c r="E55" i="3"/>
  <c r="F51" i="3"/>
  <c r="E50" i="3"/>
  <c r="F48" i="3"/>
  <c r="E47" i="3"/>
  <c r="F41" i="3"/>
  <c r="E40" i="3"/>
  <c r="F34" i="3"/>
  <c r="E33" i="3"/>
  <c r="F24" i="3"/>
  <c r="E23" i="3"/>
  <c r="F20" i="3"/>
  <c r="E19" i="3"/>
  <c r="F17" i="3"/>
  <c r="E16" i="3"/>
  <c r="F14" i="3"/>
  <c r="E13" i="3"/>
  <c r="F11" i="3"/>
  <c r="E10" i="3"/>
  <c r="F8" i="3"/>
  <c r="E7" i="3"/>
  <c r="B4" i="3"/>
  <c r="C2" i="3"/>
  <c r="C3" i="3" s="1"/>
  <c r="M13" i="1"/>
  <c r="J15" i="1"/>
  <c r="J13" i="1"/>
  <c r="AN9" i="1"/>
  <c r="AM9" i="1"/>
  <c r="E6" i="1"/>
  <c r="E5" i="1"/>
  <c r="AU3" i="1"/>
  <c r="AU2" i="1"/>
  <c r="F41" i="2"/>
  <c r="F39" i="2"/>
  <c r="F65" i="2"/>
  <c r="I120" i="4" s="1"/>
  <c r="I71" i="4" s="1"/>
  <c r="F61" i="2"/>
  <c r="E69" i="2"/>
  <c r="D14" i="2"/>
  <c r="D81" i="2"/>
  <c r="C81" i="2"/>
  <c r="C69" i="2"/>
  <c r="C71" i="2" s="1"/>
  <c r="J49" i="2"/>
  <c r="I49" i="2" s="1"/>
  <c r="E49" i="2"/>
  <c r="J48" i="2"/>
  <c r="I48" i="2" s="1"/>
  <c r="E48" i="2"/>
  <c r="D48" i="2" s="1"/>
  <c r="J47" i="2"/>
  <c r="I47" i="2" s="1"/>
  <c r="E47" i="2"/>
  <c r="D47" i="2" s="1"/>
  <c r="C7" i="2"/>
  <c r="AO111" i="1" l="1"/>
  <c r="AO112" i="1"/>
  <c r="D143" i="3"/>
  <c r="B5" i="3"/>
  <c r="J165" i="3" s="1"/>
  <c r="C4" i="3"/>
  <c r="D159" i="3"/>
  <c r="D158" i="3"/>
  <c r="E154" i="3"/>
  <c r="E163" i="3" s="1"/>
  <c r="O12" i="1" s="1"/>
  <c r="F155" i="3"/>
  <c r="D155" i="3" s="1"/>
  <c r="H144" i="4"/>
  <c r="AO115" i="1"/>
  <c r="AO114" i="1"/>
  <c r="D50" i="2"/>
  <c r="G65" i="2"/>
  <c r="J120" i="4" s="1"/>
  <c r="J71" i="4" s="1"/>
  <c r="I69" i="4"/>
  <c r="I72" i="4" s="1"/>
  <c r="H116" i="4"/>
  <c r="AN132" i="1"/>
  <c r="G41" i="2"/>
  <c r="AO32" i="1"/>
  <c r="AO34" i="1"/>
  <c r="AO33" i="1"/>
  <c r="AO35" i="1"/>
  <c r="H115" i="4"/>
  <c r="G61" i="2"/>
  <c r="I83" i="4"/>
  <c r="AQ128" i="1"/>
  <c r="K95" i="4"/>
  <c r="K98" i="4" s="1"/>
  <c r="K25" i="4" s="1"/>
  <c r="K39" i="4" s="1"/>
  <c r="AP128" i="1"/>
  <c r="J95" i="4"/>
  <c r="J98" i="4" s="1"/>
  <c r="J25" i="4" s="1"/>
  <c r="J39" i="4" s="1"/>
  <c r="AO128" i="1"/>
  <c r="I95" i="4"/>
  <c r="I98" i="4" s="1"/>
  <c r="I25" i="4" s="1"/>
  <c r="I39" i="4" s="1"/>
  <c r="AM13" i="1"/>
  <c r="AM12" i="1"/>
  <c r="G90" i="4" s="1"/>
  <c r="AL15" i="1"/>
  <c r="G39" i="2"/>
  <c r="H39" i="2" s="1"/>
  <c r="I39" i="2" s="1"/>
  <c r="J39" i="2" s="1"/>
  <c r="AU35" i="1" s="1"/>
  <c r="K47" i="2"/>
  <c r="E81" i="2"/>
  <c r="F79" i="2" s="1"/>
  <c r="AA99" i="1" s="1"/>
  <c r="AU13" i="1"/>
  <c r="AR13" i="1"/>
  <c r="AN13" i="1"/>
  <c r="AN12" i="1"/>
  <c r="AU135" i="1"/>
  <c r="AV135" i="1"/>
  <c r="AY133" i="1"/>
  <c r="AY131" i="1"/>
  <c r="AY130" i="1"/>
  <c r="AY134" i="1"/>
  <c r="AS134" i="1"/>
  <c r="AW135" i="1"/>
  <c r="AS131" i="1"/>
  <c r="AS130" i="1"/>
  <c r="AS133" i="1"/>
  <c r="AM135" i="1"/>
  <c r="D16" i="3"/>
  <c r="H50" i="3"/>
  <c r="H99" i="3"/>
  <c r="H33" i="3"/>
  <c r="D47" i="3"/>
  <c r="D51" i="3"/>
  <c r="H90" i="3"/>
  <c r="D96" i="3"/>
  <c r="D100" i="3"/>
  <c r="D109" i="3"/>
  <c r="H123" i="3"/>
  <c r="D129" i="3"/>
  <c r="D134" i="3"/>
  <c r="H148" i="3"/>
  <c r="D81" i="3"/>
  <c r="H16" i="3"/>
  <c r="D34" i="3"/>
  <c r="H59" i="3"/>
  <c r="D87" i="3"/>
  <c r="H105" i="3"/>
  <c r="H114" i="3"/>
  <c r="D124" i="3"/>
  <c r="D145" i="3"/>
  <c r="H7" i="3"/>
  <c r="D13" i="3"/>
  <c r="D17" i="3"/>
  <c r="H47" i="3"/>
  <c r="D55" i="3"/>
  <c r="D60" i="3"/>
  <c r="D76" i="3"/>
  <c r="D82" i="3"/>
  <c r="H96" i="3"/>
  <c r="D102" i="3"/>
  <c r="D111" i="3"/>
  <c r="D115" i="3"/>
  <c r="H129" i="3"/>
  <c r="D136" i="3"/>
  <c r="D140" i="3"/>
  <c r="H10" i="3"/>
  <c r="D85" i="3"/>
  <c r="D7" i="3"/>
  <c r="D91" i="3"/>
  <c r="D120" i="3"/>
  <c r="H139" i="3"/>
  <c r="D149" i="3"/>
  <c r="H158" i="3"/>
  <c r="D8" i="3"/>
  <c r="H23" i="3"/>
  <c r="D40" i="3"/>
  <c r="D48" i="3"/>
  <c r="H87" i="3"/>
  <c r="D93" i="3"/>
  <c r="D97" i="3"/>
  <c r="D106" i="3"/>
  <c r="H120" i="3"/>
  <c r="D126" i="3"/>
  <c r="D130" i="3"/>
  <c r="H145" i="3"/>
  <c r="D151" i="3"/>
  <c r="H154" i="3"/>
  <c r="D11" i="3"/>
  <c r="D23" i="3"/>
  <c r="H81" i="3"/>
  <c r="H13" i="3"/>
  <c r="D19" i="3"/>
  <c r="D24" i="3"/>
  <c r="H55" i="3"/>
  <c r="D72" i="3"/>
  <c r="H76" i="3"/>
  <c r="D84" i="3"/>
  <c r="D88" i="3"/>
  <c r="H102" i="3"/>
  <c r="H111" i="3"/>
  <c r="D117" i="3"/>
  <c r="D121" i="3"/>
  <c r="H136" i="3"/>
  <c r="D142" i="3"/>
  <c r="D146" i="3"/>
  <c r="D50" i="3"/>
  <c r="H93" i="3"/>
  <c r="D112" i="3"/>
  <c r="D20" i="3"/>
  <c r="D10" i="3"/>
  <c r="D14" i="3"/>
  <c r="H40" i="3"/>
  <c r="D56" i="3"/>
  <c r="D77" i="3"/>
  <c r="D99" i="3"/>
  <c r="D103" i="3"/>
  <c r="D108" i="3"/>
  <c r="H126" i="3"/>
  <c r="D133" i="3"/>
  <c r="D137" i="3"/>
  <c r="H151" i="3"/>
  <c r="H19" i="3"/>
  <c r="D33" i="3"/>
  <c r="D41" i="3"/>
  <c r="H72" i="3"/>
  <c r="H84" i="3"/>
  <c r="D90" i="3"/>
  <c r="D94" i="3"/>
  <c r="H117" i="3"/>
  <c r="D123" i="3"/>
  <c r="D127" i="3"/>
  <c r="H142" i="3"/>
  <c r="D148" i="3"/>
  <c r="D152" i="3"/>
  <c r="D59" i="3"/>
  <c r="D73" i="3"/>
  <c r="D105" i="3"/>
  <c r="H108" i="3"/>
  <c r="D114" i="3"/>
  <c r="D118" i="3"/>
  <c r="H133" i="3"/>
  <c r="D139" i="3"/>
  <c r="K48" i="2"/>
  <c r="I50" i="2"/>
  <c r="J52" i="2"/>
  <c r="E50" i="2"/>
  <c r="D69" i="2"/>
  <c r="J50" i="2"/>
  <c r="AP111" i="1" l="1"/>
  <c r="AP112" i="1"/>
  <c r="F163" i="3"/>
  <c r="D154" i="3"/>
  <c r="D166" i="3" s="1"/>
  <c r="H163" i="3"/>
  <c r="H167" i="3" s="1"/>
  <c r="G164" i="3"/>
  <c r="AP114" i="1"/>
  <c r="AP115" i="1"/>
  <c r="AO135" i="1"/>
  <c r="I127" i="4"/>
  <c r="I128" i="4" s="1"/>
  <c r="I30" i="4" s="1"/>
  <c r="AU34" i="1"/>
  <c r="V95" i="4"/>
  <c r="V98" i="4" s="1"/>
  <c r="V25" i="4" s="1"/>
  <c r="V39" i="4" s="1"/>
  <c r="H61" i="2"/>
  <c r="J83" i="4"/>
  <c r="I140" i="4"/>
  <c r="G69" i="2"/>
  <c r="H117" i="4"/>
  <c r="H29" i="4" s="1"/>
  <c r="H41" i="2"/>
  <c r="J140" i="4"/>
  <c r="J145" i="4" s="1"/>
  <c r="AP35" i="1"/>
  <c r="AP32" i="1"/>
  <c r="AP34" i="1"/>
  <c r="AP33" i="1"/>
  <c r="F80" i="2"/>
  <c r="AA100" i="1"/>
  <c r="K39" i="2"/>
  <c r="AV35" i="1" s="1"/>
  <c r="BC35" i="1" s="1"/>
  <c r="AU32" i="1"/>
  <c r="AD14" i="1"/>
  <c r="AF14" i="1"/>
  <c r="AG14" i="1"/>
  <c r="AA14" i="1"/>
  <c r="AE14" i="1"/>
  <c r="Y14" i="1"/>
  <c r="AC14" i="1"/>
  <c r="Z14" i="1"/>
  <c r="AH14" i="1"/>
  <c r="AB14" i="1"/>
  <c r="AU12" i="1"/>
  <c r="AU33" i="1"/>
  <c r="H65" i="2"/>
  <c r="K120" i="4" s="1"/>
  <c r="K71" i="4" s="1"/>
  <c r="J69" i="4"/>
  <c r="J72" i="4" s="1"/>
  <c r="G95" i="4"/>
  <c r="G98" i="4" s="1"/>
  <c r="G25" i="4" s="1"/>
  <c r="AS13" i="1"/>
  <c r="I139" i="4"/>
  <c r="AN127" i="1"/>
  <c r="H90" i="4"/>
  <c r="H93" i="4" s="1"/>
  <c r="H24" i="4" s="1"/>
  <c r="H38" i="4" s="1"/>
  <c r="AN128" i="1"/>
  <c r="H95" i="4"/>
  <c r="H98" i="4" s="1"/>
  <c r="H25" i="4" s="1"/>
  <c r="H39" i="4" s="1"/>
  <c r="AR128" i="1"/>
  <c r="L95" i="4"/>
  <c r="L98" i="4" s="1"/>
  <c r="L25" i="4" s="1"/>
  <c r="L39" i="4" s="1"/>
  <c r="G93" i="4"/>
  <c r="G24" i="4" s="1"/>
  <c r="AM127" i="1"/>
  <c r="AV129" i="1"/>
  <c r="AW129" i="1"/>
  <c r="F81" i="2"/>
  <c r="G79" i="2" s="1"/>
  <c r="AB99" i="1" s="1"/>
  <c r="AU129" i="1"/>
  <c r="AE15" i="1"/>
  <c r="AU15" i="1" s="1"/>
  <c r="Y15" i="1"/>
  <c r="AM15" i="1" s="1"/>
  <c r="AF15" i="1"/>
  <c r="AD15" i="1"/>
  <c r="AR15" i="1" s="1"/>
  <c r="AG15" i="1"/>
  <c r="AC15" i="1"/>
  <c r="AQ15" i="1" s="1"/>
  <c r="Z15" i="1"/>
  <c r="AH15" i="1"/>
  <c r="AA15" i="1"/>
  <c r="AO15" i="1" s="1"/>
  <c r="AB15" i="1"/>
  <c r="AP15" i="1" s="1"/>
  <c r="AO12" i="1"/>
  <c r="AU128" i="1"/>
  <c r="AM128" i="1"/>
  <c r="AQ12" i="1"/>
  <c r="AP12" i="1"/>
  <c r="AZ134" i="1"/>
  <c r="AZ131" i="1"/>
  <c r="AZ130" i="1"/>
  <c r="AY135" i="1"/>
  <c r="AZ133" i="1"/>
  <c r="D163" i="3"/>
  <c r="D167" i="3"/>
  <c r="D71" i="2"/>
  <c r="E71" i="2" s="1"/>
  <c r="AQ111" i="1" l="1"/>
  <c r="AQ112" i="1"/>
  <c r="O13" i="1"/>
  <c r="F165" i="3"/>
  <c r="F166" i="3" s="1"/>
  <c r="M25" i="4"/>
  <c r="I43" i="4"/>
  <c r="I145" i="4"/>
  <c r="I144" i="4"/>
  <c r="AQ114" i="1"/>
  <c r="AQ115" i="1"/>
  <c r="AP135" i="1"/>
  <c r="J127" i="4"/>
  <c r="J128" i="4" s="1"/>
  <c r="J30" i="4" s="1"/>
  <c r="J43" i="4" s="1"/>
  <c r="AV15" i="1"/>
  <c r="BC15" i="1" s="1"/>
  <c r="G80" i="2"/>
  <c r="AB100" i="1"/>
  <c r="J115" i="4" s="1"/>
  <c r="J139" i="4"/>
  <c r="J144" i="4" s="1"/>
  <c r="I41" i="2"/>
  <c r="AQ33" i="1"/>
  <c r="AQ35" i="1"/>
  <c r="AQ26" i="1"/>
  <c r="AQ32" i="1"/>
  <c r="AQ34" i="1"/>
  <c r="I65" i="2"/>
  <c r="L120" i="4" s="1"/>
  <c r="L71" i="4" s="1"/>
  <c r="K69" i="4"/>
  <c r="K72" i="4" s="1"/>
  <c r="AM14" i="1"/>
  <c r="AS14" i="1" s="1"/>
  <c r="AZ14" i="1" s="1"/>
  <c r="AI14" i="1"/>
  <c r="AJ14" i="1" s="1"/>
  <c r="AO132" i="1"/>
  <c r="I116" i="4"/>
  <c r="L39" i="2"/>
  <c r="AV32" i="1"/>
  <c r="BC32" i="1" s="1"/>
  <c r="AV34" i="1"/>
  <c r="BC34" i="1" s="1"/>
  <c r="AV33" i="1"/>
  <c r="BC33" i="1" s="1"/>
  <c r="AV12" i="1"/>
  <c r="BC12" i="1" s="1"/>
  <c r="I115" i="4"/>
  <c r="K83" i="4"/>
  <c r="I61" i="2"/>
  <c r="H69" i="2"/>
  <c r="M98" i="4"/>
  <c r="M95" i="4"/>
  <c r="O95" i="4" s="1"/>
  <c r="O98" i="4" s="1"/>
  <c r="K7" i="7" s="1"/>
  <c r="AQ127" i="1"/>
  <c r="K90" i="4"/>
  <c r="K93" i="4" s="1"/>
  <c r="K24" i="4" s="1"/>
  <c r="K38" i="4" s="1"/>
  <c r="AS128" i="1"/>
  <c r="AP127" i="1"/>
  <c r="J90" i="4"/>
  <c r="J93" i="4" s="1"/>
  <c r="J24" i="4" s="1"/>
  <c r="J38" i="4" s="1"/>
  <c r="AO16" i="1"/>
  <c r="AO139" i="1" s="1"/>
  <c r="AO127" i="1"/>
  <c r="I90" i="4"/>
  <c r="AP16" i="1"/>
  <c r="AP137" i="1" s="1"/>
  <c r="AQ16" i="1"/>
  <c r="AN15" i="1"/>
  <c r="AS15" i="1" s="1"/>
  <c r="AU16" i="1"/>
  <c r="AS129" i="1"/>
  <c r="AI15" i="1"/>
  <c r="AJ15" i="1" s="1"/>
  <c r="AR12" i="1"/>
  <c r="X12" i="1"/>
  <c r="AL12" i="1" s="1"/>
  <c r="AV13" i="1"/>
  <c r="BC13" i="1" s="1"/>
  <c r="H165" i="3"/>
  <c r="H164" i="3"/>
  <c r="D168" i="3"/>
  <c r="G81" i="2"/>
  <c r="H79" i="2" s="1"/>
  <c r="AC99" i="1" s="1"/>
  <c r="AR112" i="1" l="1"/>
  <c r="AS112" i="1" s="1"/>
  <c r="AU111" i="1"/>
  <c r="AU112" i="1"/>
  <c r="AR111" i="1"/>
  <c r="AS111" i="1" s="1"/>
  <c r="AQ135" i="1"/>
  <c r="K127" i="4"/>
  <c r="K128" i="4" s="1"/>
  <c r="K30" i="4" s="1"/>
  <c r="K43" i="4" s="1"/>
  <c r="AU114" i="1"/>
  <c r="AR114" i="1"/>
  <c r="AS114" i="1" s="1"/>
  <c r="AR115" i="1"/>
  <c r="V138" i="4"/>
  <c r="V143" i="4" s="1"/>
  <c r="W95" i="4"/>
  <c r="W98" i="4" s="1"/>
  <c r="W25" i="4" s="1"/>
  <c r="W39" i="4" s="1"/>
  <c r="AM16" i="1"/>
  <c r="K139" i="4"/>
  <c r="K144" i="4" s="1"/>
  <c r="K140" i="4"/>
  <c r="I117" i="4"/>
  <c r="I29" i="4" s="1"/>
  <c r="M39" i="2"/>
  <c r="AW32" i="1"/>
  <c r="AW33" i="1"/>
  <c r="AW12" i="1"/>
  <c r="AW34" i="1"/>
  <c r="AW35" i="1"/>
  <c r="J65" i="2"/>
  <c r="V69" i="4" s="1"/>
  <c r="L69" i="4"/>
  <c r="L72" i="4" s="1"/>
  <c r="T12" i="7" s="1"/>
  <c r="I138" i="4"/>
  <c r="AW15" i="1"/>
  <c r="AQ137" i="1"/>
  <c r="J61" i="2"/>
  <c r="V83" i="4" s="1"/>
  <c r="L83" i="4"/>
  <c r="I69" i="2"/>
  <c r="J116" i="4"/>
  <c r="J117" i="4" s="1"/>
  <c r="J29" i="4" s="1"/>
  <c r="AP132" i="1"/>
  <c r="H80" i="2"/>
  <c r="AC100" i="1"/>
  <c r="AQ122" i="1"/>
  <c r="J41" i="2"/>
  <c r="AR33" i="1"/>
  <c r="AR35" i="1"/>
  <c r="AR26" i="1"/>
  <c r="L140" i="4"/>
  <c r="L145" i="4" s="1"/>
  <c r="AR32" i="1"/>
  <c r="AR34" i="1"/>
  <c r="G57" i="4"/>
  <c r="P98" i="4"/>
  <c r="AO137" i="1"/>
  <c r="AP139" i="1"/>
  <c r="J138" i="4"/>
  <c r="AR16" i="1"/>
  <c r="AR127" i="1"/>
  <c r="L90" i="4"/>
  <c r="L93" i="4" s="1"/>
  <c r="L24" i="4" s="1"/>
  <c r="L38" i="4" s="1"/>
  <c r="K138" i="4"/>
  <c r="K143" i="4" s="1"/>
  <c r="I93" i="4"/>
  <c r="I24" i="4" s="1"/>
  <c r="I38" i="4" s="1"/>
  <c r="AN16" i="1"/>
  <c r="AN122" i="1" s="1"/>
  <c r="AS12" i="1"/>
  <c r="AL127" i="1"/>
  <c r="AU137" i="1"/>
  <c r="AM136" i="1"/>
  <c r="AP122" i="1"/>
  <c r="AO122" i="1"/>
  <c r="AV16" i="1"/>
  <c r="H81" i="2"/>
  <c r="I79" i="2" s="1"/>
  <c r="AD99" i="1" s="1"/>
  <c r="AV128" i="1"/>
  <c r="AY136" i="1"/>
  <c r="X13" i="1"/>
  <c r="AJ12" i="1"/>
  <c r="AW13" i="1"/>
  <c r="X95" i="4" s="1"/>
  <c r="X98" i="4" s="1"/>
  <c r="X25" i="4" s="1"/>
  <c r="X39" i="4" s="1"/>
  <c r="AU26" i="1" l="1"/>
  <c r="V139" i="4" s="1"/>
  <c r="V144" i="4" s="1"/>
  <c r="AV112" i="1"/>
  <c r="AV111" i="1"/>
  <c r="BC111" i="1" s="1"/>
  <c r="V90" i="4"/>
  <c r="V93" i="4" s="1"/>
  <c r="V24" i="4" s="1"/>
  <c r="V38" i="4" s="1"/>
  <c r="AU127" i="1"/>
  <c r="W138" i="4"/>
  <c r="W143" i="4" s="1"/>
  <c r="BC16" i="1"/>
  <c r="AM122" i="1"/>
  <c r="G138" i="4"/>
  <c r="K145" i="4"/>
  <c r="M145" i="4" s="1"/>
  <c r="M140" i="4"/>
  <c r="O140" i="4" s="1"/>
  <c r="J141" i="4"/>
  <c r="J156" i="4" s="1"/>
  <c r="J143" i="4"/>
  <c r="J146" i="4" s="1"/>
  <c r="I141" i="4"/>
  <c r="I143" i="4"/>
  <c r="I146" i="4" s="1"/>
  <c r="AS32" i="1"/>
  <c r="AS35" i="1"/>
  <c r="AS33" i="1"/>
  <c r="AS115" i="1"/>
  <c r="AZ115" i="1" s="1"/>
  <c r="AR135" i="1"/>
  <c r="AS135" i="1" s="1"/>
  <c r="AZ135" i="1" s="1"/>
  <c r="L127" i="4"/>
  <c r="K41" i="2"/>
  <c r="AV114" i="1"/>
  <c r="V140" i="4"/>
  <c r="AS34" i="1"/>
  <c r="AX15" i="1"/>
  <c r="AM139" i="1"/>
  <c r="M131" i="4"/>
  <c r="AM137" i="1"/>
  <c r="K141" i="4"/>
  <c r="L139" i="4"/>
  <c r="M139" i="4" s="1"/>
  <c r="I80" i="2"/>
  <c r="I81" i="2" s="1"/>
  <c r="J79" i="2" s="1"/>
  <c r="AE99" i="1" s="1"/>
  <c r="AD100" i="1"/>
  <c r="L115" i="4" s="1"/>
  <c r="AS26" i="1"/>
  <c r="K115" i="4"/>
  <c r="AX32" i="1"/>
  <c r="AX34" i="1"/>
  <c r="AY34" i="1" s="1"/>
  <c r="AX35" i="1"/>
  <c r="AY35" i="1" s="1"/>
  <c r="AX33" i="1"/>
  <c r="AY33" i="1" s="1"/>
  <c r="AQ132" i="1"/>
  <c r="K116" i="4"/>
  <c r="K65" i="2"/>
  <c r="AQ139" i="1"/>
  <c r="AQ140" i="1" s="1"/>
  <c r="J69" i="2"/>
  <c r="K61" i="2"/>
  <c r="W83" i="4" s="1"/>
  <c r="AX12" i="1"/>
  <c r="AS99" i="1"/>
  <c r="AS16" i="1"/>
  <c r="G13" i="4"/>
  <c r="G39" i="4" s="1"/>
  <c r="M39" i="4" s="1"/>
  <c r="M57" i="4"/>
  <c r="T7" i="7" s="1"/>
  <c r="U7" i="7" s="1"/>
  <c r="M24" i="4"/>
  <c r="H138" i="4"/>
  <c r="AN137" i="1"/>
  <c r="AN139" i="1"/>
  <c r="AN140" i="1" s="1"/>
  <c r="AR137" i="1"/>
  <c r="L138" i="4"/>
  <c r="L143" i="4" s="1"/>
  <c r="M90" i="4"/>
  <c r="AX13" i="1"/>
  <c r="AY13" i="1" s="1"/>
  <c r="Z95" i="4" s="1"/>
  <c r="AL13" i="1"/>
  <c r="AO140" i="1"/>
  <c r="AV137" i="1"/>
  <c r="AP140" i="1"/>
  <c r="AS136" i="1"/>
  <c r="AW16" i="1"/>
  <c r="AS127" i="1"/>
  <c r="AW128" i="1"/>
  <c r="AJ13" i="1"/>
  <c r="X138" i="4" l="1"/>
  <c r="X143" i="4" s="1"/>
  <c r="AV26" i="1"/>
  <c r="AW111" i="1"/>
  <c r="AW112" i="1"/>
  <c r="BC112" i="1"/>
  <c r="W90" i="4"/>
  <c r="W93" i="4" s="1"/>
  <c r="W24" i="4" s="1"/>
  <c r="W38" i="4" s="1"/>
  <c r="AV127" i="1"/>
  <c r="L65" i="2"/>
  <c r="W69" i="4"/>
  <c r="W140" i="4"/>
  <c r="BC114" i="1"/>
  <c r="AM140" i="1"/>
  <c r="G143" i="4"/>
  <c r="G146" i="4" s="1"/>
  <c r="G147" i="4" s="1"/>
  <c r="G141" i="4"/>
  <c r="G156" i="4" s="1"/>
  <c r="J32" i="4"/>
  <c r="J34" i="4" s="1"/>
  <c r="J5" i="4" s="1"/>
  <c r="J147" i="4"/>
  <c r="I147" i="4"/>
  <c r="K146" i="4"/>
  <c r="AZ34" i="1"/>
  <c r="I32" i="4"/>
  <c r="I34" i="4" s="1"/>
  <c r="I36" i="4" s="1"/>
  <c r="I156" i="4"/>
  <c r="V141" i="4"/>
  <c r="V32" i="4" s="1"/>
  <c r="V145" i="4"/>
  <c r="V146" i="4" s="1"/>
  <c r="H141" i="4"/>
  <c r="H143" i="4"/>
  <c r="AZ35" i="1"/>
  <c r="O139" i="4"/>
  <c r="L144" i="4"/>
  <c r="M144" i="4" s="1"/>
  <c r="K32" i="4"/>
  <c r="AZ33" i="1"/>
  <c r="L41" i="2"/>
  <c r="AW114" i="1"/>
  <c r="L128" i="4"/>
  <c r="L30" i="4" s="1"/>
  <c r="M127" i="4"/>
  <c r="AB95" i="4"/>
  <c r="Z98" i="4"/>
  <c r="AB98" i="4" s="1"/>
  <c r="AX128" i="1"/>
  <c r="AY128" i="1" s="1"/>
  <c r="Y95" i="4"/>
  <c r="Y98" i="4" s="1"/>
  <c r="Y25" i="4" s="1"/>
  <c r="G31" i="4"/>
  <c r="AZ13" i="1"/>
  <c r="AY15" i="1"/>
  <c r="AY32" i="1"/>
  <c r="AR139" i="1"/>
  <c r="L141" i="4"/>
  <c r="AX16" i="1"/>
  <c r="AY16" i="1" s="1"/>
  <c r="AY12" i="1"/>
  <c r="AZ12" i="1" s="1"/>
  <c r="J80" i="2"/>
  <c r="AE100" i="1"/>
  <c r="AU100" i="1" s="1"/>
  <c r="AU99" i="1"/>
  <c r="L116" i="4"/>
  <c r="M116" i="4" s="1"/>
  <c r="O116" i="4" s="1"/>
  <c r="AR132" i="1"/>
  <c r="AS132" i="1" s="1"/>
  <c r="AR122" i="1"/>
  <c r="K117" i="4"/>
  <c r="K29" i="4" s="1"/>
  <c r="M115" i="4"/>
  <c r="AX129" i="1"/>
  <c r="AY129" i="1" s="1"/>
  <c r="AZ129" i="1" s="1"/>
  <c r="AS100" i="1"/>
  <c r="L61" i="2"/>
  <c r="X83" i="4" s="1"/>
  <c r="K69" i="2"/>
  <c r="M134" i="4"/>
  <c r="O131" i="4"/>
  <c r="O134" i="4" s="1"/>
  <c r="M13" i="4"/>
  <c r="AS137" i="1"/>
  <c r="M138" i="4"/>
  <c r="M93" i="4"/>
  <c r="O90" i="4"/>
  <c r="AL128" i="1"/>
  <c r="AL16" i="1"/>
  <c r="AW137" i="1"/>
  <c r="AX137" i="1"/>
  <c r="J81" i="2"/>
  <c r="K79" i="2" s="1"/>
  <c r="AF99" i="1" s="1"/>
  <c r="X90" i="4" l="1"/>
  <c r="AW127" i="1"/>
  <c r="BC26" i="1"/>
  <c r="W139" i="4"/>
  <c r="W144" i="4" s="1"/>
  <c r="AW26" i="1"/>
  <c r="X139" i="4" s="1"/>
  <c r="X144" i="4" s="1"/>
  <c r="AX111" i="1"/>
  <c r="AX112" i="1"/>
  <c r="M65" i="2"/>
  <c r="X69" i="4"/>
  <c r="W145" i="4"/>
  <c r="J36" i="4"/>
  <c r="G32" i="4"/>
  <c r="G34" i="4" s="1"/>
  <c r="G36" i="4" s="1"/>
  <c r="M143" i="4"/>
  <c r="M146" i="4" s="1"/>
  <c r="G19" i="4"/>
  <c r="G148" i="4"/>
  <c r="M31" i="4"/>
  <c r="V147" i="4"/>
  <c r="V148" i="4" s="1"/>
  <c r="V85" i="4" s="1"/>
  <c r="L18" i="7" s="1"/>
  <c r="V152" i="4"/>
  <c r="Z25" i="4"/>
  <c r="Y39" i="4"/>
  <c r="Z39" i="4" s="1"/>
  <c r="K147" i="4"/>
  <c r="I19" i="4"/>
  <c r="I148" i="4"/>
  <c r="J19" i="4"/>
  <c r="J148" i="4"/>
  <c r="H18" i="7" s="1"/>
  <c r="L43" i="4"/>
  <c r="M30" i="4"/>
  <c r="I5" i="4"/>
  <c r="L146" i="4"/>
  <c r="K156" i="4"/>
  <c r="L32" i="4"/>
  <c r="H146" i="4"/>
  <c r="H32" i="4"/>
  <c r="H156" i="4"/>
  <c r="K34" i="4"/>
  <c r="K36" i="4" s="1"/>
  <c r="M135" i="4"/>
  <c r="O135" i="4" s="1"/>
  <c r="P135" i="4" s="1"/>
  <c r="M128" i="4"/>
  <c r="O127" i="4"/>
  <c r="O128" i="4" s="1"/>
  <c r="X140" i="4"/>
  <c r="M41" i="2"/>
  <c r="AX114" i="1"/>
  <c r="Y140" i="4" s="1"/>
  <c r="Y145" i="4" s="1"/>
  <c r="AR140" i="1"/>
  <c r="Y138" i="4"/>
  <c r="Y143" i="4" s="1"/>
  <c r="AZ15" i="1"/>
  <c r="V116" i="4"/>
  <c r="V115" i="4"/>
  <c r="AL136" i="1"/>
  <c r="AZ136" i="1" s="1"/>
  <c r="AZ16" i="1"/>
  <c r="AZ32" i="1"/>
  <c r="M142" i="4"/>
  <c r="L117" i="4"/>
  <c r="L29" i="4" s="1"/>
  <c r="M29" i="4" s="1"/>
  <c r="AU132" i="1"/>
  <c r="AU122" i="1"/>
  <c r="AU139" i="1"/>
  <c r="O115" i="4"/>
  <c r="O117" i="4" s="1"/>
  <c r="M117" i="4"/>
  <c r="K80" i="2"/>
  <c r="K81" i="2" s="1"/>
  <c r="L79" i="2" s="1"/>
  <c r="AG99" i="1" s="1"/>
  <c r="AF100" i="1"/>
  <c r="AV100" i="1" s="1"/>
  <c r="AV99" i="1"/>
  <c r="M61" i="2"/>
  <c r="L69" i="2"/>
  <c r="O136" i="4"/>
  <c r="O93" i="4"/>
  <c r="G54" i="4"/>
  <c r="M141" i="4"/>
  <c r="O138" i="4"/>
  <c r="O141" i="4" s="1"/>
  <c r="O143" i="4" s="1"/>
  <c r="AL137" i="1"/>
  <c r="AL122" i="1"/>
  <c r="AL139" i="1"/>
  <c r="AS139" i="1"/>
  <c r="AY137" i="1"/>
  <c r="AZ128" i="1"/>
  <c r="M69" i="2" l="1"/>
  <c r="Y83" i="4"/>
  <c r="AX26" i="1"/>
  <c r="AY111" i="1"/>
  <c r="AY112" i="1"/>
  <c r="AZ112" i="1" s="1"/>
  <c r="W141" i="4"/>
  <c r="W32" i="4" s="1"/>
  <c r="Y69" i="4"/>
  <c r="N65" i="2"/>
  <c r="X93" i="4"/>
  <c r="X24" i="4" s="1"/>
  <c r="AX127" i="1"/>
  <c r="AY127" i="1" s="1"/>
  <c r="AZ127" i="1" s="1"/>
  <c r="Y90" i="4"/>
  <c r="Y93" i="4" s="1"/>
  <c r="Y24" i="4" s="1"/>
  <c r="Y38" i="4" s="1"/>
  <c r="W146" i="4"/>
  <c r="W147" i="4" s="1"/>
  <c r="W115" i="4"/>
  <c r="BC100" i="1"/>
  <c r="W152" i="4"/>
  <c r="W116" i="4"/>
  <c r="BC99" i="1"/>
  <c r="BC122" i="1" s="1"/>
  <c r="G17" i="4"/>
  <c r="G43" i="4" s="1"/>
  <c r="G76" i="4"/>
  <c r="M76" i="4" s="1"/>
  <c r="T16" i="7" s="1"/>
  <c r="G85" i="4"/>
  <c r="G5" i="4"/>
  <c r="J85" i="4"/>
  <c r="G18" i="7"/>
  <c r="I85" i="4"/>
  <c r="W148" i="4"/>
  <c r="W85" i="4" s="1"/>
  <c r="M18" i="7" s="1"/>
  <c r="H147" i="4"/>
  <c r="P119" i="4"/>
  <c r="M122" i="4"/>
  <c r="L147" i="4"/>
  <c r="O120" i="4"/>
  <c r="O121" i="4"/>
  <c r="K19" i="4"/>
  <c r="K148" i="4"/>
  <c r="I18" i="7" s="1"/>
  <c r="H34" i="4"/>
  <c r="H36" i="4" s="1"/>
  <c r="M32" i="4"/>
  <c r="O129" i="4"/>
  <c r="E16" i="7" s="1"/>
  <c r="K16" i="7" s="1"/>
  <c r="P93" i="4"/>
  <c r="K6" i="7"/>
  <c r="L34" i="4"/>
  <c r="L5" i="4" s="1"/>
  <c r="K5" i="4"/>
  <c r="X141" i="4"/>
  <c r="X145" i="4"/>
  <c r="X146" i="4" s="1"/>
  <c r="L156" i="4"/>
  <c r="M156" i="4" s="1"/>
  <c r="AY114" i="1"/>
  <c r="P128" i="4"/>
  <c r="V117" i="4"/>
  <c r="V29" i="4" s="1"/>
  <c r="AU123" i="1"/>
  <c r="AU140" i="1"/>
  <c r="L80" i="2"/>
  <c r="L81" i="2" s="1"/>
  <c r="M79" i="2" s="1"/>
  <c r="AH99" i="1" s="1"/>
  <c r="AG100" i="1"/>
  <c r="AW100" i="1" s="1"/>
  <c r="X115" i="4" s="1"/>
  <c r="AW99" i="1"/>
  <c r="X116" i="4" s="1"/>
  <c r="AL140" i="1"/>
  <c r="AV132" i="1"/>
  <c r="AV139" i="1"/>
  <c r="AV122" i="1"/>
  <c r="O86" i="4"/>
  <c r="G84" i="4"/>
  <c r="G12" i="4"/>
  <c r="G38" i="4" s="1"/>
  <c r="M54" i="4"/>
  <c r="T6" i="7" s="1"/>
  <c r="O142" i="4"/>
  <c r="AZ137" i="1"/>
  <c r="AS122" i="1"/>
  <c r="AS140" i="1" s="1"/>
  <c r="AZ111" i="1" l="1"/>
  <c r="Z138" i="4"/>
  <c r="AB138" i="4" s="1"/>
  <c r="Y139" i="4"/>
  <c r="AY26" i="1"/>
  <c r="Z90" i="4"/>
  <c r="X38" i="4"/>
  <c r="Z38" i="4" s="1"/>
  <c r="Z24" i="4"/>
  <c r="W117" i="4"/>
  <c r="W29" i="4" s="1"/>
  <c r="W34" i="4" s="1"/>
  <c r="W5" i="4" s="1"/>
  <c r="G86" i="4"/>
  <c r="T17" i="7" s="1"/>
  <c r="E17" i="7"/>
  <c r="K17" i="7" s="1"/>
  <c r="K85" i="4"/>
  <c r="S19" i="7"/>
  <c r="S21" i="7" s="1"/>
  <c r="U6" i="7"/>
  <c r="U16" i="7"/>
  <c r="X147" i="4"/>
  <c r="X152" i="4"/>
  <c r="X32" i="4"/>
  <c r="H5" i="4"/>
  <c r="M5" i="4" s="1"/>
  <c r="L36" i="4"/>
  <c r="L19" i="4"/>
  <c r="L148" i="4"/>
  <c r="J18" i="7" s="1"/>
  <c r="H19" i="4"/>
  <c r="H148" i="4"/>
  <c r="M147" i="4"/>
  <c r="P152" i="4" s="1"/>
  <c r="M34" i="4"/>
  <c r="M36" i="4" s="1"/>
  <c r="G70" i="4"/>
  <c r="G72" i="4" s="1"/>
  <c r="T11" i="7" s="1"/>
  <c r="U11" i="7" s="1"/>
  <c r="M17" i="4"/>
  <c r="M43" i="4"/>
  <c r="Z140" i="4"/>
  <c r="AZ114" i="1"/>
  <c r="X117" i="4"/>
  <c r="X29" i="4" s="1"/>
  <c r="V34" i="4"/>
  <c r="AV123" i="1"/>
  <c r="AV124" i="1" s="1"/>
  <c r="M80" i="2"/>
  <c r="M81" i="2" s="1"/>
  <c r="AH100" i="1"/>
  <c r="AX100" i="1" s="1"/>
  <c r="Y115" i="4" s="1"/>
  <c r="AX99" i="1"/>
  <c r="Y116" i="4" s="1"/>
  <c r="H70" i="4"/>
  <c r="J70" i="4"/>
  <c r="J16" i="4" s="1"/>
  <c r="J42" i="4" s="1"/>
  <c r="I70" i="4"/>
  <c r="I16" i="4" s="1"/>
  <c r="I42" i="4" s="1"/>
  <c r="L70" i="4"/>
  <c r="L16" i="4" s="1"/>
  <c r="L42" i="4" s="1"/>
  <c r="K70" i="4"/>
  <c r="K16" i="4" s="1"/>
  <c r="K42" i="4" s="1"/>
  <c r="AV140" i="1"/>
  <c r="AW132" i="1"/>
  <c r="AW139" i="1"/>
  <c r="AW122" i="1"/>
  <c r="M12" i="4"/>
  <c r="J81" i="4"/>
  <c r="J82" i="4" s="1"/>
  <c r="H81" i="4"/>
  <c r="H82" i="4" s="1"/>
  <c r="G81" i="4"/>
  <c r="G82" i="4" s="1"/>
  <c r="I81" i="4"/>
  <c r="I82" i="4" s="1"/>
  <c r="L81" i="4"/>
  <c r="L82" i="4" s="1"/>
  <c r="K81" i="4"/>
  <c r="K82" i="4" s="1"/>
  <c r="L84" i="4"/>
  <c r="J84" i="4"/>
  <c r="H84" i="4"/>
  <c r="I84" i="4"/>
  <c r="K84" i="4"/>
  <c r="F69" i="2"/>
  <c r="N61" i="2"/>
  <c r="AZ26" i="1" l="1"/>
  <c r="Z139" i="4"/>
  <c r="AB139" i="4" s="1"/>
  <c r="Y144" i="4"/>
  <c r="Y146" i="4" s="1"/>
  <c r="Y141" i="4"/>
  <c r="AB90" i="4"/>
  <c r="Z93" i="4"/>
  <c r="AB93" i="4" s="1"/>
  <c r="W36" i="4"/>
  <c r="U17" i="7"/>
  <c r="L85" i="4"/>
  <c r="L86" i="4" s="1"/>
  <c r="H85" i="4"/>
  <c r="X148" i="4"/>
  <c r="X85" i="4" s="1"/>
  <c r="N18" i="7" s="1"/>
  <c r="X34" i="4"/>
  <c r="X5" i="4" s="1"/>
  <c r="P142" i="4"/>
  <c r="P150" i="4" s="1"/>
  <c r="G16" i="4"/>
  <c r="G42" i="4" s="1"/>
  <c r="G88" i="4"/>
  <c r="G12" i="7"/>
  <c r="H12" i="7" s="1"/>
  <c r="I12" i="7" s="1"/>
  <c r="J12" i="7" s="1"/>
  <c r="L12" i="7" s="1"/>
  <c r="G18" i="4"/>
  <c r="G44" i="4" s="1"/>
  <c r="M44" i="4" s="1"/>
  <c r="AB140" i="4"/>
  <c r="AY99" i="1"/>
  <c r="Y117" i="4"/>
  <c r="Y29" i="4" s="1"/>
  <c r="AY100" i="1"/>
  <c r="V5" i="4"/>
  <c r="V36" i="4"/>
  <c r="AW123" i="1"/>
  <c r="AW124" i="1" s="1"/>
  <c r="AX132" i="1"/>
  <c r="AY132" i="1" s="1"/>
  <c r="AZ132" i="1" s="1"/>
  <c r="AX122" i="1"/>
  <c r="AX139" i="1"/>
  <c r="H16" i="4"/>
  <c r="M72" i="4"/>
  <c r="AW140" i="1"/>
  <c r="M82" i="4"/>
  <c r="K86" i="4"/>
  <c r="I86" i="4"/>
  <c r="G45" i="4"/>
  <c r="J86" i="4"/>
  <c r="M38" i="4"/>
  <c r="F71" i="2"/>
  <c r="G71" i="2" s="1"/>
  <c r="H71" i="2" s="1"/>
  <c r="I71" i="2" s="1"/>
  <c r="J71" i="2" s="1"/>
  <c r="K71" i="2" s="1"/>
  <c r="L71" i="2" s="1"/>
  <c r="M71" i="2" s="1"/>
  <c r="N69" i="2"/>
  <c r="AB141" i="4" l="1"/>
  <c r="Z146" i="4"/>
  <c r="Y147" i="4"/>
  <c r="Y152" i="4"/>
  <c r="M12" i="7"/>
  <c r="O12" i="7" s="1"/>
  <c r="N12" i="7"/>
  <c r="Z141" i="4"/>
  <c r="Y32" i="4"/>
  <c r="Z32" i="4" s="1"/>
  <c r="Z142" i="4"/>
  <c r="H86" i="4"/>
  <c r="T18" i="7" s="1"/>
  <c r="T19" i="7" s="1"/>
  <c r="F18" i="7"/>
  <c r="K18" i="7" s="1"/>
  <c r="X36" i="4"/>
  <c r="K12" i="7"/>
  <c r="M18" i="4"/>
  <c r="G47" i="4"/>
  <c r="G48" i="4" s="1"/>
  <c r="I21" i="4"/>
  <c r="I4" i="4" s="1"/>
  <c r="I6" i="4" s="1"/>
  <c r="I88" i="4"/>
  <c r="K21" i="4"/>
  <c r="K4" i="4" s="1"/>
  <c r="K6" i="4" s="1"/>
  <c r="K88" i="4"/>
  <c r="J45" i="4"/>
  <c r="J47" i="4" s="1"/>
  <c r="J88" i="4"/>
  <c r="H45" i="4"/>
  <c r="L21" i="4"/>
  <c r="L4" i="4" s="1"/>
  <c r="L6" i="4" s="1"/>
  <c r="L88" i="4"/>
  <c r="AB142" i="4"/>
  <c r="Z115" i="4"/>
  <c r="AZ100" i="1"/>
  <c r="Y34" i="4"/>
  <c r="Y36" i="4" s="1"/>
  <c r="Z29" i="4"/>
  <c r="Z116" i="4"/>
  <c r="AB116" i="4" s="1"/>
  <c r="AZ99" i="1"/>
  <c r="AY139" i="1"/>
  <c r="AY122" i="1"/>
  <c r="AX123" i="1"/>
  <c r="AX124" i="1" s="1"/>
  <c r="AX140" i="1"/>
  <c r="M16" i="4"/>
  <c r="H42" i="4"/>
  <c r="M42" i="4" s="1"/>
  <c r="O42" i="4" s="1"/>
  <c r="I45" i="4"/>
  <c r="I47" i="4" s="1"/>
  <c r="G21" i="4"/>
  <c r="G4" i="4" s="1"/>
  <c r="Y148" i="4" l="1"/>
  <c r="Y85" i="4" s="1"/>
  <c r="O18" i="7" s="1"/>
  <c r="Z147" i="4"/>
  <c r="AC142" i="4" s="1"/>
  <c r="H88" i="4"/>
  <c r="M88" i="4" s="1"/>
  <c r="Z36" i="4"/>
  <c r="U18" i="7"/>
  <c r="K19" i="7"/>
  <c r="U19" i="7" s="1"/>
  <c r="U12" i="7"/>
  <c r="L45" i="4"/>
  <c r="L47" i="4" s="1"/>
  <c r="K45" i="4"/>
  <c r="K47" i="4" s="1"/>
  <c r="J21" i="4"/>
  <c r="J4" i="4" s="1"/>
  <c r="J6" i="4" s="1"/>
  <c r="M19" i="4"/>
  <c r="H21" i="4"/>
  <c r="H4" i="4" s="1"/>
  <c r="H6" i="4" s="1"/>
  <c r="X84" i="4"/>
  <c r="Y84" i="4"/>
  <c r="W84" i="4"/>
  <c r="V84" i="4"/>
  <c r="V86" i="4" s="1"/>
  <c r="AY140" i="1"/>
  <c r="AZ122" i="1"/>
  <c r="AZ139" i="1"/>
  <c r="Y5" i="4"/>
  <c r="Z34" i="4"/>
  <c r="Z5" i="4" s="1"/>
  <c r="AA5" i="4" s="1"/>
  <c r="AB115" i="4"/>
  <c r="AB117" i="4" s="1"/>
  <c r="AB120" i="4" s="1"/>
  <c r="Z117" i="4"/>
  <c r="G6" i="4"/>
  <c r="H47" i="4"/>
  <c r="H48" i="4" s="1"/>
  <c r="I48" i="4" s="1"/>
  <c r="J48" i="4" s="1"/>
  <c r="M86" i="4"/>
  <c r="M87" i="4" s="1"/>
  <c r="AC120" i="4" l="1"/>
  <c r="U147" i="4" s="1"/>
  <c r="U148" i="4" s="1"/>
  <c r="Z122" i="4"/>
  <c r="M4" i="4"/>
  <c r="M8" i="4" s="1"/>
  <c r="M45" i="4"/>
  <c r="M21" i="4"/>
  <c r="N21" i="4" s="1"/>
  <c r="K48" i="4"/>
  <c r="L48" i="4" s="1"/>
  <c r="W86" i="4"/>
  <c r="W19" i="4" s="1"/>
  <c r="W45" i="4" s="1"/>
  <c r="Y86" i="4"/>
  <c r="Y19" i="4" s="1"/>
  <c r="Y45" i="4" s="1"/>
  <c r="X86" i="4"/>
  <c r="X19" i="4" s="1"/>
  <c r="X45" i="4" s="1"/>
  <c r="AZ140" i="1"/>
  <c r="AB121" i="4"/>
  <c r="M6" i="4"/>
  <c r="O6" i="4" s="1"/>
  <c r="G7" i="4"/>
  <c r="H7" i="4" s="1"/>
  <c r="I7" i="4" s="1"/>
  <c r="J7" i="4" s="1"/>
  <c r="K7" i="4" s="1"/>
  <c r="L7" i="4" s="1"/>
  <c r="M47" i="4"/>
  <c r="M49" i="4" s="1"/>
  <c r="AC150" i="4" l="1"/>
  <c r="V19" i="4"/>
  <c r="Z86" i="4"/>
  <c r="V70" i="4"/>
  <c r="V72" i="4" s="1"/>
  <c r="V16" i="4" s="1"/>
  <c r="V42" i="4" s="1"/>
  <c r="X70" i="4"/>
  <c r="X72" i="4" s="1"/>
  <c r="Y70" i="4"/>
  <c r="Y72" i="4" s="1"/>
  <c r="W70" i="4"/>
  <c r="W72" i="4" s="1"/>
  <c r="Z19" i="4" l="1"/>
  <c r="V45" i="4"/>
  <c r="Z45" i="4" s="1"/>
  <c r="W16" i="4"/>
  <c r="W42" i="4" s="1"/>
  <c r="W47" i="4" s="1"/>
  <c r="Y16" i="4"/>
  <c r="Y42" i="4" s="1"/>
  <c r="Y47" i="4" s="1"/>
  <c r="X16" i="4"/>
  <c r="X42" i="4" s="1"/>
  <c r="X47" i="4" s="1"/>
  <c r="Z72" i="4"/>
  <c r="V47" i="4" l="1"/>
  <c r="Z47" i="4" s="1"/>
  <c r="Z49" i="4" s="1"/>
  <c r="X21" i="4"/>
  <c r="X4" i="4" s="1"/>
  <c r="X6" i="4" s="1"/>
  <c r="Z42" i="4"/>
  <c r="Y21" i="4"/>
  <c r="Y4" i="4" s="1"/>
  <c r="Y6" i="4" s="1"/>
  <c r="W21" i="4"/>
  <c r="W4" i="4" s="1"/>
  <c r="W6" i="4" s="1"/>
  <c r="Z16" i="4"/>
  <c r="V21" i="4"/>
  <c r="V48" i="4" l="1"/>
  <c r="W48" i="4" s="1"/>
  <c r="X48" i="4" s="1"/>
  <c r="Y48" i="4" s="1"/>
  <c r="V4" i="4"/>
  <c r="V6" i="4" s="1"/>
  <c r="Z21" i="4"/>
  <c r="Z4" i="4" s="1"/>
  <c r="AA4" i="4" s="1"/>
  <c r="AA6" i="4" l="1"/>
  <c r="AA8" i="4"/>
  <c r="Z8" i="4"/>
  <c r="Z6" i="4"/>
  <c r="AB6" i="4" s="1"/>
  <c r="V7" i="4"/>
  <c r="W7" i="4" s="1"/>
  <c r="X7" i="4" s="1"/>
  <c r="Y7" i="4" s="1"/>
</calcChain>
</file>

<file path=xl/sharedStrings.xml><?xml version="1.0" encoding="utf-8"?>
<sst xmlns="http://schemas.openxmlformats.org/spreadsheetml/2006/main" count="1597" uniqueCount="644">
  <si>
    <t>New Jersey Enhanced Motor Vehicle Inspection/Maintenance Systems</t>
  </si>
  <si>
    <t xml:space="preserve">NJ Vehicle Inspection Program </t>
  </si>
  <si>
    <t>General Project Information:</t>
  </si>
  <si>
    <t>Proposal Number:</t>
  </si>
  <si>
    <t xml:space="preserve">Client: </t>
  </si>
  <si>
    <t>State of New Jersey</t>
  </si>
  <si>
    <t xml:space="preserve">Project Description: </t>
  </si>
  <si>
    <t>Project Manager:</t>
  </si>
  <si>
    <t>Arden Clark</t>
  </si>
  <si>
    <t xml:space="preserve">Proposal Manager: </t>
  </si>
  <si>
    <t>Implementation Project Manager:</t>
  </si>
  <si>
    <t>Start Date:</t>
  </si>
  <si>
    <t xml:space="preserve">Date Contract Starts - Paid Tests: </t>
  </si>
  <si>
    <t>Completion Date:</t>
  </si>
  <si>
    <t xml:space="preserve">Contract Duration: </t>
  </si>
  <si>
    <t>6 Years</t>
  </si>
  <si>
    <t>Extension Options</t>
  </si>
  <si>
    <t>2, Two Year Extensions</t>
  </si>
  <si>
    <t>48 Months</t>
  </si>
  <si>
    <t>Currency:</t>
  </si>
  <si>
    <t>US Dollars</t>
  </si>
  <si>
    <t>****All Prices should NOT include tax</t>
  </si>
  <si>
    <t>SCOPE:</t>
  </si>
  <si>
    <t>VID Development</t>
  </si>
  <si>
    <t>PIF's and PFF's</t>
  </si>
  <si>
    <t>CIF's</t>
  </si>
  <si>
    <t>PIF Equipment</t>
  </si>
  <si>
    <t>xxxxxxxxxxxxxxxxxxxxxxxxxxxxxxxxxxxxxxxxxxxxxxxxxxxxxxxxxxxxxxxx</t>
  </si>
  <si>
    <t>xxxxxxxxxxxxxxxxxxxxxxxxxxxxxxxxxxxxxxxxxxxxxxxxx</t>
  </si>
  <si>
    <t>Original Contract Term</t>
  </si>
  <si>
    <t>Spare</t>
  </si>
  <si>
    <t>Periods Assumed in Model:</t>
  </si>
  <si>
    <t>Start-up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</si>
  <si>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</si>
  <si>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</si>
  <si>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</si>
  <si>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</si>
  <si>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</si>
  <si>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</si>
  <si>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</si>
  <si>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</si>
  <si>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</si>
  <si>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</si>
  <si>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 xml:space="preserve">Grand Total </t>
  </si>
  <si>
    <t xml:space="preserve">Years 1 </t>
  </si>
  <si>
    <t>Thru 10</t>
  </si>
  <si>
    <t xml:space="preserve">Parsons </t>
  </si>
  <si>
    <t>Union</t>
  </si>
  <si>
    <t>Hours Worked per Year</t>
  </si>
  <si>
    <t>Days</t>
  </si>
  <si>
    <t>Hours</t>
  </si>
  <si>
    <t>Per Month</t>
  </si>
  <si>
    <t>Total Work Hours</t>
  </si>
  <si>
    <t xml:space="preserve">Full Time </t>
  </si>
  <si>
    <t>** Assumes 5 weeks vacation + 2 weeks sick + 13 holidays</t>
  </si>
  <si>
    <t>Paid Vacation - Statutory Holiday</t>
  </si>
  <si>
    <t>Part Time</t>
  </si>
  <si>
    <t>***4 weeks vacation+</t>
  </si>
  <si>
    <t>PTO - Vacation/Sick/Bereavement/Military</t>
  </si>
  <si>
    <t>Warehouse</t>
  </si>
  <si>
    <t>Total Work Less Fringe</t>
  </si>
  <si>
    <t>TEST VOLUME</t>
  </si>
  <si>
    <t>See Test Growth Analysis Worksheet</t>
  </si>
  <si>
    <t>Number Of Inspections:</t>
  </si>
  <si>
    <t>CIF Tests</t>
  </si>
  <si>
    <t>PIF Tests</t>
  </si>
  <si>
    <t>Vehicle Inspections In the Period</t>
  </si>
  <si>
    <t>Cumulative Inspections</t>
  </si>
  <si>
    <t xml:space="preserve">Stations </t>
  </si>
  <si>
    <t>Growth %age</t>
  </si>
  <si>
    <t xml:space="preserve">Total </t>
  </si>
  <si>
    <t>Private Inspections Facilities (PIF's) &amp; PFF</t>
  </si>
  <si>
    <t>***Current active PIF's and PFF's Current today</t>
  </si>
  <si>
    <t>Total Stations</t>
  </si>
  <si>
    <t>Cashflow Assumptions</t>
  </si>
  <si>
    <t>117 Months total</t>
  </si>
  <si>
    <t>Car count inflation</t>
  </si>
  <si>
    <t xml:space="preserve">Labor inflation </t>
  </si>
  <si>
    <t>Labor inflation cumulative</t>
  </si>
  <si>
    <t xml:space="preserve">ODC inflation </t>
  </si>
  <si>
    <t>ODC inflation cumulative</t>
  </si>
  <si>
    <t>Pricing and Labor Cost Sheet</t>
  </si>
  <si>
    <t>Fringe</t>
  </si>
  <si>
    <t>***Hourly rate in US $</t>
  </si>
  <si>
    <t>CDN</t>
  </si>
  <si>
    <t>US</t>
  </si>
  <si>
    <t>US-lite</t>
  </si>
  <si>
    <t>Inflation</t>
  </si>
  <si>
    <t>Acerage</t>
  </si>
  <si>
    <t>Labor</t>
  </si>
  <si>
    <t>ODC's</t>
  </si>
  <si>
    <t>MBE Type</t>
  </si>
  <si>
    <t>Company Nmae</t>
  </si>
  <si>
    <t>Cashflow Category</t>
  </si>
  <si>
    <t>Scope</t>
  </si>
  <si>
    <t xml:space="preserve">Section </t>
  </si>
  <si>
    <t>Cost Type</t>
  </si>
  <si>
    <t>Description</t>
  </si>
  <si>
    <t>Fringe Rate</t>
  </si>
  <si>
    <t>Headcount/hours</t>
  </si>
  <si>
    <t>TOTAL UNITS</t>
  </si>
  <si>
    <t>total hours</t>
  </si>
  <si>
    <t>x</t>
  </si>
  <si>
    <t>startup</t>
  </si>
  <si>
    <t>Year 3 costs</t>
  </si>
  <si>
    <t>Year 4 costs</t>
  </si>
  <si>
    <t>Year 5 costs</t>
  </si>
  <si>
    <t>Year 6 costs</t>
  </si>
  <si>
    <t>Year 7 costs</t>
  </si>
  <si>
    <t>Year 8 costs</t>
  </si>
  <si>
    <t>Year 9 costs</t>
  </si>
  <si>
    <t>Year 10 costs</t>
  </si>
  <si>
    <t>Total costs Years 0-10</t>
  </si>
  <si>
    <t>Startup  up totals</t>
  </si>
  <si>
    <t>x2</t>
  </si>
  <si>
    <t>Total costs Years 7-10</t>
  </si>
  <si>
    <t>Total costs Years 1 - 6</t>
  </si>
  <si>
    <t>Development Canada</t>
  </si>
  <si>
    <t>Support Canada</t>
  </si>
  <si>
    <t>ODCS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</si>
  <si>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</si>
  <si>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</si>
  <si>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</si>
  <si>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</si>
  <si>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</si>
  <si>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</si>
  <si>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</si>
  <si>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</si>
  <si>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rate</t>
  </si>
  <si>
    <t xml:space="preserve">Requirements </t>
  </si>
  <si>
    <t>Implementation</t>
  </si>
  <si>
    <t>check</t>
  </si>
  <si>
    <t>Notes</t>
  </si>
  <si>
    <t>US exchange</t>
  </si>
  <si>
    <t>US $</t>
  </si>
  <si>
    <t>Misc Applications</t>
  </si>
  <si>
    <t>Price line</t>
  </si>
  <si>
    <t>Billing Application</t>
  </si>
  <si>
    <t>Sticker Management (reporting)</t>
  </si>
  <si>
    <t>Public Websites</t>
  </si>
  <si>
    <t>School Bus Report Card</t>
  </si>
  <si>
    <t>VIR Reprint</t>
  </si>
  <si>
    <t>Wait Queue Cameras</t>
  </si>
  <si>
    <t>Administration Applications</t>
  </si>
  <si>
    <t>Facility Admin</t>
  </si>
  <si>
    <t>View Facility</t>
  </si>
  <si>
    <t>Manage Private Facility</t>
  </si>
  <si>
    <t>Update Facility</t>
  </si>
  <si>
    <t>Activate Facility</t>
  </si>
  <si>
    <t>Assign/Unassign Inspector</t>
  </si>
  <si>
    <t>Manage Centralized Facility</t>
  </si>
  <si>
    <t>Manage State Facility</t>
  </si>
  <si>
    <t>Inspector Admin</t>
  </si>
  <si>
    <t>View Auditor/Inspector</t>
  </si>
  <si>
    <t>Manage Inspector</t>
  </si>
  <si>
    <t>Manage Auditor</t>
  </si>
  <si>
    <t>Assign/Unassign PIF Inspector</t>
  </si>
  <si>
    <t>Vehicle Admin</t>
  </si>
  <si>
    <t>Manage Covert Vehicle</t>
  </si>
  <si>
    <t>Active Covert Vehicles</t>
  </si>
  <si>
    <t>Covert Vehicle History</t>
  </si>
  <si>
    <t>Manage Collector Vehicle</t>
  </si>
  <si>
    <t>Workstation Admin</t>
  </si>
  <si>
    <t>Message Admin</t>
  </si>
  <si>
    <t>View Messages</t>
  </si>
  <si>
    <t>Send Messages</t>
  </si>
  <si>
    <t>Data Correction</t>
  </si>
  <si>
    <t>Correct Inspection Data</t>
  </si>
  <si>
    <t>Repair Facility</t>
  </si>
  <si>
    <t>Manage Repair Data</t>
  </si>
  <si>
    <t>Enter Repair Data</t>
  </si>
  <si>
    <t>View Repair Data</t>
  </si>
  <si>
    <t>Delete Repair Data</t>
  </si>
  <si>
    <t>Manage Facility Manager</t>
  </si>
  <si>
    <t>Setup Facility Manager</t>
  </si>
  <si>
    <t>Update Facility Manager</t>
  </si>
  <si>
    <t>Manage Facility Technician</t>
  </si>
  <si>
    <t>Setup Technician</t>
  </si>
  <si>
    <t>Update Technician</t>
  </si>
  <si>
    <t>Reporting</t>
  </si>
  <si>
    <t>User Management</t>
  </si>
  <si>
    <t>User Setup</t>
  </si>
  <si>
    <t>Manage User</t>
  </si>
  <si>
    <t>SLTA</t>
  </si>
  <si>
    <t>Dashboard</t>
  </si>
  <si>
    <t>Audit data</t>
  </si>
  <si>
    <t>Triggers fraud detection</t>
  </si>
  <si>
    <t xml:space="preserve">Inspection data retrieval </t>
  </si>
  <si>
    <t xml:space="preserve">reference table Management </t>
  </si>
  <si>
    <t>Currently a manual process to apply, negotiate??</t>
  </si>
  <si>
    <t>Document repository</t>
  </si>
  <si>
    <t>Darryl Knowledebase??</t>
  </si>
  <si>
    <t>JIRA integration</t>
  </si>
  <si>
    <t>ATP workstations</t>
  </si>
  <si>
    <t>Capital maintenance and repairs</t>
  </si>
  <si>
    <t>Facilities Management</t>
  </si>
  <si>
    <t>Call center</t>
  </si>
  <si>
    <t>Appointment system</t>
  </si>
  <si>
    <t>500 hours</t>
  </si>
  <si>
    <t>500 hours per year, need to accumulate unused hours</t>
  </si>
  <si>
    <t>2 sw upgrades first year</t>
  </si>
  <si>
    <t>mvc interfaces</t>
  </si>
  <si>
    <t>negotiate to 2 mintes vs 1</t>
  </si>
  <si>
    <t>OIT interfaces</t>
  </si>
  <si>
    <t>Datawarehouse</t>
  </si>
  <si>
    <t>Darryl  can we use the existing structure</t>
  </si>
  <si>
    <t>CIF MGT functions</t>
  </si>
  <si>
    <t>CIF,PIF,SIF. BIT,MIT,PFF</t>
  </si>
  <si>
    <t xml:space="preserve">BUS team offtware </t>
  </si>
  <si>
    <t>Communication SW</t>
  </si>
  <si>
    <t>DB changes</t>
  </si>
  <si>
    <t>ATP</t>
  </si>
  <si>
    <t>PM</t>
  </si>
  <si>
    <t>Contingency</t>
  </si>
  <si>
    <t>total</t>
  </si>
  <si>
    <t>Price sheet line item</t>
  </si>
  <si>
    <t>Totals by Line item</t>
  </si>
  <si>
    <t>Xcheck</t>
  </si>
  <si>
    <t>Capital</t>
  </si>
  <si>
    <t>Cost Per Hour/Unit</t>
  </si>
  <si>
    <t>Insurance</t>
  </si>
  <si>
    <t>Security testing</t>
  </si>
  <si>
    <t>Nov 2019
apr 2020</t>
  </si>
  <si>
    <t>.</t>
  </si>
  <si>
    <t>May 2020
Jan 2021</t>
  </si>
  <si>
    <t>Feb 2021
Jan  2022</t>
  </si>
  <si>
    <t>Feb 2022
Jan  2023</t>
  </si>
  <si>
    <t>Feb 2024
Jan  2024</t>
  </si>
  <si>
    <t>Feb 2024
Jan  2025</t>
  </si>
  <si>
    <t>Feb 2025
Jan  2026</t>
  </si>
  <si>
    <t>Feb 2026
Jan  2027</t>
  </si>
  <si>
    <t>Feb 2027
Jan  2028</t>
  </si>
  <si>
    <t>Feb 2028
Jan  2029</t>
  </si>
  <si>
    <t>Feb 2029
Jan  2030</t>
  </si>
  <si>
    <t>Canadian Labor</t>
  </si>
  <si>
    <t>US labor</t>
  </si>
  <si>
    <t xml:space="preserve">MGT </t>
  </si>
  <si>
    <t>Union Fringe</t>
  </si>
  <si>
    <t xml:space="preserve">Union </t>
  </si>
  <si>
    <t>Revenue</t>
  </si>
  <si>
    <t>Test volume</t>
  </si>
  <si>
    <t>Test fees</t>
  </si>
  <si>
    <t>Test equipment</t>
  </si>
  <si>
    <t>Expenses</t>
  </si>
  <si>
    <t>ODCS from Arden</t>
  </si>
  <si>
    <t xml:space="preserve">Depreciation                                     </t>
  </si>
  <si>
    <t>Other Penalities</t>
  </si>
  <si>
    <t xml:space="preserve">Office Supplies  - Construction  </t>
  </si>
  <si>
    <t xml:space="preserve">MCI VID System                                        </t>
  </si>
  <si>
    <t>PO Receipts not invoiced</t>
  </si>
  <si>
    <t xml:space="preserve">Reservation System (ProtectAir)      </t>
  </si>
  <si>
    <t xml:space="preserve">Safety Equipment Warranty (Hunter)  </t>
  </si>
  <si>
    <t xml:space="preserve">Snow Removal                                 </t>
  </si>
  <si>
    <t>Safety  (1.6m + .2m)</t>
  </si>
  <si>
    <t xml:space="preserve">Calibration Gas                                 </t>
  </si>
  <si>
    <t xml:space="preserve">Leased Facilities  - Office Rent   </t>
  </si>
  <si>
    <t xml:space="preserve">Bonds/Insurance/Taxes/Fees            </t>
  </si>
  <si>
    <t xml:space="preserve">Lane Tech Licenses                                </t>
  </si>
  <si>
    <t xml:space="preserve">Travel (Gas/Mileage)                      </t>
  </si>
  <si>
    <t xml:space="preserve">Training                                                   </t>
  </si>
  <si>
    <t xml:space="preserve">Miscellaneous                                          </t>
  </si>
  <si>
    <t xml:space="preserve">Incentive Payments                           </t>
  </si>
  <si>
    <t xml:space="preserve">Uniforms                                             </t>
  </si>
  <si>
    <t xml:space="preserve">Recruiting                                               </t>
  </si>
  <si>
    <t xml:space="preserve">Drug Testing                                         </t>
  </si>
  <si>
    <t xml:space="preserve">Moving / Relocation                         </t>
  </si>
  <si>
    <t xml:space="preserve">Leased Equipment   - Auto           </t>
  </si>
  <si>
    <t>Public Relations</t>
  </si>
  <si>
    <t xml:space="preserve">Office Supplies  - O &amp; M                 </t>
  </si>
  <si>
    <t xml:space="preserve">Job Materials &amp; Supplies              </t>
  </si>
  <si>
    <t xml:space="preserve">Inventoriable Expense                       </t>
  </si>
  <si>
    <t xml:space="preserve">Winter Jackets / Summer                                 </t>
  </si>
  <si>
    <t xml:space="preserve">Lane Software                                            </t>
  </si>
  <si>
    <t xml:space="preserve">Freight                                                    </t>
  </si>
  <si>
    <t xml:space="preserve">Express Mail                                        </t>
  </si>
  <si>
    <t xml:space="preserve">Postage                                                 </t>
  </si>
  <si>
    <t xml:space="preserve">Copier                                                    </t>
  </si>
  <si>
    <t xml:space="preserve">Reproduction                                     </t>
  </si>
  <si>
    <t xml:space="preserve">Technical Publications                   </t>
  </si>
  <si>
    <t xml:space="preserve">Telephone                                           </t>
  </si>
  <si>
    <t xml:space="preserve">Computers                                            </t>
  </si>
  <si>
    <t>Non Capital Equipment Purchases</t>
  </si>
  <si>
    <t xml:space="preserve">Repairs &amp; Maintenance - Equip     </t>
  </si>
  <si>
    <t xml:space="preserve">Recovery Credits                                     </t>
  </si>
  <si>
    <t xml:space="preserve">Legal Expenses                                    </t>
  </si>
  <si>
    <t>Sunshine Fund (see 9234)</t>
  </si>
  <si>
    <t xml:space="preserve">IS Labor                                                        </t>
  </si>
  <si>
    <t>Repairs &amp; Mtc - Non Client Facility</t>
  </si>
  <si>
    <t xml:space="preserve">Utilities                                                   </t>
  </si>
  <si>
    <t xml:space="preserve">Janitorial                                              </t>
  </si>
  <si>
    <t xml:space="preserve">Security  - Alarm Companies       </t>
  </si>
  <si>
    <t xml:space="preserve">Pest Control                                       </t>
  </si>
  <si>
    <t xml:space="preserve">Lawn Care                                             </t>
  </si>
  <si>
    <t xml:space="preserve">Repairs &amp; Maintenance - Bldg  -Billable     </t>
  </si>
  <si>
    <t>Trash</t>
  </si>
  <si>
    <t xml:space="preserve">Repairs &amp; Maintenance - Bldg  - Not Billable     </t>
  </si>
  <si>
    <t>Wait time penalties</t>
  </si>
  <si>
    <t>Contributions/Non-Billable Expense</t>
  </si>
  <si>
    <t>cap repairs</t>
  </si>
  <si>
    <t>Capital Repairs</t>
  </si>
  <si>
    <t>Use ==&gt;</t>
  </si>
  <si>
    <t xml:space="preserve">Year 1 </t>
  </si>
  <si>
    <t>Total  Years 0 - 6</t>
  </si>
  <si>
    <t>Item</t>
  </si>
  <si>
    <t>Vendor</t>
  </si>
  <si>
    <t>Cost Split</t>
  </si>
  <si>
    <t>One-Time</t>
  </si>
  <si>
    <t>Recurring (Annual)</t>
  </si>
  <si>
    <t>Pickup</t>
  </si>
  <si>
    <t>RFP BUDGET
IT Infrastructure Cost Model</t>
  </si>
  <si>
    <t>Assumptions/Notes:
Prices is US Dollars
Taxes not included
Recurring costs start from first year, unless specified
Assume hardware refresh at year 5, 50% of initial cost</t>
  </si>
  <si>
    <t>PA</t>
  </si>
  <si>
    <t>NJ</t>
  </si>
  <si>
    <t>VT</t>
  </si>
  <si>
    <t>MASS</t>
  </si>
  <si>
    <t>Year 0</t>
  </si>
  <si>
    <t>Refresh Year 5</t>
  </si>
  <si>
    <t>Total</t>
  </si>
  <si>
    <t>Hosting</t>
  </si>
  <si>
    <t>Additional cabinet</t>
  </si>
  <si>
    <t>Verizon</t>
  </si>
  <si>
    <t>Cables / Wiring / Cable Management</t>
  </si>
  <si>
    <t>TBD</t>
  </si>
  <si>
    <t>VMware vSphere(Virtualization Hardware)</t>
  </si>
  <si>
    <t>R</t>
  </si>
  <si>
    <t>2 x Intel® Xeon® E5-2699 v3 18-core 2.3GHz core Intel CPU, 512GB RAM, PROD</t>
  </si>
  <si>
    <t>HP</t>
  </si>
  <si>
    <t>Default discount applied</t>
  </si>
  <si>
    <t>First year support paid at the time of purchase. Assume 50% increase for the last 2 yrs</t>
  </si>
  <si>
    <t>DB/HSM Server Refresh</t>
  </si>
  <si>
    <t>Oracle, T7-1, single socket 32-core SPARC CPU. System virtualized with LDOM, DB PROD, HSM PROD, all two node clusters</t>
  </si>
  <si>
    <t>Oracle</t>
  </si>
  <si>
    <t>vCentre</t>
  </si>
  <si>
    <t xml:space="preserve">HP DL360 G9 </t>
  </si>
  <si>
    <t>Centralized Logging/Network monitor/HIDS
(virtualized)</t>
  </si>
  <si>
    <t xml:space="preserve">HP DL360 G9  </t>
  </si>
  <si>
    <t>VMware storage - Oracle ZFS 3-2</t>
  </si>
  <si>
    <t>Storage Equipment for Vsphere environment</t>
  </si>
  <si>
    <t>Backup server (consolidated on the SPARC system)</t>
  </si>
  <si>
    <t>Oracle, T7-1, single socket 32-core SPARC CPU. System virtualized with LDOM, DB DTS, HSM DTS, all two node clusters</t>
  </si>
  <si>
    <t>Switch - 10GB</t>
  </si>
  <si>
    <t>Cisco 10GB Switch - assumed 40% discount</t>
  </si>
  <si>
    <t>Cisco</t>
  </si>
  <si>
    <t>40% discount</t>
  </si>
  <si>
    <t>Centralized Stations VPN hardware</t>
  </si>
  <si>
    <t>cisco 1841</t>
  </si>
  <si>
    <t>Firewall / IPS</t>
  </si>
  <si>
    <t>assumed 40% discount</t>
  </si>
  <si>
    <t>Link to Lawrenceville office</t>
  </si>
  <si>
    <t>MPLS</t>
  </si>
  <si>
    <t>Link to NJ State</t>
  </si>
  <si>
    <t>MPLS (VPN is used)</t>
  </si>
  <si>
    <t>RDBMS Mgmt Option Packs</t>
  </si>
  <si>
    <t xml:space="preserve">GoldenGate (for Oracle Database) </t>
  </si>
  <si>
    <t>40% Discount</t>
  </si>
  <si>
    <t>GoldenGate Foundation Pack  (Includes Veridata, Managament Pack &amp; GG studio)</t>
  </si>
  <si>
    <t>50% Discount</t>
  </si>
  <si>
    <t>Multitenant Option</t>
  </si>
  <si>
    <t>VIN Decoder</t>
  </si>
  <si>
    <t>Vin Power</t>
  </si>
  <si>
    <t>VINPower</t>
  </si>
  <si>
    <t>Business Intelligence</t>
  </si>
  <si>
    <t>Actuate, PROD, UAT, QAT, DEV</t>
  </si>
  <si>
    <t>Actuate</t>
  </si>
  <si>
    <t>Linux subscription</t>
  </si>
  <si>
    <t>Satellite server</t>
  </si>
  <si>
    <t>RedHat</t>
  </si>
  <si>
    <t>Satellite server client license</t>
  </si>
  <si>
    <t xml:space="preserve">Windows Server </t>
  </si>
  <si>
    <t>Datacenter edition</t>
  </si>
  <si>
    <t>Microsoft</t>
  </si>
  <si>
    <t>Virus Scanner (Windows Defender)</t>
  </si>
  <si>
    <t>Virus/Malware scanner for test units</t>
  </si>
  <si>
    <t>Mobile Device Management</t>
  </si>
  <si>
    <t>Device management for Windows 10 devices</t>
  </si>
  <si>
    <t>Soti</t>
  </si>
  <si>
    <t>Backup Software</t>
  </si>
  <si>
    <t>NetBackup - migration to SPARC platform</t>
  </si>
  <si>
    <t>Symantec</t>
  </si>
  <si>
    <t>Backup client licenses</t>
  </si>
  <si>
    <t>Netbackup Enterprise Client (LDOMs)</t>
  </si>
  <si>
    <t>Netbackup Enterprise Client (Vmware)</t>
  </si>
  <si>
    <t>Tape</t>
  </si>
  <si>
    <t>LTO5</t>
  </si>
  <si>
    <t>First year paid at the time of purchase. Assume 50% increase for the last 2 yrs</t>
  </si>
  <si>
    <t>Oracle, T7-1, single socket 32-core SPARC CPU. System virtualized with LDOM, DR-DB PROD,DR-HSM PROD, all two node clusters</t>
  </si>
  <si>
    <t>Internet Link</t>
  </si>
  <si>
    <t>Inspection facility internet link</t>
  </si>
  <si>
    <t>Link to the State</t>
  </si>
  <si>
    <t>Netbackup Enterprise Client (LDOM)</t>
  </si>
  <si>
    <t>Grand Total</t>
  </si>
  <si>
    <t>Check</t>
  </si>
  <si>
    <t>Infrastructure one time</t>
  </si>
  <si>
    <t>Infrastructure recurring</t>
  </si>
  <si>
    <t>Infrastructure refresh</t>
  </si>
  <si>
    <t>Cyber security BOND</t>
  </si>
  <si>
    <t xml:space="preserve">Facility </t>
  </si>
  <si>
    <t>PIF Pricing Desktop</t>
  </si>
  <si>
    <t>PIF Desktop</t>
  </si>
  <si>
    <t>Revenue CIF</t>
  </si>
  <si>
    <t>Units</t>
  </si>
  <si>
    <t>CIF Retrofit</t>
  </si>
  <si>
    <t>Line item</t>
  </si>
  <si>
    <t>All NGVID Required Documents
Bid Solicitation Section 3.51, 3.52</t>
  </si>
  <si>
    <t>Design, Development, and Implementation
Bid Solicitation Section 3.38, 3.39.1</t>
  </si>
  <si>
    <t>PIF desktop</t>
  </si>
  <si>
    <t>Inspection transaction fee for PIFs and PFFs (days 91 - 365, maintenance only)Bid Solicitation Section 3.1.3 &amp; 3.27</t>
  </si>
  <si>
    <t>margin %</t>
  </si>
  <si>
    <t xml:space="preserve">Price line and cost type </t>
  </si>
  <si>
    <t>with profit</t>
  </si>
  <si>
    <t>Test fee per year calculated</t>
  </si>
  <si>
    <t>CIF Retrofit - removal of old equipment</t>
  </si>
  <si>
    <t>CIF Retrofit - removal of cal farm</t>
  </si>
  <si>
    <t>CIF lane equipment</t>
  </si>
  <si>
    <t>2 workstaions for NJ</t>
  </si>
  <si>
    <t>Spare equipment for pifs</t>
  </si>
  <si>
    <t>CIF Retrofit - maintenance</t>
  </si>
  <si>
    <t>Consumables</t>
  </si>
  <si>
    <t>add vidfee</t>
  </si>
  <si>
    <t>Calculated Test fee</t>
  </si>
  <si>
    <t>Use test Fee</t>
  </si>
  <si>
    <t>Revenue totals</t>
  </si>
  <si>
    <t>Cumulative total</t>
  </si>
  <si>
    <t>Profit totals</t>
  </si>
  <si>
    <t>Inspection transaction fee for PIFs and PFFs (including NGVID &amp; all maintenance)
Bid Solicitation Section 3.1.2</t>
  </si>
  <si>
    <t>xcheck</t>
  </si>
  <si>
    <t>Expense totals</t>
  </si>
  <si>
    <t>test Fee==&gt;</t>
  </si>
  <si>
    <t>GP%</t>
  </si>
  <si>
    <t xml:space="preserve">Union Labor inflation </t>
  </si>
  <si>
    <t>Summary</t>
  </si>
  <si>
    <t>Profit</t>
  </si>
  <si>
    <t>Cumulative profit</t>
  </si>
  <si>
    <t>GP&amp;</t>
  </si>
  <si>
    <t>canada Fringe</t>
  </si>
  <si>
    <t>State-Supplied Price Sheet
Bid Solicitation # 20DPP00471
T1628 - Enhanced Motor Vehicle Inspection Maintenance System</t>
  </si>
  <si>
    <t xml:space="preserve">Vendor {Bidder} Name: </t>
  </si>
  <si>
    <t>Instructions:</t>
  </si>
  <si>
    <t xml:space="preserve">Refer to Bid Solicitation Section 4.4.5 for Vendor {Bidder} instruction. The Vendor {Bidder} shall provide pricing for all of the yellow highlighted cells including the optional extension cells. </t>
  </si>
  <si>
    <t>Description/Service</t>
  </si>
  <si>
    <t>Estimated Volume Per Year</t>
  </si>
  <si>
    <t>Unit of Measurement</t>
  </si>
  <si>
    <r>
      <t xml:space="preserve">Year 1
</t>
    </r>
    <r>
      <rPr>
        <b/>
        <sz val="10"/>
        <color theme="1"/>
        <rFont val="Arial"/>
        <family val="2"/>
      </rPr>
      <t>All-Inclusive Price</t>
    </r>
  </si>
  <si>
    <r>
      <t xml:space="preserve">Year 2
</t>
    </r>
    <r>
      <rPr>
        <b/>
        <sz val="10"/>
        <color theme="1"/>
        <rFont val="Arial"/>
        <family val="2"/>
      </rPr>
      <t>All-Inclusive Price</t>
    </r>
  </si>
  <si>
    <r>
      <t xml:space="preserve">Year 3
</t>
    </r>
    <r>
      <rPr>
        <b/>
        <sz val="10"/>
        <color theme="1"/>
        <rFont val="Arial"/>
        <family val="2"/>
      </rPr>
      <t>All-Inclusive Price</t>
    </r>
  </si>
  <si>
    <r>
      <t xml:space="preserve">Year 4
</t>
    </r>
    <r>
      <rPr>
        <b/>
        <sz val="10"/>
        <color theme="1"/>
        <rFont val="Arial"/>
        <family val="2"/>
      </rPr>
      <t>All-Inclusive Price</t>
    </r>
  </si>
  <si>
    <r>
      <t xml:space="preserve">Year 5
</t>
    </r>
    <r>
      <rPr>
        <b/>
        <sz val="10"/>
        <color theme="1"/>
        <rFont val="Arial"/>
        <family val="2"/>
      </rPr>
      <t>All-Inclusive Price</t>
    </r>
  </si>
  <si>
    <r>
      <t xml:space="preserve">Year 6
</t>
    </r>
    <r>
      <rPr>
        <b/>
        <sz val="10"/>
        <color theme="1"/>
        <rFont val="Arial"/>
        <family val="2"/>
      </rPr>
      <t>All-Inclusive Price</t>
    </r>
  </si>
  <si>
    <t>Total Cost</t>
  </si>
  <si>
    <r>
      <t xml:space="preserve">Year 7
</t>
    </r>
    <r>
      <rPr>
        <b/>
        <sz val="10"/>
        <color theme="1"/>
        <rFont val="Arial"/>
        <family val="2"/>
      </rPr>
      <t xml:space="preserve">All-Inclusive Price
</t>
    </r>
    <r>
      <rPr>
        <sz val="8"/>
        <color theme="1"/>
        <rFont val="Arial"/>
        <family val="2"/>
      </rPr>
      <t>(Optional Extension - See Section 5.2)</t>
    </r>
  </si>
  <si>
    <r>
      <t xml:space="preserve">Year 8
</t>
    </r>
    <r>
      <rPr>
        <b/>
        <sz val="10"/>
        <color theme="1"/>
        <rFont val="Arial"/>
        <family val="2"/>
      </rPr>
      <t xml:space="preserve">All-Inclusive Price
</t>
    </r>
    <r>
      <rPr>
        <sz val="8"/>
        <color theme="1"/>
        <rFont val="Arial"/>
        <family val="2"/>
      </rPr>
      <t>(Optional Extension - See Section 5.2)</t>
    </r>
  </si>
  <si>
    <r>
      <t xml:space="preserve">Year 9
</t>
    </r>
    <r>
      <rPr>
        <b/>
        <sz val="10"/>
        <color theme="1"/>
        <rFont val="Arial"/>
        <family val="2"/>
      </rPr>
      <t xml:space="preserve">All-Inclusive Price
</t>
    </r>
    <r>
      <rPr>
        <sz val="8"/>
        <color theme="1"/>
        <rFont val="Arial"/>
        <family val="2"/>
      </rPr>
      <t>(Optional Extension - See Section 5.2)</t>
    </r>
  </si>
  <si>
    <r>
      <t xml:space="preserve">Year 10
</t>
    </r>
    <r>
      <rPr>
        <b/>
        <sz val="10"/>
        <color theme="1"/>
        <rFont val="Arial"/>
        <family val="2"/>
      </rPr>
      <t xml:space="preserve">All-Inclusive Price
</t>
    </r>
    <r>
      <rPr>
        <sz val="8"/>
        <color theme="1"/>
        <rFont val="Arial"/>
        <family val="2"/>
      </rPr>
      <t>(Optional Extension - See Section 5.2)</t>
    </r>
  </si>
  <si>
    <t>VID DEVELOPMENT - NEXT GENERATION VEHICLE INSPECTION SYSTEM</t>
  </si>
  <si>
    <r>
      <t xml:space="preserve">All NGVID Required Documents
</t>
    </r>
    <r>
      <rPr>
        <sz val="10"/>
        <rFont val="Arial"/>
        <family val="2"/>
      </rPr>
      <t>Bid Solicitation Section 3.51, 3.52</t>
    </r>
  </si>
  <si>
    <t>TASK</t>
  </si>
  <si>
    <r>
      <t xml:space="preserve">Design, Development, and Implementation
</t>
    </r>
    <r>
      <rPr>
        <sz val="10"/>
        <rFont val="Arial"/>
        <family val="2"/>
      </rPr>
      <t>Bid Solicitation Section 3.38, 3.39.1</t>
    </r>
  </si>
  <si>
    <t>PIFs AND PFFs</t>
  </si>
  <si>
    <r>
      <t>NGWorkstation price to PIFs and PFFs (</t>
    </r>
    <r>
      <rPr>
        <b/>
        <u/>
        <sz val="11"/>
        <rFont val="Arial"/>
        <family val="2"/>
      </rPr>
      <t>PC based</t>
    </r>
    <r>
      <rPr>
        <sz val="11"/>
        <rFont val="Arial"/>
        <family val="2"/>
      </rPr>
      <t xml:space="preserve"> - PC, monitor, barcode reader, printer, scan tool, keyboard, mouse)
</t>
    </r>
    <r>
      <rPr>
        <sz val="10"/>
        <rFont val="Arial"/>
        <family val="2"/>
      </rPr>
      <t>Bid Solicitation Section 3.26, 3.27, 3.28</t>
    </r>
  </si>
  <si>
    <t>EACH</t>
  </si>
  <si>
    <r>
      <t>NGWorkstation price to PIFs and PFFs (</t>
    </r>
    <r>
      <rPr>
        <b/>
        <u/>
        <sz val="11"/>
        <rFont val="Arial"/>
        <family val="2"/>
      </rPr>
      <t>Tablet based</t>
    </r>
    <r>
      <rPr>
        <sz val="11"/>
        <rFont val="Arial"/>
        <family val="2"/>
      </rPr>
      <t xml:space="preserve"> - Tablet, printer, scan tool)
</t>
    </r>
    <r>
      <rPr>
        <sz val="10"/>
        <rFont val="Arial"/>
        <family val="2"/>
      </rPr>
      <t>Bid Solicitation Section 3.26, 3.27, 3.28</t>
    </r>
  </si>
  <si>
    <r>
      <t xml:space="preserve">Inspection transaction fee for PIFs and PFFs (days 91 - 365, maintenance only)
</t>
    </r>
    <r>
      <rPr>
        <sz val="10"/>
        <rFont val="Arial"/>
        <family val="2"/>
      </rPr>
      <t>Bid Solicitation Section 3.1.3 &amp; 3.27</t>
    </r>
  </si>
  <si>
    <r>
      <t>NGWorkstation price to PIFs and PFFs (</t>
    </r>
    <r>
      <rPr>
        <b/>
        <u/>
        <sz val="11"/>
        <rFont val="Arial"/>
        <family val="2"/>
      </rPr>
      <t>Laptop based</t>
    </r>
    <r>
      <rPr>
        <sz val="11"/>
        <rFont val="Arial"/>
        <family val="2"/>
      </rPr>
      <t xml:space="preserve"> - Laptop, printer, barcode reader, scan tool)
</t>
    </r>
    <r>
      <rPr>
        <sz val="10"/>
        <rFont val="Arial"/>
        <family val="2"/>
      </rPr>
      <t>Bid Solicitation Section 3.26, 3.27, 3.28</t>
    </r>
  </si>
  <si>
    <t>CIFS - STARTUP, RETROFIT, IMPROVEMENT, AND PER INSPECTION COST</t>
  </si>
  <si>
    <r>
      <t xml:space="preserve">Training State Staff on NGSystem (Price Per Employee)
</t>
    </r>
    <r>
      <rPr>
        <sz val="10"/>
        <rFont val="Arial"/>
        <family val="2"/>
      </rPr>
      <t>Bid Solicitation Section 3.48</t>
    </r>
  </si>
  <si>
    <r>
      <t xml:space="preserve">CIF Retrofit - Removal of old equipment, installation of new equipment (NGWorkstations), facility acceptance testing. 
</t>
    </r>
    <r>
      <rPr>
        <sz val="10"/>
        <rFont val="Arial"/>
        <family val="2"/>
      </rPr>
      <t>Bid Solicitation Section 3.13.5</t>
    </r>
  </si>
  <si>
    <r>
      <t xml:space="preserve">Cost per inspection at CIFs. Includes all CIF operational costs (days 91 - 365 [excluding the Legacy VID transaction cost]) - Inclusive of all State operational costs
</t>
    </r>
    <r>
      <rPr>
        <sz val="10"/>
        <rFont val="Arial"/>
        <family val="2"/>
      </rPr>
      <t>Bid Solicitation Section 3.1.3, 3.2.1</t>
    </r>
  </si>
  <si>
    <r>
      <t xml:space="preserve">Cost per inspection at CIFs (Includes all CIF operational costs.) - Inclusive of all State operational costs
</t>
    </r>
    <r>
      <rPr>
        <sz val="10"/>
        <rFont val="Arial"/>
        <family val="2"/>
      </rPr>
      <t>Bid Solicitation Section 3.1.2</t>
    </r>
  </si>
  <si>
    <t>Totaal cost of prgram without PIF/PFF</t>
  </si>
  <si>
    <t>MISCELLANEOUS HOURLY RATES PURSUANT TO SECTIONS 3.13.2.2, 3.14.1, 3.47 and 5.16 - review sections here and in cells below</t>
  </si>
  <si>
    <t>Total cost from P&amp;L</t>
  </si>
  <si>
    <r>
      <t xml:space="preserve">Additional Work 
</t>
    </r>
    <r>
      <rPr>
        <sz val="10"/>
        <rFont val="Arial"/>
        <family val="2"/>
      </rPr>
      <t>Bid Solicitation Section 3.13.2.2</t>
    </r>
  </si>
  <si>
    <t>HOUR</t>
  </si>
  <si>
    <t>delta</t>
  </si>
  <si>
    <r>
      <t xml:space="preserve">Project Manager
</t>
    </r>
    <r>
      <rPr>
        <sz val="10"/>
        <rFont val="Arial"/>
        <family val="2"/>
      </rPr>
      <t>Bid Solicitation Section 3.14.1</t>
    </r>
  </si>
  <si>
    <r>
      <t xml:space="preserve">Business Analyst
</t>
    </r>
    <r>
      <rPr>
        <sz val="10"/>
        <rFont val="Arial"/>
        <family val="2"/>
      </rPr>
      <t>Bid Solicitation Section 3.14.1</t>
    </r>
  </si>
  <si>
    <r>
      <t xml:space="preserve">User Interface Designer
</t>
    </r>
    <r>
      <rPr>
        <sz val="10"/>
        <rFont val="Arial"/>
        <family val="2"/>
      </rPr>
      <t>Bid Solicitation Section 3.14.1</t>
    </r>
  </si>
  <si>
    <r>
      <t xml:space="preserve">Developer
</t>
    </r>
    <r>
      <rPr>
        <sz val="10"/>
        <rFont val="Arial"/>
        <family val="2"/>
      </rPr>
      <t>Bid Solicitation Section 3.14.1</t>
    </r>
  </si>
  <si>
    <r>
      <t xml:space="preserve">Database Administrator
</t>
    </r>
    <r>
      <rPr>
        <sz val="10"/>
        <rFont val="Arial"/>
        <family val="2"/>
      </rPr>
      <t>Bid Solicitation Section 3.14.1</t>
    </r>
  </si>
  <si>
    <r>
      <t xml:space="preserve">Security Design Lead
</t>
    </r>
    <r>
      <rPr>
        <sz val="10"/>
        <rFont val="Arial"/>
        <family val="2"/>
      </rPr>
      <t>Bid Solicitation Section 3.14.1</t>
    </r>
  </si>
  <si>
    <r>
      <t xml:space="preserve">Security Tester
</t>
    </r>
    <r>
      <rPr>
        <sz val="10"/>
        <rFont val="Arial"/>
        <family val="2"/>
      </rPr>
      <t>Bid Solicitation Section 3.14.1</t>
    </r>
  </si>
  <si>
    <r>
      <t xml:space="preserve">Quality Assurance Manager
</t>
    </r>
    <r>
      <rPr>
        <sz val="10"/>
        <rFont val="Arial"/>
        <family val="2"/>
      </rPr>
      <t>Bid Solicitation Section 3.14.1</t>
    </r>
  </si>
  <si>
    <t>PIF/PFF REPLACEMENT EQUIPMENT</t>
  </si>
  <si>
    <r>
      <t xml:space="preserve">Monitor
</t>
    </r>
    <r>
      <rPr>
        <sz val="10"/>
        <rFont val="Arial"/>
        <family val="2"/>
      </rPr>
      <t>Bid Solicitation Section 3.26, 3.27, 3.28</t>
    </r>
  </si>
  <si>
    <t>UNIT</t>
  </si>
  <si>
    <r>
      <t xml:space="preserve">Keyboard
</t>
    </r>
    <r>
      <rPr>
        <sz val="10"/>
        <rFont val="Arial"/>
        <family val="2"/>
      </rPr>
      <t>Bid Solicitation Section 3.26, 3.27, 3.28</t>
    </r>
  </si>
  <si>
    <r>
      <t xml:space="preserve">Mouse
</t>
    </r>
    <r>
      <rPr>
        <sz val="10"/>
        <rFont val="Arial"/>
        <family val="2"/>
      </rPr>
      <t>Bid Solicitation Section 3.26, 3.27, 3.28</t>
    </r>
  </si>
  <si>
    <r>
      <t xml:space="preserve">OBD Scan Tool
</t>
    </r>
    <r>
      <rPr>
        <sz val="10"/>
        <rFont val="Arial"/>
        <family val="2"/>
      </rPr>
      <t>Bid Solicitation Section 3.26, 3.27, 3.28</t>
    </r>
  </si>
  <si>
    <r>
      <t xml:space="preserve">Bar Code Scanner
</t>
    </r>
    <r>
      <rPr>
        <sz val="10"/>
        <rFont val="Arial"/>
        <family val="2"/>
      </rPr>
      <t>Bid Solicitation Section 3.26, 3.27, 3.28</t>
    </r>
  </si>
  <si>
    <r>
      <t xml:space="preserve">Printer
</t>
    </r>
    <r>
      <rPr>
        <sz val="10"/>
        <rFont val="Arial"/>
        <family val="2"/>
      </rPr>
      <t>Bid Solicitation Section 3.26, 3.27, 3.28</t>
    </r>
  </si>
  <si>
    <r>
      <t xml:space="preserve">Tablet
</t>
    </r>
    <r>
      <rPr>
        <sz val="10"/>
        <rFont val="Arial"/>
        <family val="2"/>
      </rPr>
      <t>Bid Solicitation Section 3.26, 3.27, 3.28</t>
    </r>
  </si>
  <si>
    <r>
      <t xml:space="preserve">Computer
</t>
    </r>
    <r>
      <rPr>
        <sz val="10"/>
        <rFont val="Arial"/>
        <family val="2"/>
      </rPr>
      <t>Bid Solicitation Section 3.26, 3.27, 3.28</t>
    </r>
  </si>
  <si>
    <r>
      <t xml:space="preserve">Laptop
</t>
    </r>
    <r>
      <rPr>
        <sz val="10"/>
        <rFont val="Arial"/>
        <family val="2"/>
      </rPr>
      <t>Bid Solicitation Section 3.26, 3.27, 3.28</t>
    </r>
  </si>
  <si>
    <r>
      <t xml:space="preserve">Other
</t>
    </r>
    <r>
      <rPr>
        <sz val="10"/>
        <rFont val="Arial"/>
        <family val="2"/>
      </rPr>
      <t>Bid Solicitation Section 3.26, 3.27, 3.28</t>
    </r>
  </si>
  <si>
    <t>MGT Fringe</t>
  </si>
  <si>
    <t>With Profit</t>
  </si>
  <si>
    <t xml:space="preserve">Camera OS update </t>
  </si>
  <si>
    <t>Test fee==&gt;</t>
  </si>
  <si>
    <t>testfee</t>
  </si>
  <si>
    <t>for line item 6</t>
  </si>
  <si>
    <t>for line item 5</t>
  </si>
  <si>
    <t>units</t>
  </si>
  <si>
    <t>maintenance fee</t>
  </si>
  <si>
    <t>number of months</t>
  </si>
  <si>
    <t>vid fee</t>
  </si>
  <si>
    <t>Total per test fee</t>
  </si>
  <si>
    <t>labor</t>
  </si>
  <si>
    <t xml:space="preserve">remove from a line </t>
  </si>
  <si>
    <t>add to a line</t>
  </si>
  <si>
    <t>test fee</t>
  </si>
  <si>
    <t>total revenue</t>
  </si>
  <si>
    <t xml:space="preserve">CIF expense reduction </t>
  </si>
  <si>
    <t>Add yearly support inflation 2%</t>
  </si>
  <si>
    <t>Provide cost that PA covers to estimate what needs to be included in the budget</t>
  </si>
  <si>
    <t>2020 Feb</t>
  </si>
  <si>
    <t>Environment</t>
  </si>
  <si>
    <t>Classification</t>
  </si>
  <si>
    <t>PRIMARY</t>
  </si>
  <si>
    <t>Datacenter Hosting</t>
  </si>
  <si>
    <t>Equinix</t>
  </si>
  <si>
    <t>Needed for the equipment refresh</t>
  </si>
  <si>
    <t>Existing Cost</t>
  </si>
  <si>
    <t>PRIMARY/DR</t>
  </si>
  <si>
    <t>Hardware</t>
  </si>
  <si>
    <t>Hardware/Software</t>
  </si>
  <si>
    <t>Includes HP systems, EVA storage and Vmware licensing. 50% reduction in support cost based on the systems refresh</t>
  </si>
  <si>
    <t>Includes HP systems, EVA storage and Vmware licensing</t>
  </si>
  <si>
    <t>Software</t>
  </si>
  <si>
    <t>IBM</t>
  </si>
  <si>
    <t>Nagios</t>
  </si>
  <si>
    <t>Netbackup</t>
  </si>
  <si>
    <t>Veritas</t>
  </si>
  <si>
    <t>Oracle ZS3</t>
  </si>
  <si>
    <t>Cisco Network Hardware</t>
  </si>
  <si>
    <t>Load Balancer/DNS failover</t>
  </si>
  <si>
    <t>F5</t>
  </si>
  <si>
    <t>Database</t>
  </si>
  <si>
    <t>Portal/WAS</t>
  </si>
  <si>
    <t>Pentaho</t>
  </si>
  <si>
    <t>Hardware refresh</t>
  </si>
  <si>
    <t>Primary PROD</t>
  </si>
  <si>
    <t>NON-PROD</t>
  </si>
  <si>
    <t>DB Server Refresh</t>
  </si>
  <si>
    <t>Oracle x86, OVM PROD,  two node clusters</t>
  </si>
  <si>
    <t>PROD</t>
  </si>
  <si>
    <t>Primary</t>
  </si>
  <si>
    <t>Backup server</t>
  </si>
  <si>
    <t>Hardware refresh,  two node clusters</t>
  </si>
  <si>
    <t xml:space="preserve">Cisco 5506W-X </t>
  </si>
  <si>
    <t>CORTICON</t>
  </si>
  <si>
    <t>Telecom</t>
  </si>
  <si>
    <t>Yearly recurring cost startgin year 2</t>
  </si>
  <si>
    <t>Migrate to Vmware, waiting to confirm this cost</t>
  </si>
  <si>
    <t>Developer tools</t>
  </si>
  <si>
    <t>Pentaho, PROD, UAT, QAT, DEV</t>
  </si>
  <si>
    <t>Pricing provided by Gus, this is the highest cost option.</t>
  </si>
  <si>
    <t>DR</t>
  </si>
  <si>
    <t>Oracle x86, OVM DR-PROD/DR-DTS, two node clusters</t>
  </si>
  <si>
    <t>Purchased in 2018, 3 year support included</t>
  </si>
  <si>
    <t>Virtualized appliance</t>
  </si>
  <si>
    <t>Replace existing physical appliances with virtualized ones. Pricing based on Ontario quote</t>
  </si>
  <si>
    <t>Cross check</t>
  </si>
  <si>
    <t>Zeroed out contingency 10/21</t>
  </si>
  <si>
    <t>Reduced labor by 25%</t>
  </si>
  <si>
    <t>Removed, use ancillary VID extension contract</t>
  </si>
  <si>
    <t>Removed; leverage crossover resources (PA/Gus)</t>
  </si>
  <si>
    <t>What PM will be needed?</t>
  </si>
  <si>
    <t>CIF,Bus teams, go against the transaction [NOTE:  10/28 Review -What is this?]</t>
  </si>
  <si>
    <t>Bus team PCs (80)!</t>
  </si>
  <si>
    <t>2 workstaions for NJ tablet</t>
  </si>
  <si>
    <t>Existing Item ID</t>
  </si>
  <si>
    <t>Replacement</t>
  </si>
  <si>
    <t>Unit Count</t>
  </si>
  <si>
    <t>Est Price</t>
  </si>
  <si>
    <t>Totals</t>
  </si>
  <si>
    <t>20-1341R</t>
  </si>
  <si>
    <t>Brother Printer (HL-L2350DW)</t>
  </si>
  <si>
    <t>20-4600E</t>
  </si>
  <si>
    <t>Offbrand Toner</t>
  </si>
  <si>
    <t>20-4601E</t>
  </si>
  <si>
    <t>Offbrand Drum</t>
  </si>
  <si>
    <t>40-1266R</t>
  </si>
  <si>
    <t>DG Equipment</t>
  </si>
  <si>
    <t>60-1121R</t>
  </si>
  <si>
    <t>DT Research Ruggadized 10"</t>
  </si>
  <si>
    <t>Pro Option Only</t>
  </si>
  <si>
    <t>Surface Go 10"</t>
  </si>
  <si>
    <t>Ruggedized UAG Case (This will not hold up to the rigorous shop environment)</t>
  </si>
  <si>
    <t>60-1125E</t>
  </si>
  <si>
    <t xml:space="preserve">Dell Mouse and Keyboard </t>
  </si>
  <si>
    <t>10-1001R</t>
  </si>
  <si>
    <t>2D Scanner (Premium)</t>
  </si>
  <si>
    <t>Raw Price</t>
  </si>
  <si>
    <t>Monthly Fees  + Maintenance</t>
  </si>
  <si>
    <t>Markup</t>
  </si>
  <si>
    <t xml:space="preserve">Maintence Only </t>
  </si>
  <si>
    <t>Total - Pro Options - Leasing</t>
  </si>
  <si>
    <t>Total - Regular Option - Leasing</t>
  </si>
  <si>
    <t>Total - Pro Options - Purchase</t>
  </si>
  <si>
    <t>Total - Regular Option - Purchase</t>
  </si>
  <si>
    <t>Spares</t>
  </si>
  <si>
    <t>cost</t>
  </si>
  <si>
    <t>Margin</t>
  </si>
  <si>
    <t>qty</t>
  </si>
  <si>
    <t>Existing Price</t>
  </si>
  <si>
    <t>10NJ-CP600LCD-R</t>
  </si>
  <si>
    <t>Cyberpower 600 W</t>
  </si>
  <si>
    <t xml:space="preserve">Dell PC </t>
  </si>
  <si>
    <t>60-1124R</t>
  </si>
  <si>
    <t>Dell Ultrasharp Monitor</t>
  </si>
  <si>
    <t xml:space="preserve">Estimated; Quote Required. </t>
  </si>
  <si>
    <t xml:space="preserve">2D Scanner </t>
  </si>
  <si>
    <t>estimated quanity</t>
  </si>
  <si>
    <t>40NJ-C748-R</t>
  </si>
  <si>
    <t>Remote</t>
  </si>
  <si>
    <t>Windows CAL</t>
  </si>
  <si>
    <t xml:space="preserve">If we decide to log into a Domain Server </t>
  </si>
  <si>
    <t>Liceses for VPN if present</t>
  </si>
  <si>
    <t>Need to talk to Jakub about this</t>
  </si>
  <si>
    <t>Total - Wireless Options - Leasing</t>
  </si>
  <si>
    <t>Total - Wired Option - Leasing</t>
  </si>
  <si>
    <t>Total - Wireless Options - Purchase</t>
  </si>
  <si>
    <t>Total - Wired Option - Purchase</t>
  </si>
  <si>
    <t>Total (Raw Cost No Markup)</t>
  </si>
  <si>
    <t>Spares??</t>
  </si>
  <si>
    <t>QTY</t>
  </si>
  <si>
    <t xml:space="preserve">unit count </t>
  </si>
  <si>
    <t xml:space="preserve">UPS, LANE PC &amp; STATION CONTROLLER, CYBER POWER #CP600       </t>
  </si>
  <si>
    <t xml:space="preserve">PRINTER, B4350 OKIDATA (LED), REPLACEMENT B4600 62427201    </t>
  </si>
  <si>
    <t xml:space="preserve">TONER, OKI 4600 PRINTER. 43502301                           </t>
  </si>
  <si>
    <t xml:space="preserve">IMAGE DRUM, 4600 OKI PRINTER. 43501901                      </t>
  </si>
  <si>
    <t xml:space="preserve">MODULE, OBD II (CAN) VENTRONIX PN: 02003163 PER JP3 MODULE  {ONLY                                                        </t>
  </si>
  <si>
    <t xml:space="preserve">LANE PC DELL OPTIPLEX 360                                   </t>
  </si>
  <si>
    <t xml:space="preserve">DELL ULTRASHARP 1708FP FLAT PANEL MONITOR                   </t>
  </si>
  <si>
    <t xml:space="preserve">DELL USB 2 BUTTON OPTICAL MOUSE                             </t>
  </si>
  <si>
    <t xml:space="preserve">2D SCANNER - 4600 SERIES HH-IT4600SR051C                    </t>
  </si>
  <si>
    <t xml:space="preserve">2D wired scanner </t>
  </si>
  <si>
    <t xml:space="preserve">Tablets </t>
  </si>
  <si>
    <t>Wireless System in the Lane</t>
  </si>
  <si>
    <t>Wireless Router</t>
  </si>
  <si>
    <t xml:space="preserve">Totals </t>
  </si>
  <si>
    <t xml:space="preserve">Margin </t>
  </si>
  <si>
    <t xml:space="preserve">Consulting/Temporary Labor                                </t>
  </si>
  <si>
    <t xml:space="preserve">Employee Recognition/Sunshine Fund (9234)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</si>
</sst>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-yy"/>
    <numFmt numFmtId="165" formatCode="0\ &quot;Months&quot;"/>
    <numFmt numFmtId="166" formatCode="[$-409]mmm\-yy;@"/>
    <numFmt numFmtId="167" formatCode="0.000"/>
    <numFmt numFmtId="168" formatCode="_(* #,##0_);_(* \(#,##0\);_(* &quot;-&quot;??_);_(@_)"/>
    <numFmt numFmtId="169" formatCode="#,##0.0000_);\(#,##0.0000\)"/>
    <numFmt numFmtId="170" formatCode="_(&quot;$&quot;* #,##0_);_(&quot;$&quot;* \(#,##0\);_(&quot;$&quot;* &quot;-&quot;??_);_(@_)"/>
    <numFmt numFmtId="171" formatCode="_(&quot;$&quot;* #,##0.000_);_(&quot;$&quot;* \(#,##0.000\);_(&quot;$&quot;* &quot;-&quot;??_);_(@_)"/>
    <numFmt numFmtId="172" formatCode="_(&quot;$&quot;* #,##0.000_);_(&quot;$&quot;* \(#,##0.000\);_(&quot;$&quot;* &quot;-&quot;???_);_(@_)"/>
    <numFmt numFmtId="173" formatCode="_(* #,##0.0_);_(* \(#,##0.0\);_(* &quot;-&quot;??_);_(@_)"/>
    <numFmt numFmtId="174" formatCode="_(&quot;$&quot;* #,##0.0000_);_(&quot;$&quot;* \(#,##0.0000\);_(&quot;$&quot;* &quot;-&quot;??_);_(@_)"/>
    <numFmt numFmtId="175" formatCode="&quot;$&quot;#,##0"/>
    <numFmt numFmtId="176" formatCode="_-&quot;$&quot;* #,##0.00_-;\-&quot;$&quot;* #,##0.00_-;_-&quot;$&quot;* &quot;-&quot;??_-;_-@_-"/>
    <numFmt numFmtId="177" formatCode="_-&quot;$&quot;* #,##0_-;\-&quot;$&quot;* #,##0_-;_-&quot;$&quot;* &quot;-&quot;??_-;_-@_-"/>
    <numFmt numFmtId="178" formatCode="0.0000"/>
    <numFmt numFmtId="179" formatCode="&quot;$&quot;#,##0.00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b/>
      <u/>
      <sz val="11"/>
      <color indexed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b/>
      <sz val="12"/>
      <name val="Times New Roman"/>
      <family val="1"/>
    </font>
    <font>
      <b/>
      <u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name val="Times New Roman"/>
      <family val="1"/>
    </font>
    <font>
      <b/>
      <u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u/>
      <sz val="10"/>
      <color indexed="10"/>
      <name val="Arial"/>
      <family val="2"/>
    </font>
    <font>
      <b/>
      <sz val="10"/>
      <color theme="1"/>
      <name val="Arial"/>
      <family val="2"/>
    </font>
    <font>
      <b/>
      <u/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sz val="10"/>
      <color indexed="12"/>
      <name val="Arial"/>
      <family val="2"/>
    </font>
    <font>
      <i/>
      <sz val="10"/>
      <color indexed="10"/>
      <name val="Arial"/>
      <family val="2"/>
    </font>
    <font>
      <b/>
      <sz val="12"/>
      <color theme="3"/>
      <name val="Arial"/>
      <family val="2"/>
    </font>
    <font>
      <b/>
      <u/>
      <sz val="1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8"/>
      <color rgb="FFFF0000"/>
      <name val="Arial"/>
      <family val="2"/>
    </font>
    <font>
      <sz val="10"/>
      <name val="Trebuchet MS"/>
      <family val="2"/>
    </font>
    <font>
      <b/>
      <sz val="8"/>
      <color rgb="FFFF0000"/>
      <name val="Arial"/>
      <family val="2"/>
    </font>
    <font>
      <sz val="11"/>
      <name val="Calibri"/>
      <family val="2"/>
    </font>
    <font>
      <sz val="8"/>
      <color rgb="FFC0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u val="singleAccounting"/>
      <sz val="12"/>
      <name val="Calibri"/>
      <family val="2"/>
      <scheme val="minor"/>
    </font>
    <font>
      <b/>
      <u/>
      <sz val="11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b/>
      <i/>
      <sz val="14"/>
      <name val="Arial"/>
      <family val="2"/>
    </font>
    <font>
      <b/>
      <sz val="12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43" fillId="0" borderId="0"/>
    <xf numFmtId="176" fontId="4" fillId="0" borderId="0" applyFont="0" applyFill="0" applyBorder="0" applyAlignment="0" applyProtection="0"/>
  </cellStyleXfs>
  <cellXfs count="425">
    <xf numFmtId="0" fontId="0" fillId="0" borderId="0" xfId="0"/>
    <xf numFmtId="0" fontId="5" fillId="0" borderId="0" xfId="4" applyFont="1"/>
    <xf numFmtId="0" fontId="4" fillId="0" borderId="0" xfId="4"/>
    <xf numFmtId="0" fontId="6" fillId="0" borderId="0" xfId="4" applyFont="1"/>
    <xf numFmtId="0" fontId="7" fillId="0" borderId="0" xfId="4" applyFont="1" applyAlignment="1">
      <alignment horizontal="center" wrapText="1"/>
    </xf>
    <xf numFmtId="0" fontId="7" fillId="0" borderId="0" xfId="4" applyFont="1" applyAlignment="1">
      <alignment horizontal="center"/>
    </xf>
    <xf numFmtId="0" fontId="8" fillId="0" borderId="0" xfId="4" applyFont="1"/>
    <xf numFmtId="0" fontId="4" fillId="0" borderId="0" xfId="4" quotePrefix="1"/>
    <xf numFmtId="0" fontId="9" fillId="0" borderId="0" xfId="4" applyFont="1"/>
    <xf numFmtId="0" fontId="10" fillId="0" borderId="0" xfId="4" applyFont="1"/>
    <xf numFmtId="0" fontId="11" fillId="0" borderId="0" xfId="4" applyFont="1"/>
    <xf numFmtId="0" fontId="9" fillId="0" borderId="0" xfId="4" applyFont="1" applyAlignment="1">
      <alignment horizontal="left"/>
    </xf>
    <xf numFmtId="164" fontId="9" fillId="0" borderId="0" xfId="4" applyNumberFormat="1" applyFont="1" applyAlignment="1">
      <alignment horizontal="left"/>
    </xf>
    <xf numFmtId="0" fontId="12" fillId="0" borderId="0" xfId="4" applyFont="1" applyAlignment="1">
      <alignment horizontal="left"/>
    </xf>
    <xf numFmtId="0" fontId="13" fillId="0" borderId="0" xfId="4" applyFont="1" applyAlignment="1">
      <alignment horizontal="left"/>
    </xf>
    <xf numFmtId="0" fontId="12" fillId="0" borderId="0" xfId="4" applyFont="1" applyAlignment="1">
      <alignment horizontal="center"/>
    </xf>
    <xf numFmtId="0" fontId="14" fillId="0" borderId="0" xfId="4" applyFont="1"/>
    <xf numFmtId="165" fontId="9" fillId="0" borderId="0" xfId="5" applyNumberFormat="1" applyFont="1"/>
    <xf numFmtId="165" fontId="9" fillId="0" borderId="0" xfId="5" applyNumberFormat="1" applyFont="1" applyAlignment="1">
      <alignment horizontal="right"/>
    </xf>
    <xf numFmtId="0" fontId="15" fillId="0" borderId="0" xfId="4" applyFont="1"/>
    <xf numFmtId="0" fontId="16" fillId="0" borderId="0" xfId="4" applyFont="1"/>
    <xf numFmtId="0" fontId="10" fillId="3" borderId="0" xfId="4" applyFont="1" applyFill="1"/>
    <xf numFmtId="0" fontId="4" fillId="3" borderId="0" xfId="4" quotePrefix="1" applyFill="1"/>
    <xf numFmtId="0" fontId="4" fillId="3" borderId="0" xfId="4" applyFill="1"/>
    <xf numFmtId="0" fontId="4" fillId="0" borderId="5" xfId="4" quotePrefix="1" applyBorder="1"/>
    <xf numFmtId="0" fontId="18" fillId="0" borderId="0" xfId="4" applyFont="1" applyAlignment="1">
      <alignment horizontal="center"/>
    </xf>
    <xf numFmtId="0" fontId="19" fillId="0" borderId="7" xfId="4" applyFont="1" applyBorder="1" applyAlignment="1">
      <alignment horizontal="center"/>
    </xf>
    <xf numFmtId="0" fontId="20" fillId="0" borderId="0" xfId="4" applyFont="1" applyAlignment="1">
      <alignment horizontal="center"/>
    </xf>
    <xf numFmtId="0" fontId="19" fillId="0" borderId="10" xfId="4" applyFont="1" applyBorder="1" applyAlignment="1">
      <alignment horizontal="center"/>
    </xf>
    <xf numFmtId="0" fontId="19" fillId="0" borderId="11" xfId="4" applyFont="1" applyBorder="1" applyAlignment="1">
      <alignment horizontal="center"/>
    </xf>
    <xf numFmtId="0" fontId="19" fillId="0" borderId="12" xfId="4" applyFont="1" applyBorder="1" applyAlignment="1">
      <alignment horizontal="center"/>
    </xf>
    <xf numFmtId="0" fontId="18" fillId="0" borderId="0" xfId="4" quotePrefix="1" applyFont="1" applyAlignment="1">
      <alignment horizontal="center"/>
    </xf>
    <xf numFmtId="17" fontId="18" fillId="0" borderId="13" xfId="4" applyNumberFormat="1" applyFont="1" applyBorder="1" applyAlignment="1">
      <alignment horizontal="center"/>
    </xf>
    <xf numFmtId="166" fontId="22" fillId="0" borderId="14" xfId="4" applyNumberFormat="1" applyFont="1" applyBorder="1" applyAlignment="1">
      <alignment horizontal="center"/>
    </xf>
    <xf numFmtId="0" fontId="18" fillId="0" borderId="0" xfId="4" applyFont="1"/>
    <xf numFmtId="44" fontId="18" fillId="0" borderId="0" xfId="6" applyFont="1" applyAlignment="1">
      <alignment horizontal="center"/>
    </xf>
    <xf numFmtId="9" fontId="18" fillId="0" borderId="0" xfId="7" applyFont="1" applyAlignment="1">
      <alignment horizontal="center"/>
    </xf>
    <xf numFmtId="9" fontId="18" fillId="0" borderId="0" xfId="7" applyFont="1"/>
    <xf numFmtId="167" fontId="23" fillId="0" borderId="0" xfId="4" applyNumberFormat="1" applyFont="1"/>
    <xf numFmtId="10" fontId="10" fillId="0" borderId="0" xfId="7" applyNumberFormat="1" applyFont="1"/>
    <xf numFmtId="0" fontId="7" fillId="0" borderId="0" xfId="4" applyFont="1"/>
    <xf numFmtId="0" fontId="10" fillId="0" borderId="0" xfId="4" applyFont="1" applyAlignment="1">
      <alignment horizontal="left"/>
    </xf>
    <xf numFmtId="167" fontId="7" fillId="0" borderId="0" xfId="4" applyNumberFormat="1" applyFont="1" applyAlignment="1">
      <alignment horizontal="center"/>
    </xf>
    <xf numFmtId="10" fontId="7" fillId="0" borderId="0" xfId="7" applyNumberFormat="1" applyFont="1"/>
    <xf numFmtId="0" fontId="25" fillId="0" borderId="0" xfId="4" applyFont="1"/>
    <xf numFmtId="168" fontId="18" fillId="0" borderId="0" xfId="5" applyNumberFormat="1" applyFont="1" applyAlignment="1">
      <alignment horizontal="left"/>
    </xf>
    <xf numFmtId="1" fontId="23" fillId="0" borderId="0" xfId="4" applyNumberFormat="1" applyFont="1"/>
    <xf numFmtId="43" fontId="18" fillId="0" borderId="16" xfId="5" applyFont="1" applyBorder="1" applyAlignment="1">
      <alignment horizontal="left"/>
    </xf>
    <xf numFmtId="9" fontId="19" fillId="0" borderId="14" xfId="7" applyFont="1" applyBorder="1"/>
    <xf numFmtId="9" fontId="19" fillId="0" borderId="0" xfId="7" applyFont="1"/>
    <xf numFmtId="168" fontId="4" fillId="0" borderId="0" xfId="4" applyNumberFormat="1"/>
    <xf numFmtId="37" fontId="4" fillId="3" borderId="0" xfId="4" quotePrefix="1" applyNumberFormat="1" applyFill="1"/>
    <xf numFmtId="0" fontId="7" fillId="0" borderId="0" xfId="4" applyFont="1" applyAlignment="1">
      <alignment horizontal="left"/>
    </xf>
    <xf numFmtId="37" fontId="4" fillId="0" borderId="0" xfId="4" quotePrefix="1" applyNumberFormat="1"/>
    <xf numFmtId="0" fontId="20" fillId="0" borderId="0" xfId="4" applyFont="1"/>
    <xf numFmtId="0" fontId="4" fillId="0" borderId="0" xfId="4" applyAlignment="1">
      <alignment horizontal="center"/>
    </xf>
    <xf numFmtId="166" fontId="7" fillId="0" borderId="0" xfId="4" applyNumberFormat="1" applyFont="1" applyAlignment="1">
      <alignment horizontal="center"/>
    </xf>
    <xf numFmtId="0" fontId="26" fillId="0" borderId="0" xfId="4" applyFont="1"/>
    <xf numFmtId="0" fontId="4" fillId="0" borderId="0" xfId="4" applyAlignment="1">
      <alignment horizontal="left"/>
    </xf>
    <xf numFmtId="168" fontId="4" fillId="0" borderId="0" xfId="5" applyNumberFormat="1"/>
    <xf numFmtId="168" fontId="4" fillId="0" borderId="9" xfId="5" applyNumberFormat="1" applyBorder="1"/>
    <xf numFmtId="168" fontId="4" fillId="0" borderId="9" xfId="4" applyNumberFormat="1" applyBorder="1"/>
    <xf numFmtId="168" fontId="18" fillId="0" borderId="0" xfId="5" applyNumberFormat="1" applyFont="1"/>
    <xf numFmtId="168" fontId="4" fillId="0" borderId="9" xfId="4" quotePrefix="1" applyNumberFormat="1" applyBorder="1"/>
    <xf numFmtId="168" fontId="18" fillId="0" borderId="0" xfId="4" quotePrefix="1" applyNumberFormat="1" applyFont="1"/>
    <xf numFmtId="0" fontId="7" fillId="6" borderId="0" xfId="4" applyFont="1" applyFill="1"/>
    <xf numFmtId="0" fontId="4" fillId="7" borderId="0" xfId="4" applyFill="1"/>
    <xf numFmtId="0" fontId="27" fillId="0" borderId="0" xfId="4" applyFont="1"/>
    <xf numFmtId="0" fontId="4" fillId="7" borderId="16" xfId="4" applyFill="1" applyBorder="1"/>
    <xf numFmtId="0" fontId="10" fillId="0" borderId="16" xfId="4" applyFont="1" applyBorder="1"/>
    <xf numFmtId="168" fontId="10" fillId="0" borderId="16" xfId="4" applyNumberFormat="1" applyFont="1" applyBorder="1"/>
    <xf numFmtId="168" fontId="4" fillId="3" borderId="0" xfId="5" applyNumberFormat="1" applyFill="1"/>
    <xf numFmtId="0" fontId="10" fillId="4" borderId="0" xfId="4" applyFont="1" applyFill="1"/>
    <xf numFmtId="164" fontId="9" fillId="4" borderId="0" xfId="4" applyNumberFormat="1" applyFont="1" applyFill="1" applyAlignment="1">
      <alignment horizontal="left"/>
    </xf>
    <xf numFmtId="17" fontId="21" fillId="4" borderId="6" xfId="4" applyNumberFormat="1" applyFont="1" applyFill="1" applyBorder="1" applyAlignment="1">
      <alignment horizontal="center"/>
    </xf>
    <xf numFmtId="17" fontId="21" fillId="4" borderId="0" xfId="4" applyNumberFormat="1" applyFont="1" applyFill="1" applyAlignment="1">
      <alignment horizontal="center"/>
    </xf>
    <xf numFmtId="10" fontId="4" fillId="0" borderId="0" xfId="2" applyNumberFormat="1" applyFont="1" applyAlignment="1">
      <alignment horizontal="left"/>
    </xf>
    <xf numFmtId="0" fontId="19" fillId="0" borderId="0" xfId="4" applyFont="1" applyAlignment="1">
      <alignment horizontal="center"/>
    </xf>
    <xf numFmtId="169" fontId="18" fillId="0" borderId="19" xfId="6" applyNumberFormat="1" applyFont="1" applyBorder="1" applyAlignment="1">
      <alignment horizontal="center"/>
    </xf>
    <xf numFmtId="0" fontId="4" fillId="0" borderId="0" xfId="8"/>
    <xf numFmtId="0" fontId="4" fillId="0" borderId="0" xfId="8" applyAlignment="1">
      <alignment horizontal="center"/>
    </xf>
    <xf numFmtId="0" fontId="24" fillId="0" borderId="0" xfId="8" applyFont="1"/>
    <xf numFmtId="0" fontId="4" fillId="0" borderId="6" xfId="8" applyBorder="1"/>
    <xf numFmtId="9" fontId="4" fillId="0" borderId="11" xfId="8" applyNumberFormat="1" applyBorder="1" applyAlignment="1">
      <alignment horizontal="center"/>
    </xf>
    <xf numFmtId="10" fontId="4" fillId="0" borderId="11" xfId="8" applyNumberFormat="1" applyBorder="1" applyAlignment="1">
      <alignment horizontal="center"/>
    </xf>
    <xf numFmtId="168" fontId="0" fillId="0" borderId="0" xfId="9" applyNumberFormat="1" applyFont="1"/>
    <xf numFmtId="170" fontId="0" fillId="0" borderId="0" xfId="6" applyNumberFormat="1" applyFont="1"/>
    <xf numFmtId="0" fontId="4" fillId="0" borderId="13" xfId="8" applyBorder="1"/>
    <xf numFmtId="9" fontId="4" fillId="0" borderId="12" xfId="8" applyNumberFormat="1" applyBorder="1" applyAlignment="1">
      <alignment horizontal="center"/>
    </xf>
    <xf numFmtId="168" fontId="7" fillId="0" borderId="0" xfId="9" applyNumberFormat="1" applyFont="1" applyAlignment="1">
      <alignment horizontal="center"/>
    </xf>
    <xf numFmtId="0" fontId="28" fillId="7" borderId="0" xfId="8" applyFont="1" applyFill="1" applyAlignment="1">
      <alignment horizontal="center" vertical="center"/>
    </xf>
    <xf numFmtId="9" fontId="4" fillId="0" borderId="0" xfId="8" applyNumberFormat="1" applyAlignment="1">
      <alignment horizontal="center"/>
    </xf>
    <xf numFmtId="168" fontId="4" fillId="0" borderId="6" xfId="9" applyNumberFormat="1" applyBorder="1"/>
    <xf numFmtId="43" fontId="0" fillId="0" borderId="11" xfId="9" applyFont="1" applyBorder="1"/>
    <xf numFmtId="43" fontId="0" fillId="0" borderId="0" xfId="9" applyFont="1"/>
    <xf numFmtId="168" fontId="4" fillId="0" borderId="13" xfId="9" applyNumberFormat="1" applyBorder="1"/>
    <xf numFmtId="43" fontId="0" fillId="0" borderId="12" xfId="9" applyFont="1" applyBorder="1"/>
    <xf numFmtId="0" fontId="29" fillId="8" borderId="19" xfId="3" applyFont="1" applyFill="1" applyBorder="1" applyAlignment="1">
      <alignment horizontal="center" vertical="center" wrapText="1"/>
    </xf>
    <xf numFmtId="0" fontId="29" fillId="8" borderId="19" xfId="9" applyNumberFormat="1" applyFont="1" applyFill="1" applyBorder="1" applyAlignment="1">
      <alignment horizontal="center" vertical="center" wrapText="1"/>
    </xf>
    <xf numFmtId="17" fontId="10" fillId="8" borderId="22" xfId="8" applyNumberFormat="1" applyFont="1" applyFill="1" applyBorder="1" applyAlignment="1">
      <alignment horizontal="center" vertical="center"/>
    </xf>
    <xf numFmtId="17" fontId="10" fillId="9" borderId="22" xfId="8" applyNumberFormat="1" applyFont="1" applyFill="1" applyBorder="1" applyAlignment="1">
      <alignment horizontal="center" vertical="center"/>
    </xf>
    <xf numFmtId="17" fontId="10" fillId="5" borderId="23" xfId="8" applyNumberFormat="1" applyFont="1" applyFill="1" applyBorder="1" applyAlignment="1">
      <alignment horizontal="center" vertical="center"/>
    </xf>
    <xf numFmtId="17" fontId="10" fillId="5" borderId="0" xfId="8" applyNumberFormat="1" applyFont="1" applyFill="1" applyAlignment="1">
      <alignment horizontal="center" vertical="center"/>
    </xf>
    <xf numFmtId="17" fontId="10" fillId="4" borderId="19" xfId="8" applyNumberFormat="1" applyFont="1" applyFill="1" applyBorder="1" applyAlignment="1">
      <alignment horizontal="center" vertical="center"/>
    </xf>
    <xf numFmtId="17" fontId="10" fillId="4" borderId="19" xfId="8" applyNumberFormat="1" applyFont="1" applyFill="1" applyBorder="1" applyAlignment="1">
      <alignment horizontal="center" vertical="center" wrapText="1"/>
    </xf>
    <xf numFmtId="17" fontId="10" fillId="10" borderId="19" xfId="8" applyNumberFormat="1" applyFont="1" applyFill="1" applyBorder="1" applyAlignment="1">
      <alignment horizontal="center" vertical="center" wrapText="1"/>
    </xf>
    <xf numFmtId="17" fontId="10" fillId="11" borderId="19" xfId="8" applyNumberFormat="1" applyFont="1" applyFill="1" applyBorder="1" applyAlignment="1">
      <alignment horizontal="center" vertical="center" wrapText="1"/>
    </xf>
    <xf numFmtId="9" fontId="0" fillId="0" borderId="0" xfId="0" applyNumberFormat="1"/>
    <xf numFmtId="0" fontId="1" fillId="0" borderId="0" xfId="10"/>
    <xf numFmtId="44" fontId="0" fillId="0" borderId="0" xfId="11" applyFont="1"/>
    <xf numFmtId="0" fontId="31" fillId="0" borderId="0" xfId="10" applyFont="1" applyAlignment="1">
      <alignment vertical="center"/>
    </xf>
    <xf numFmtId="0" fontId="1" fillId="0" borderId="0" xfId="10" applyAlignment="1">
      <alignment vertical="center"/>
    </xf>
    <xf numFmtId="0" fontId="32" fillId="0" borderId="0" xfId="10" applyFont="1" applyAlignment="1">
      <alignment vertical="center"/>
    </xf>
    <xf numFmtId="44" fontId="1" fillId="0" borderId="0" xfId="10" applyNumberFormat="1"/>
    <xf numFmtId="0" fontId="33" fillId="0" borderId="0" xfId="10" applyFont="1" applyAlignment="1">
      <alignment vertical="center"/>
    </xf>
    <xf numFmtId="0" fontId="34" fillId="0" borderId="0" xfId="10" applyFont="1" applyAlignment="1">
      <alignment vertical="center"/>
    </xf>
    <xf numFmtId="0" fontId="35" fillId="0" borderId="0" xfId="10" applyFont="1" applyAlignment="1">
      <alignment vertical="center"/>
    </xf>
    <xf numFmtId="0" fontId="36" fillId="0" borderId="0" xfId="10" applyFont="1" applyAlignment="1">
      <alignment vertical="center"/>
    </xf>
    <xf numFmtId="0" fontId="1" fillId="4" borderId="0" xfId="10" applyFill="1" applyAlignment="1">
      <alignment vertical="center"/>
    </xf>
    <xf numFmtId="0" fontId="1" fillId="4" borderId="0" xfId="10" applyFill="1"/>
    <xf numFmtId="0" fontId="32" fillId="0" borderId="0" xfId="10" applyFont="1"/>
    <xf numFmtId="0" fontId="2" fillId="0" borderId="0" xfId="10" applyFont="1"/>
    <xf numFmtId="44" fontId="2" fillId="0" borderId="0" xfId="10" applyNumberFormat="1" applyFont="1"/>
    <xf numFmtId="171" fontId="0" fillId="0" borderId="0" xfId="11" applyNumberFormat="1" applyFont="1"/>
    <xf numFmtId="172" fontId="1" fillId="0" borderId="0" xfId="10" applyNumberFormat="1"/>
    <xf numFmtId="168" fontId="0" fillId="0" borderId="0" xfId="1" applyNumberFormat="1" applyFont="1" applyAlignment="1">
      <alignment horizontal="right"/>
    </xf>
    <xf numFmtId="173" fontId="0" fillId="0" borderId="0" xfId="1" applyNumberFormat="1" applyFont="1" applyAlignment="1">
      <alignment horizontal="right"/>
    </xf>
    <xf numFmtId="17" fontId="10" fillId="8" borderId="22" xfId="8" applyNumberFormat="1" applyFont="1" applyFill="1" applyBorder="1" applyAlignment="1">
      <alignment horizontal="center" vertical="center" wrapText="1"/>
    </xf>
    <xf numFmtId="168" fontId="0" fillId="0" borderId="0" xfId="0" applyNumberFormat="1"/>
    <xf numFmtId="0" fontId="0" fillId="4" borderId="0" xfId="0" applyFill="1"/>
    <xf numFmtId="43" fontId="0" fillId="0" borderId="0" xfId="0" applyNumberFormat="1"/>
    <xf numFmtId="168" fontId="37" fillId="0" borderId="0" xfId="0" applyNumberFormat="1" applyFont="1"/>
    <xf numFmtId="0" fontId="10" fillId="4" borderId="2" xfId="4" applyFont="1" applyFill="1" applyBorder="1" applyAlignment="1">
      <alignment horizontal="center"/>
    </xf>
    <xf numFmtId="0" fontId="10" fillId="4" borderId="3" xfId="4" applyFont="1" applyFill="1" applyBorder="1" applyAlignment="1">
      <alignment horizontal="center"/>
    </xf>
    <xf numFmtId="0" fontId="10" fillId="4" borderId="4" xfId="4" applyFont="1" applyFill="1" applyBorder="1" applyAlignment="1">
      <alignment horizontal="center"/>
    </xf>
    <xf numFmtId="0" fontId="17" fillId="4" borderId="6" xfId="4" applyFont="1" applyFill="1" applyBorder="1" applyAlignment="1">
      <alignment horizontal="center"/>
    </xf>
    <xf numFmtId="0" fontId="17" fillId="4" borderId="0" xfId="4" applyFont="1" applyFill="1" applyAlignment="1">
      <alignment horizontal="center"/>
    </xf>
    <xf numFmtId="0" fontId="18" fillId="4" borderId="0" xfId="4" applyFont="1" applyFill="1" applyAlignment="1">
      <alignment horizontal="center"/>
    </xf>
    <xf numFmtId="0" fontId="17" fillId="4" borderId="8" xfId="4" applyFont="1" applyFill="1" applyBorder="1" applyAlignment="1">
      <alignment horizontal="center"/>
    </xf>
    <xf numFmtId="0" fontId="17" fillId="4" borderId="9" xfId="4" applyFont="1" applyFill="1" applyBorder="1" applyAlignment="1">
      <alignment horizontal="center"/>
    </xf>
    <xf numFmtId="0" fontId="18" fillId="4" borderId="9" xfId="4" applyFont="1" applyFill="1" applyBorder="1" applyAlignment="1">
      <alignment horizontal="center"/>
    </xf>
    <xf numFmtId="0" fontId="0" fillId="4" borderId="0" xfId="0" applyFill="1" applyAlignment="1">
      <alignment wrapText="1"/>
    </xf>
    <xf numFmtId="0" fontId="24" fillId="4" borderId="19" xfId="4" applyFont="1" applyFill="1" applyBorder="1" applyAlignment="1">
      <alignment horizontal="center"/>
    </xf>
    <xf numFmtId="0" fontId="2" fillId="4" borderId="19" xfId="0" applyFont="1" applyFill="1" applyBorder="1" applyAlignment="1">
      <alignment wrapText="1"/>
    </xf>
    <xf numFmtId="0" fontId="2" fillId="4" borderId="19" xfId="0" applyFont="1" applyFill="1" applyBorder="1" applyAlignment="1">
      <alignment horizontal="center" wrapText="1"/>
    </xf>
    <xf numFmtId="10" fontId="7" fillId="0" borderId="0" xfId="2" applyNumberFormat="1" applyFont="1" applyAlignment="1">
      <alignment horizontal="center"/>
    </xf>
    <xf numFmtId="43" fontId="18" fillId="0" borderId="0" xfId="4" applyNumberFormat="1" applyFont="1"/>
    <xf numFmtId="0" fontId="29" fillId="8" borderId="0" xfId="3" applyFont="1" applyFill="1" applyBorder="1" applyAlignment="1">
      <alignment horizontal="center" vertical="center" wrapText="1"/>
    </xf>
    <xf numFmtId="0" fontId="29" fillId="8" borderId="0" xfId="9" applyNumberFormat="1" applyFont="1" applyFill="1" applyBorder="1" applyAlignment="1">
      <alignment horizontal="center" vertical="center" wrapText="1"/>
    </xf>
    <xf numFmtId="17" fontId="10" fillId="8" borderId="0" xfId="8" applyNumberFormat="1" applyFont="1" applyFill="1" applyAlignment="1">
      <alignment horizontal="center" vertical="center"/>
    </xf>
    <xf numFmtId="17" fontId="10" fillId="8" borderId="0" xfId="8" applyNumberFormat="1" applyFont="1" applyFill="1" applyAlignment="1">
      <alignment horizontal="center" vertical="center" wrapText="1"/>
    </xf>
    <xf numFmtId="17" fontId="10" fillId="9" borderId="0" xfId="8" applyNumberFormat="1" applyFont="1" applyFill="1" applyAlignment="1">
      <alignment horizontal="center" vertical="center"/>
    </xf>
    <xf numFmtId="17" fontId="10" fillId="4" borderId="0" xfId="8" applyNumberFormat="1" applyFont="1" applyFill="1" applyAlignment="1">
      <alignment horizontal="center" vertical="center"/>
    </xf>
    <xf numFmtId="17" fontId="10" fillId="4" borderId="0" xfId="8" applyNumberFormat="1" applyFont="1" applyFill="1" applyAlignment="1">
      <alignment horizontal="center" vertical="center" wrapText="1"/>
    </xf>
    <xf numFmtId="17" fontId="10" fillId="10" borderId="0" xfId="8" applyNumberFormat="1" applyFont="1" applyFill="1" applyAlignment="1">
      <alignment horizontal="center" vertical="center" wrapText="1"/>
    </xf>
    <xf numFmtId="17" fontId="10" fillId="11" borderId="0" xfId="8" applyNumberFormat="1" applyFont="1" applyFill="1" applyAlignment="1">
      <alignment horizontal="center" vertical="center" wrapText="1"/>
    </xf>
    <xf numFmtId="44" fontId="0" fillId="0" borderId="0" xfId="12" applyFont="1"/>
    <xf numFmtId="168" fontId="38" fillId="0" borderId="0" xfId="0" applyNumberFormat="1" applyFont="1"/>
    <xf numFmtId="168" fontId="38" fillId="4" borderId="0" xfId="0" applyNumberFormat="1" applyFont="1" applyFill="1"/>
    <xf numFmtId="9" fontId="0" fillId="0" borderId="0" xfId="2" applyFont="1"/>
    <xf numFmtId="168" fontId="0" fillId="0" borderId="0" xfId="1" applyNumberFormat="1" applyFont="1"/>
    <xf numFmtId="170" fontId="0" fillId="0" borderId="0" xfId="0" applyNumberFormat="1"/>
    <xf numFmtId="0" fontId="0" fillId="12" borderId="0" xfId="0" applyFill="1"/>
    <xf numFmtId="168" fontId="37" fillId="12" borderId="0" xfId="0" applyNumberFormat="1" applyFont="1" applyFill="1"/>
    <xf numFmtId="174" fontId="0" fillId="0" borderId="0" xfId="12" applyNumberFormat="1" applyFont="1"/>
    <xf numFmtId="1" fontId="0" fillId="0" borderId="0" xfId="0" applyNumberFormat="1"/>
    <xf numFmtId="0" fontId="39" fillId="0" borderId="0" xfId="4" applyFont="1" applyAlignment="1">
      <alignment vertical="top"/>
    </xf>
    <xf numFmtId="0" fontId="40" fillId="0" borderId="19" xfId="4" applyFont="1" applyBorder="1" applyAlignment="1">
      <alignment horizontal="center" vertical="top"/>
    </xf>
    <xf numFmtId="175" fontId="39" fillId="0" borderId="0" xfId="4" applyNumberFormat="1" applyFont="1" applyAlignment="1">
      <alignment vertical="top" wrapText="1"/>
    </xf>
    <xf numFmtId="0" fontId="40" fillId="0" borderId="0" xfId="4" applyFont="1" applyAlignment="1">
      <alignment horizontal="center" vertical="top"/>
    </xf>
    <xf numFmtId="0" fontId="41" fillId="0" borderId="0" xfId="4" applyFont="1" applyAlignment="1">
      <alignment vertical="top" wrapText="1"/>
    </xf>
    <xf numFmtId="0" fontId="39" fillId="0" borderId="0" xfId="4" applyFont="1" applyAlignment="1">
      <alignment vertical="top" wrapText="1"/>
    </xf>
    <xf numFmtId="49" fontId="39" fillId="0" borderId="0" xfId="4" applyNumberFormat="1" applyFont="1" applyAlignment="1">
      <alignment vertical="top" wrapText="1"/>
    </xf>
    <xf numFmtId="170" fontId="39" fillId="0" borderId="0" xfId="13" applyNumberFormat="1" applyFont="1" applyAlignment="1">
      <alignment vertical="top"/>
    </xf>
    <xf numFmtId="0" fontId="39" fillId="0" borderId="0" xfId="4" applyFont="1" applyAlignment="1">
      <alignment horizontal="center" vertical="top"/>
    </xf>
    <xf numFmtId="3" fontId="39" fillId="0" borderId="0" xfId="4" applyNumberFormat="1" applyFont="1" applyAlignment="1">
      <alignment vertical="top"/>
    </xf>
    <xf numFmtId="0" fontId="40" fillId="0" borderId="0" xfId="4" applyFont="1" applyAlignment="1">
      <alignment vertical="top" wrapText="1"/>
    </xf>
    <xf numFmtId="49" fontId="39" fillId="0" borderId="0" xfId="13" applyNumberFormat="1" applyFont="1" applyAlignment="1">
      <alignment vertical="top"/>
    </xf>
    <xf numFmtId="0" fontId="40" fillId="0" borderId="24" xfId="4" applyFont="1" applyBorder="1" applyAlignment="1">
      <alignment horizontal="center" vertical="top"/>
    </xf>
    <xf numFmtId="49" fontId="40" fillId="0" borderId="24" xfId="4" applyNumberFormat="1" applyFont="1" applyBorder="1" applyAlignment="1">
      <alignment horizontal="center" vertical="top"/>
    </xf>
    <xf numFmtId="0" fontId="39" fillId="0" borderId="19" xfId="4" applyFont="1" applyBorder="1" applyAlignment="1">
      <alignment vertical="top" wrapText="1"/>
    </xf>
    <xf numFmtId="170" fontId="39" fillId="0" borderId="19" xfId="13" applyNumberFormat="1" applyFont="1" applyBorder="1" applyAlignment="1">
      <alignment vertical="top"/>
    </xf>
    <xf numFmtId="9" fontId="39" fillId="0" borderId="0" xfId="13" applyNumberFormat="1" applyFont="1" applyAlignment="1">
      <alignment vertical="top"/>
    </xf>
    <xf numFmtId="9" fontId="39" fillId="0" borderId="19" xfId="13" applyNumberFormat="1" applyFont="1" applyBorder="1" applyAlignment="1">
      <alignment vertical="top"/>
    </xf>
    <xf numFmtId="0" fontId="39" fillId="0" borderId="19" xfId="4" applyFont="1" applyBorder="1" applyAlignment="1">
      <alignment vertical="top"/>
    </xf>
    <xf numFmtId="175" fontId="39" fillId="0" borderId="19" xfId="4" applyNumberFormat="1" applyFont="1" applyBorder="1" applyAlignment="1">
      <alignment vertical="top"/>
    </xf>
    <xf numFmtId="175" fontId="42" fillId="0" borderId="19" xfId="4" applyNumberFormat="1" applyFont="1" applyBorder="1" applyAlignment="1">
      <alignment vertical="top"/>
    </xf>
    <xf numFmtId="9" fontId="39" fillId="0" borderId="19" xfId="4" applyNumberFormat="1" applyFont="1" applyBorder="1" applyAlignment="1">
      <alignment vertical="top" wrapText="1"/>
    </xf>
    <xf numFmtId="3" fontId="39" fillId="0" borderId="19" xfId="4" applyNumberFormat="1" applyFont="1" applyBorder="1" applyAlignment="1">
      <alignment vertical="top"/>
    </xf>
    <xf numFmtId="0" fontId="42" fillId="0" borderId="19" xfId="4" applyFont="1" applyBorder="1" applyAlignment="1">
      <alignment vertical="top" wrapText="1"/>
    </xf>
    <xf numFmtId="0" fontId="39" fillId="13" borderId="19" xfId="4" applyFont="1" applyFill="1" applyBorder="1" applyAlignment="1">
      <alignment vertical="top" wrapText="1"/>
    </xf>
    <xf numFmtId="0" fontId="39" fillId="0" borderId="19" xfId="14" applyFont="1" applyBorder="1" applyAlignment="1">
      <alignment horizontal="left" vertical="top" wrapText="1"/>
    </xf>
    <xf numFmtId="9" fontId="39" fillId="0" borderId="19" xfId="14" applyNumberFormat="1" applyFont="1" applyBorder="1" applyAlignment="1">
      <alignment horizontal="left" vertical="top" wrapText="1"/>
    </xf>
    <xf numFmtId="3" fontId="39" fillId="0" borderId="26" xfId="4" applyNumberFormat="1" applyFont="1" applyBorder="1" applyAlignment="1">
      <alignment vertical="top"/>
    </xf>
    <xf numFmtId="175" fontId="42" fillId="0" borderId="26" xfId="4" applyNumberFormat="1" applyFont="1" applyBorder="1" applyAlignment="1">
      <alignment vertical="top"/>
    </xf>
    <xf numFmtId="175" fontId="39" fillId="0" borderId="26" xfId="4" applyNumberFormat="1" applyFont="1" applyBorder="1" applyAlignment="1">
      <alignment vertical="top"/>
    </xf>
    <xf numFmtId="0" fontId="42" fillId="0" borderId="0" xfId="4" applyFont="1" applyAlignment="1">
      <alignment vertical="top" wrapText="1"/>
    </xf>
    <xf numFmtId="0" fontId="39" fillId="0" borderId="0" xfId="4" applyFont="1" applyAlignment="1">
      <alignment wrapText="1"/>
    </xf>
    <xf numFmtId="0" fontId="39" fillId="0" borderId="19" xfId="4" applyFont="1" applyBorder="1" applyAlignment="1">
      <alignment wrapText="1"/>
    </xf>
    <xf numFmtId="9" fontId="39" fillId="0" borderId="19" xfId="4" applyNumberFormat="1" applyFont="1" applyBorder="1" applyAlignment="1">
      <alignment wrapText="1"/>
    </xf>
    <xf numFmtId="0" fontId="39" fillId="0" borderId="19" xfId="14" applyFont="1" applyBorder="1" applyAlignment="1">
      <alignment horizontal="left" vertical="top"/>
    </xf>
    <xf numFmtId="0" fontId="39" fillId="0" borderId="19" xfId="14" applyFont="1" applyBorder="1" applyAlignment="1">
      <alignment vertical="top"/>
    </xf>
    <xf numFmtId="177" fontId="39" fillId="0" borderId="19" xfId="15" applyNumberFormat="1" applyFont="1" applyBorder="1" applyAlignment="1">
      <alignment vertical="top"/>
    </xf>
    <xf numFmtId="0" fontId="39" fillId="0" borderId="19" xfId="15" applyNumberFormat="1" applyFont="1" applyBorder="1" applyAlignment="1">
      <alignment vertical="top"/>
    </xf>
    <xf numFmtId="3" fontId="39" fillId="0" borderId="19" xfId="15" applyNumberFormat="1" applyFont="1" applyBorder="1" applyAlignment="1">
      <alignment vertical="top"/>
    </xf>
    <xf numFmtId="0" fontId="39" fillId="0" borderId="19" xfId="14" applyFont="1" applyBorder="1" applyAlignment="1">
      <alignment vertical="top" wrapText="1"/>
    </xf>
    <xf numFmtId="0" fontId="39" fillId="0" borderId="22" xfId="14" applyFont="1" applyBorder="1" applyAlignment="1">
      <alignment horizontal="left" vertical="top" wrapText="1"/>
    </xf>
    <xf numFmtId="9" fontId="39" fillId="0" borderId="22" xfId="14" applyNumberFormat="1" applyFont="1" applyBorder="1" applyAlignment="1">
      <alignment horizontal="left" vertical="top" wrapText="1"/>
    </xf>
    <xf numFmtId="0" fontId="39" fillId="0" borderId="22" xfId="14" applyFont="1" applyBorder="1" applyAlignment="1">
      <alignment vertical="top"/>
    </xf>
    <xf numFmtId="0" fontId="44" fillId="0" borderId="19" xfId="14" applyFont="1" applyBorder="1" applyAlignment="1">
      <alignment horizontal="left" vertical="top" wrapText="1"/>
    </xf>
    <xf numFmtId="170" fontId="39" fillId="0" borderId="19" xfId="13" applyNumberFormat="1" applyFont="1" applyBorder="1" applyAlignment="1">
      <alignment vertical="top" wrapText="1"/>
    </xf>
    <xf numFmtId="0" fontId="45" fillId="0" borderId="19" xfId="4" applyFont="1" applyBorder="1"/>
    <xf numFmtId="9" fontId="39" fillId="0" borderId="19" xfId="4" applyNumberFormat="1" applyFont="1" applyBorder="1" applyAlignment="1">
      <alignment vertical="top"/>
    </xf>
    <xf numFmtId="0" fontId="46" fillId="0" borderId="0" xfId="4" applyFont="1" applyAlignment="1">
      <alignment vertical="top"/>
    </xf>
    <xf numFmtId="3" fontId="1" fillId="0" borderId="0" xfId="10" applyNumberFormat="1"/>
    <xf numFmtId="44" fontId="0" fillId="0" borderId="0" xfId="0" applyNumberFormat="1"/>
    <xf numFmtId="17" fontId="10" fillId="0" borderId="0" xfId="8" applyNumberFormat="1" applyFont="1" applyAlignment="1">
      <alignment horizontal="center" vertical="center"/>
    </xf>
    <xf numFmtId="17" fontId="10" fillId="0" borderId="0" xfId="8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/>
    <xf numFmtId="10" fontId="0" fillId="0" borderId="0" xfId="2" applyNumberFormat="1" applyFont="1"/>
    <xf numFmtId="44" fontId="0" fillId="4" borderId="0" xfId="0" applyNumberFormat="1" applyFill="1"/>
    <xf numFmtId="44" fontId="2" fillId="4" borderId="0" xfId="0" applyNumberFormat="1" applyFont="1" applyFill="1"/>
    <xf numFmtId="17" fontId="10" fillId="0" borderId="19" xfId="8" applyNumberFormat="1" applyFont="1" applyBorder="1" applyAlignment="1">
      <alignment horizontal="center" vertical="center" wrapText="1"/>
    </xf>
    <xf numFmtId="168" fontId="0" fillId="0" borderId="0" xfId="1" applyNumberFormat="1" applyFont="1" applyFill="1"/>
    <xf numFmtId="170" fontId="0" fillId="4" borderId="0" xfId="0" applyNumberFormat="1" applyFill="1"/>
    <xf numFmtId="168" fontId="0" fillId="4" borderId="0" xfId="1" applyNumberFormat="1" applyFont="1" applyFill="1"/>
    <xf numFmtId="0" fontId="0" fillId="0" borderId="0" xfId="0" applyAlignment="1">
      <alignment vertical="top"/>
    </xf>
    <xf numFmtId="170" fontId="4" fillId="0" borderId="0" xfId="8" applyNumberFormat="1" applyAlignment="1">
      <alignment horizontal="center" vertical="center" wrapText="1"/>
    </xf>
    <xf numFmtId="174" fontId="0" fillId="12" borderId="0" xfId="12" applyNumberFormat="1" applyFont="1" applyFill="1"/>
    <xf numFmtId="17" fontId="10" fillId="12" borderId="0" xfId="8" applyNumberFormat="1" applyFont="1" applyFill="1" applyAlignment="1">
      <alignment horizontal="center" vertical="center"/>
    </xf>
    <xf numFmtId="17" fontId="10" fillId="12" borderId="0" xfId="8" applyNumberFormat="1" applyFont="1" applyFill="1" applyAlignment="1">
      <alignment horizontal="center" vertical="center" wrapText="1"/>
    </xf>
    <xf numFmtId="0" fontId="0" fillId="14" borderId="0" xfId="0" applyFill="1"/>
    <xf numFmtId="174" fontId="0" fillId="14" borderId="0" xfId="12" applyNumberFormat="1" applyFont="1" applyFill="1"/>
    <xf numFmtId="17" fontId="10" fillId="14" borderId="0" xfId="8" applyNumberFormat="1" applyFont="1" applyFill="1" applyAlignment="1">
      <alignment horizontal="center" vertical="center"/>
    </xf>
    <xf numFmtId="17" fontId="10" fillId="14" borderId="0" xfId="8" applyNumberFormat="1" applyFont="1" applyFill="1" applyAlignment="1">
      <alignment horizontal="center" vertical="center" wrapText="1"/>
    </xf>
    <xf numFmtId="0" fontId="0" fillId="15" borderId="0" xfId="0" applyFill="1"/>
    <xf numFmtId="174" fontId="0" fillId="15" borderId="0" xfId="12" applyNumberFormat="1" applyFont="1" applyFill="1"/>
    <xf numFmtId="17" fontId="10" fillId="15" borderId="0" xfId="8" applyNumberFormat="1" applyFont="1" applyFill="1" applyAlignment="1">
      <alignment horizontal="center" vertical="center"/>
    </xf>
    <xf numFmtId="170" fontId="4" fillId="15" borderId="0" xfId="8" applyNumberFormat="1" applyFill="1" applyAlignment="1">
      <alignment horizontal="center" vertical="center" wrapText="1"/>
    </xf>
    <xf numFmtId="17" fontId="10" fillId="15" borderId="0" xfId="8" applyNumberFormat="1" applyFont="1" applyFill="1" applyAlignment="1">
      <alignment horizontal="center" vertical="center" wrapText="1"/>
    </xf>
    <xf numFmtId="17" fontId="17" fillId="0" borderId="0" xfId="8" applyNumberFormat="1" applyFont="1" applyAlignment="1">
      <alignment horizontal="center" vertical="center"/>
    </xf>
    <xf numFmtId="170" fontId="24" fillId="0" borderId="0" xfId="8" applyNumberFormat="1" applyFont="1" applyAlignment="1">
      <alignment horizontal="center" vertical="center" wrapText="1"/>
    </xf>
    <xf numFmtId="170" fontId="10" fillId="0" borderId="0" xfId="8" applyNumberFormat="1" applyFont="1" applyAlignment="1">
      <alignment horizontal="center" vertical="center" wrapText="1"/>
    </xf>
    <xf numFmtId="0" fontId="38" fillId="0" borderId="0" xfId="0" applyFont="1"/>
    <xf numFmtId="10" fontId="10" fillId="0" borderId="0" xfId="2" applyNumberFormat="1" applyFont="1" applyFill="1" applyBorder="1" applyAlignment="1">
      <alignment horizontal="center" vertical="center" wrapText="1"/>
    </xf>
    <xf numFmtId="44" fontId="10" fillId="0" borderId="0" xfId="12" applyFont="1" applyFill="1" applyBorder="1" applyAlignment="1">
      <alignment horizontal="center" vertical="center" wrapText="1"/>
    </xf>
    <xf numFmtId="2" fontId="0" fillId="0" borderId="0" xfId="0" applyNumberFormat="1"/>
    <xf numFmtId="0" fontId="48" fillId="0" borderId="19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/>
    </xf>
    <xf numFmtId="0" fontId="51" fillId="0" borderId="25" xfId="0" applyFont="1" applyBorder="1" applyAlignment="1">
      <alignment horizontal="center" vertical="center" wrapText="1"/>
    </xf>
    <xf numFmtId="0" fontId="51" fillId="0" borderId="19" xfId="0" applyFont="1" applyBorder="1" applyAlignment="1">
      <alignment horizontal="center" vertical="center" wrapText="1"/>
    </xf>
    <xf numFmtId="44" fontId="52" fillId="19" borderId="19" xfId="12" applyFont="1" applyFill="1" applyBorder="1"/>
    <xf numFmtId="3" fontId="51" fillId="0" borderId="19" xfId="0" applyNumberFormat="1" applyFont="1" applyBorder="1" applyAlignment="1">
      <alignment horizontal="center" vertical="center" wrapText="1"/>
    </xf>
    <xf numFmtId="0" fontId="51" fillId="18" borderId="26" xfId="0" applyFont="1" applyFill="1" applyBorder="1" applyAlignment="1">
      <alignment vertical="top" wrapText="1"/>
    </xf>
    <xf numFmtId="44" fontId="51" fillId="19" borderId="19" xfId="12" applyFont="1" applyFill="1" applyBorder="1" applyAlignment="1">
      <alignment horizontal="center" vertical="center" wrapText="1"/>
    </xf>
    <xf numFmtId="44" fontId="52" fillId="0" borderId="19" xfId="12" applyFont="1" applyBorder="1"/>
    <xf numFmtId="44" fontId="54" fillId="19" borderId="19" xfId="12" applyFont="1" applyFill="1" applyBorder="1" applyAlignment="1">
      <alignment vertical="center"/>
    </xf>
    <xf numFmtId="0" fontId="0" fillId="0" borderId="33" xfId="0" applyBorder="1"/>
    <xf numFmtId="0" fontId="51" fillId="18" borderId="34" xfId="0" applyFont="1" applyFill="1" applyBorder="1" applyAlignment="1">
      <alignment vertical="top" wrapText="1"/>
    </xf>
    <xf numFmtId="44" fontId="51" fillId="19" borderId="33" xfId="12" applyFont="1" applyFill="1" applyBorder="1" applyAlignment="1">
      <alignment vertical="top" wrapText="1"/>
    </xf>
    <xf numFmtId="0" fontId="51" fillId="18" borderId="9" xfId="0" applyFont="1" applyFill="1" applyBorder="1" applyAlignment="1">
      <alignment vertical="top" wrapText="1"/>
    </xf>
    <xf numFmtId="0" fontId="51" fillId="18" borderId="25" xfId="0" applyFont="1" applyFill="1" applyBorder="1" applyAlignment="1">
      <alignment vertical="top" wrapText="1"/>
    </xf>
    <xf numFmtId="44" fontId="52" fillId="7" borderId="19" xfId="12" applyFont="1" applyFill="1" applyBorder="1"/>
    <xf numFmtId="44" fontId="51" fillId="18" borderId="24" xfId="12" applyFont="1" applyFill="1" applyBorder="1" applyAlignment="1">
      <alignment vertical="center" wrapText="1"/>
    </xf>
    <xf numFmtId="44" fontId="51" fillId="18" borderId="9" xfId="12" applyFont="1" applyFill="1" applyBorder="1" applyAlignment="1">
      <alignment vertical="center" wrapText="1"/>
    </xf>
    <xf numFmtId="44" fontId="51" fillId="18" borderId="25" xfId="12" applyFont="1" applyFill="1" applyBorder="1" applyAlignment="1">
      <alignment vertical="center" wrapText="1"/>
    </xf>
    <xf numFmtId="0" fontId="51" fillId="18" borderId="34" xfId="0" applyFont="1" applyFill="1" applyBorder="1" applyAlignment="1">
      <alignment horizontal="center" vertical="top" wrapText="1"/>
    </xf>
    <xf numFmtId="0" fontId="51" fillId="0" borderId="19" xfId="0" applyFont="1" applyBorder="1" applyAlignment="1">
      <alignment horizontal="center" vertical="center"/>
    </xf>
    <xf numFmtId="0" fontId="55" fillId="18" borderId="22" xfId="0" applyFont="1" applyFill="1" applyBorder="1" applyAlignment="1">
      <alignment horizontal="center" vertical="top" wrapText="1"/>
    </xf>
    <xf numFmtId="44" fontId="55" fillId="19" borderId="19" xfId="12" applyFont="1" applyFill="1" applyBorder="1" applyAlignment="1">
      <alignment horizontal="center" vertical="center" wrapText="1"/>
    </xf>
    <xf numFmtId="44" fontId="2" fillId="19" borderId="19" xfId="12" applyFont="1" applyFill="1" applyBorder="1" applyAlignment="1">
      <alignment vertical="center"/>
    </xf>
    <xf numFmtId="44" fontId="51" fillId="19" borderId="24" xfId="12" applyFont="1" applyFill="1" applyBorder="1" applyAlignment="1">
      <alignment horizontal="center" vertical="center" wrapText="1"/>
    </xf>
    <xf numFmtId="44" fontId="51" fillId="18" borderId="9" xfId="12" applyFont="1" applyFill="1" applyBorder="1" applyAlignment="1">
      <alignment horizontal="center" vertical="center" wrapText="1"/>
    </xf>
    <xf numFmtId="44" fontId="54" fillId="18" borderId="9" xfId="12" applyFont="1" applyFill="1" applyBorder="1" applyAlignment="1">
      <alignment vertical="center"/>
    </xf>
    <xf numFmtId="44" fontId="54" fillId="18" borderId="25" xfId="12" applyFont="1" applyFill="1" applyBorder="1" applyAlignment="1">
      <alignment vertical="center"/>
    </xf>
    <xf numFmtId="44" fontId="51" fillId="18" borderId="19" xfId="12" applyFont="1" applyFill="1" applyBorder="1" applyAlignment="1">
      <alignment horizontal="center" vertical="center" wrapText="1"/>
    </xf>
    <xf numFmtId="0" fontId="51" fillId="0" borderId="25" xfId="0" applyFont="1" applyBorder="1" applyAlignment="1">
      <alignment horizontal="center" vertical="top" wrapText="1"/>
    </xf>
    <xf numFmtId="44" fontId="51" fillId="19" borderId="19" xfId="12" applyFont="1" applyFill="1" applyBorder="1" applyAlignment="1">
      <alignment vertical="center" wrapText="1"/>
    </xf>
    <xf numFmtId="44" fontId="51" fillId="18" borderId="26" xfId="12" applyFont="1" applyFill="1" applyBorder="1" applyAlignment="1">
      <alignment vertical="center" wrapText="1"/>
    </xf>
    <xf numFmtId="176" fontId="0" fillId="0" borderId="0" xfId="0" applyNumberFormat="1"/>
    <xf numFmtId="44" fontId="51" fillId="19" borderId="19" xfId="12" applyFont="1" applyFill="1" applyBorder="1" applyAlignment="1">
      <alignment vertical="center"/>
    </xf>
    <xf numFmtId="0" fontId="51" fillId="0" borderId="0" xfId="0" applyFont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0" fillId="19" borderId="19" xfId="0" applyFill="1" applyBorder="1"/>
    <xf numFmtId="172" fontId="0" fillId="12" borderId="0" xfId="0" applyNumberFormat="1" applyFill="1"/>
    <xf numFmtId="44" fontId="0" fillId="12" borderId="0" xfId="0" applyNumberFormat="1" applyFill="1"/>
    <xf numFmtId="170" fontId="2" fillId="0" borderId="0" xfId="0" applyNumberFormat="1" applyFont="1"/>
    <xf numFmtId="170" fontId="17" fillId="0" borderId="0" xfId="8" applyNumberFormat="1" applyFont="1" applyAlignment="1">
      <alignment horizontal="center" vertical="center" wrapText="1"/>
    </xf>
    <xf numFmtId="174" fontId="2" fillId="4" borderId="0" xfId="0" applyNumberFormat="1" applyFont="1" applyFill="1"/>
    <xf numFmtId="178" fontId="0" fillId="4" borderId="0" xfId="0" applyNumberFormat="1" applyFill="1"/>
    <xf numFmtId="0" fontId="2" fillId="16" borderId="0" xfId="0" applyFont="1" applyFill="1"/>
    <xf numFmtId="174" fontId="0" fillId="0" borderId="0" xfId="0" applyNumberFormat="1"/>
    <xf numFmtId="44" fontId="0" fillId="20" borderId="0" xfId="0" applyNumberFormat="1" applyFill="1"/>
    <xf numFmtId="170" fontId="0" fillId="20" borderId="0" xfId="0" applyNumberFormat="1" applyFill="1"/>
    <xf numFmtId="43" fontId="4" fillId="0" borderId="0" xfId="4" applyNumberFormat="1"/>
    <xf numFmtId="170" fontId="0" fillId="14" borderId="0" xfId="12" applyNumberFormat="1" applyFont="1" applyFill="1"/>
    <xf numFmtId="170" fontId="0" fillId="14" borderId="0" xfId="0" applyNumberFormat="1" applyFill="1"/>
    <xf numFmtId="174" fontId="0" fillId="14" borderId="0" xfId="0" applyNumberFormat="1" applyFill="1"/>
    <xf numFmtId="170" fontId="4" fillId="14" borderId="0" xfId="8" applyNumberFormat="1" applyFill="1" applyAlignment="1">
      <alignment horizontal="center" vertical="center" wrapText="1"/>
    </xf>
    <xf numFmtId="49" fontId="1" fillId="0" borderId="9" xfId="10" applyNumberFormat="1" applyBorder="1" applyAlignment="1">
      <alignment horizontal="center" vertical="top"/>
    </xf>
    <xf numFmtId="171" fontId="0" fillId="0" borderId="0" xfId="0" applyNumberFormat="1"/>
    <xf numFmtId="174" fontId="0" fillId="4" borderId="0" xfId="0" applyNumberFormat="1" applyFill="1"/>
    <xf numFmtId="0" fontId="40" fillId="4" borderId="0" xfId="4" applyFont="1" applyFill="1" applyAlignment="1">
      <alignment vertical="top" wrapText="1"/>
    </xf>
    <xf numFmtId="9" fontId="1" fillId="0" borderId="0" xfId="10" applyNumberFormat="1"/>
    <xf numFmtId="175" fontId="40" fillId="0" borderId="0" xfId="4" applyNumberFormat="1" applyFont="1" applyAlignment="1">
      <alignment vertical="top" wrapText="1"/>
    </xf>
    <xf numFmtId="179" fontId="39" fillId="0" borderId="0" xfId="4" applyNumberFormat="1" applyFont="1" applyAlignment="1">
      <alignment vertical="top" wrapText="1"/>
    </xf>
    <xf numFmtId="9" fontId="39" fillId="4" borderId="19" xfId="4" applyNumberFormat="1" applyFont="1" applyFill="1" applyBorder="1" applyAlignment="1">
      <alignment vertical="top" wrapText="1"/>
    </xf>
    <xf numFmtId="2" fontId="1" fillId="0" borderId="0" xfId="10" applyNumberFormat="1"/>
    <xf numFmtId="175" fontId="1" fillId="0" borderId="0" xfId="10" applyNumberFormat="1"/>
    <xf numFmtId="44" fontId="57" fillId="0" borderId="0" xfId="12" applyFont="1"/>
    <xf numFmtId="44" fontId="2" fillId="0" borderId="0" xfId="0" applyNumberFormat="1" applyFont="1"/>
    <xf numFmtId="0" fontId="32" fillId="4" borderId="0" xfId="10" applyFont="1" applyFill="1"/>
    <xf numFmtId="168" fontId="0" fillId="4" borderId="0" xfId="0" applyNumberFormat="1" applyFill="1"/>
    <xf numFmtId="0" fontId="2" fillId="4" borderId="0" xfId="0" applyFont="1" applyFill="1"/>
    <xf numFmtId="44" fontId="1" fillId="0" borderId="0" xfId="12"/>
    <xf numFmtId="0" fontId="0" fillId="0" borderId="35" xfId="0" applyBorder="1"/>
    <xf numFmtId="4" fontId="0" fillId="0" borderId="35" xfId="0" applyNumberFormat="1" applyBorder="1"/>
    <xf numFmtId="0" fontId="59" fillId="0" borderId="36" xfId="0" applyFont="1" applyBorder="1"/>
    <xf numFmtId="4" fontId="59" fillId="0" borderId="36" xfId="0" applyNumberFormat="1" applyFont="1" applyBorder="1"/>
    <xf numFmtId="44" fontId="0" fillId="0" borderId="22" xfId="12" applyFont="1" applyBorder="1"/>
    <xf numFmtId="0" fontId="0" fillId="0" borderId="19" xfId="0" applyBorder="1"/>
    <xf numFmtId="4" fontId="0" fillId="0" borderId="19" xfId="0" applyNumberFormat="1" applyBorder="1"/>
    <xf numFmtId="44" fontId="0" fillId="0" borderId="19" xfId="12" applyFont="1" applyBorder="1"/>
    <xf numFmtId="0" fontId="0" fillId="0" borderId="26" xfId="0" applyBorder="1"/>
    <xf numFmtId="4" fontId="0" fillId="0" borderId="26" xfId="0" applyNumberFormat="1" applyBorder="1"/>
    <xf numFmtId="0" fontId="0" fillId="3" borderId="26" xfId="0" applyFill="1" applyBorder="1"/>
    <xf numFmtId="4" fontId="0" fillId="3" borderId="26" xfId="0" applyNumberFormat="1" applyFill="1" applyBorder="1"/>
    <xf numFmtId="0" fontId="0" fillId="3" borderId="27" xfId="0" applyFill="1" applyBorder="1"/>
    <xf numFmtId="44" fontId="0" fillId="3" borderId="0" xfId="12" applyFont="1" applyFill="1"/>
    <xf numFmtId="0" fontId="0" fillId="3" borderId="0" xfId="0" applyFill="1"/>
    <xf numFmtId="0" fontId="58" fillId="3" borderId="26" xfId="0" applyFont="1" applyFill="1" applyBorder="1"/>
    <xf numFmtId="4" fontId="58" fillId="3" borderId="26" xfId="0" applyNumberFormat="1" applyFont="1" applyFill="1" applyBorder="1" applyAlignment="1">
      <alignment horizontal="right"/>
    </xf>
    <xf numFmtId="0" fontId="58" fillId="3" borderId="27" xfId="0" applyFont="1" applyFill="1" applyBorder="1" applyAlignment="1">
      <alignment horizontal="right"/>
    </xf>
    <xf numFmtId="0" fontId="58" fillId="3" borderId="19" xfId="0" applyFont="1" applyFill="1" applyBorder="1" applyAlignment="1">
      <alignment horizontal="right"/>
    </xf>
    <xf numFmtId="0" fontId="0" fillId="0" borderId="24" xfId="0" applyBorder="1"/>
    <xf numFmtId="0" fontId="0" fillId="0" borderId="30" xfId="0" applyBorder="1"/>
    <xf numFmtId="0" fontId="0" fillId="0" borderId="31" xfId="0" applyBorder="1"/>
    <xf numFmtId="9" fontId="0" fillId="0" borderId="22" xfId="0" applyNumberFormat="1" applyBorder="1"/>
    <xf numFmtId="6" fontId="0" fillId="0" borderId="22" xfId="0" applyNumberFormat="1" applyBorder="1"/>
    <xf numFmtId="4" fontId="0" fillId="0" borderId="0" xfId="0" applyNumberFormat="1"/>
    <xf numFmtId="9" fontId="0" fillId="0" borderId="19" xfId="0" applyNumberFormat="1" applyBorder="1"/>
    <xf numFmtId="44" fontId="0" fillId="0" borderId="35" xfId="12" applyFont="1" applyBorder="1"/>
    <xf numFmtId="8" fontId="0" fillId="0" borderId="37" xfId="0" applyNumberFormat="1" applyBorder="1"/>
    <xf numFmtId="0" fontId="0" fillId="0" borderId="36" xfId="0" applyBorder="1"/>
    <xf numFmtId="4" fontId="0" fillId="0" borderId="36" xfId="0" applyNumberFormat="1" applyBorder="1"/>
    <xf numFmtId="44" fontId="2" fillId="0" borderId="36" xfId="12" applyFont="1" applyBorder="1"/>
    <xf numFmtId="8" fontId="0" fillId="0" borderId="19" xfId="0" applyNumberFormat="1" applyBorder="1"/>
    <xf numFmtId="8" fontId="0" fillId="0" borderId="19" xfId="12" applyNumberFormat="1" applyFont="1" applyBorder="1"/>
    <xf numFmtId="8" fontId="0" fillId="0" borderId="26" xfId="12" applyNumberFormat="1" applyFont="1" applyBorder="1"/>
    <xf numFmtId="8" fontId="0" fillId="4" borderId="19" xfId="0" applyNumberFormat="1" applyFill="1" applyBorder="1"/>
    <xf numFmtId="0" fontId="0" fillId="4" borderId="26" xfId="0" applyFill="1" applyBorder="1"/>
    <xf numFmtId="44" fontId="2" fillId="0" borderId="30" xfId="12" applyFont="1" applyBorder="1"/>
    <xf numFmtId="0" fontId="58" fillId="3" borderId="0" xfId="0" applyFont="1" applyFill="1"/>
    <xf numFmtId="44" fontId="0" fillId="0" borderId="24" xfId="12" applyFont="1" applyBorder="1"/>
    <xf numFmtId="0" fontId="0" fillId="0" borderId="30" xfId="0" applyBorder="1" applyAlignment="1">
      <alignment horizontal="right"/>
    </xf>
    <xf numFmtId="0" fontId="0" fillId="0" borderId="31" xfId="0" applyBorder="1" applyAlignment="1">
      <alignment horizontal="right"/>
    </xf>
    <xf numFmtId="6" fontId="0" fillId="0" borderId="19" xfId="0" applyNumberFormat="1" applyBorder="1"/>
    <xf numFmtId="44" fontId="38" fillId="0" borderId="0" xfId="12" applyFont="1"/>
    <xf numFmtId="0" fontId="0" fillId="0" borderId="16" xfId="0" applyBorder="1"/>
    <xf numFmtId="0" fontId="60" fillId="0" borderId="36" xfId="0" applyFont="1" applyBorder="1"/>
    <xf numFmtId="8" fontId="60" fillId="0" borderId="37" xfId="0" applyNumberFormat="1" applyFont="1" applyBorder="1"/>
    <xf numFmtId="4" fontId="60" fillId="0" borderId="36" xfId="0" applyNumberFormat="1" applyFont="1" applyBorder="1"/>
    <xf numFmtId="44" fontId="0" fillId="0" borderId="36" xfId="12" applyFont="1" applyBorder="1"/>
    <xf numFmtId="0" fontId="0" fillId="0" borderId="22" xfId="0" applyBorder="1"/>
    <xf numFmtId="0" fontId="0" fillId="4" borderId="36" xfId="0" applyFill="1" applyBorder="1"/>
    <xf numFmtId="0" fontId="0" fillId="4" borderId="19" xfId="0" applyFill="1" applyBorder="1"/>
    <xf numFmtId="44" fontId="38" fillId="0" borderId="19" xfId="12" applyFont="1" applyBorder="1"/>
    <xf numFmtId="0" fontId="10" fillId="4" borderId="1" xfId="4" applyFont="1" applyFill="1" applyBorder="1" applyAlignment="1">
      <alignment horizontal="center"/>
    </xf>
    <xf numFmtId="0" fontId="10" fillId="4" borderId="2" xfId="4" applyFont="1" applyFill="1" applyBorder="1" applyAlignment="1">
      <alignment horizontal="center"/>
    </xf>
    <xf numFmtId="0" fontId="10" fillId="4" borderId="3" xfId="4" applyFont="1" applyFill="1" applyBorder="1" applyAlignment="1">
      <alignment horizontal="center"/>
    </xf>
    <xf numFmtId="167" fontId="18" fillId="4" borderId="17" xfId="4" applyNumberFormat="1" applyFont="1" applyFill="1" applyBorder="1" applyAlignment="1">
      <alignment horizontal="center"/>
    </xf>
    <xf numFmtId="167" fontId="18" fillId="4" borderId="15" xfId="4" applyNumberFormat="1" applyFont="1" applyFill="1" applyBorder="1" applyAlignment="1">
      <alignment horizontal="center"/>
    </xf>
    <xf numFmtId="167" fontId="18" fillId="4" borderId="18" xfId="4" applyNumberFormat="1" applyFont="1" applyFill="1" applyBorder="1" applyAlignment="1">
      <alignment horizontal="center"/>
    </xf>
    <xf numFmtId="0" fontId="28" fillId="7" borderId="20" xfId="8" applyFont="1" applyFill="1" applyBorder="1" applyAlignment="1">
      <alignment horizontal="center" vertical="center"/>
    </xf>
    <xf numFmtId="0" fontId="28" fillId="7" borderId="21" xfId="8" applyFont="1" applyFill="1" applyBorder="1" applyAlignment="1">
      <alignment horizontal="center" vertical="center"/>
    </xf>
    <xf numFmtId="0" fontId="28" fillId="7" borderId="5" xfId="8" applyFont="1" applyFill="1" applyBorder="1" applyAlignment="1">
      <alignment horizontal="center" vertical="center"/>
    </xf>
    <xf numFmtId="0" fontId="28" fillId="7" borderId="6" xfId="8" applyFont="1" applyFill="1" applyBorder="1" applyAlignment="1">
      <alignment horizontal="center" vertical="center"/>
    </xf>
    <xf numFmtId="0" fontId="28" fillId="7" borderId="0" xfId="8" applyFont="1" applyFill="1" applyAlignment="1">
      <alignment horizontal="center" vertical="center"/>
    </xf>
    <xf numFmtId="0" fontId="28" fillId="7" borderId="11" xfId="8" applyFont="1" applyFill="1" applyBorder="1" applyAlignment="1">
      <alignment horizontal="center" vertical="center"/>
    </xf>
    <xf numFmtId="0" fontId="28" fillId="7" borderId="13" xfId="8" applyFont="1" applyFill="1" applyBorder="1" applyAlignment="1">
      <alignment horizontal="center" vertical="center"/>
    </xf>
    <xf numFmtId="0" fontId="28" fillId="7" borderId="14" xfId="8" applyFont="1" applyFill="1" applyBorder="1" applyAlignment="1">
      <alignment horizontal="center" vertical="center"/>
    </xf>
    <xf numFmtId="0" fontId="28" fillId="7" borderId="12" xfId="8" applyFont="1" applyFill="1" applyBorder="1" applyAlignment="1">
      <alignment horizontal="center" vertical="center"/>
    </xf>
    <xf numFmtId="0" fontId="7" fillId="0" borderId="20" xfId="8" applyFont="1" applyBorder="1" applyAlignment="1">
      <alignment horizontal="center"/>
    </xf>
    <xf numFmtId="0" fontId="7" fillId="0" borderId="5" xfId="8" applyFont="1" applyBorder="1" applyAlignment="1">
      <alignment horizontal="center"/>
    </xf>
    <xf numFmtId="168" fontId="7" fillId="0" borderId="20" xfId="9" applyNumberFormat="1" applyFont="1" applyBorder="1" applyAlignment="1">
      <alignment horizontal="center"/>
    </xf>
    <xf numFmtId="168" fontId="7" fillId="0" borderId="5" xfId="9" applyNumberFormat="1" applyFont="1" applyBorder="1" applyAlignment="1">
      <alignment horizontal="center"/>
    </xf>
    <xf numFmtId="0" fontId="41" fillId="12" borderId="24" xfId="0" applyFont="1" applyFill="1" applyBorder="1" applyAlignment="1">
      <alignment horizontal="center" vertical="center" wrapText="1"/>
    </xf>
    <xf numFmtId="0" fontId="41" fillId="12" borderId="9" xfId="0" applyFont="1" applyFill="1" applyBorder="1" applyAlignment="1">
      <alignment horizontal="center" vertical="center" wrapText="1"/>
    </xf>
    <xf numFmtId="0" fontId="41" fillId="12" borderId="25" xfId="0" applyFont="1" applyFill="1" applyBorder="1" applyAlignment="1">
      <alignment horizontal="center" vertical="center" wrapText="1"/>
    </xf>
    <xf numFmtId="44" fontId="52" fillId="18" borderId="26" xfId="12" applyFont="1" applyFill="1" applyBorder="1" applyAlignment="1">
      <alignment horizontal="center"/>
    </xf>
    <xf numFmtId="44" fontId="52" fillId="18" borderId="34" xfId="12" applyFont="1" applyFill="1" applyBorder="1" applyAlignment="1">
      <alignment horizontal="center"/>
    </xf>
    <xf numFmtId="44" fontId="52" fillId="18" borderId="22" xfId="12" applyFont="1" applyFill="1" applyBorder="1" applyAlignment="1">
      <alignment horizontal="center"/>
    </xf>
    <xf numFmtId="0" fontId="41" fillId="17" borderId="24" xfId="0" applyFont="1" applyFill="1" applyBorder="1" applyAlignment="1">
      <alignment horizontal="center" vertical="center" wrapText="1"/>
    </xf>
    <xf numFmtId="0" fontId="41" fillId="17" borderId="9" xfId="0" applyFont="1" applyFill="1" applyBorder="1" applyAlignment="1">
      <alignment horizontal="center" vertical="center" wrapText="1"/>
    </xf>
    <xf numFmtId="0" fontId="41" fillId="17" borderId="25" xfId="0" applyFont="1" applyFill="1" applyBorder="1" applyAlignment="1">
      <alignment horizontal="center" vertical="center" wrapText="1"/>
    </xf>
    <xf numFmtId="0" fontId="48" fillId="17" borderId="24" xfId="0" applyFont="1" applyFill="1" applyBorder="1" applyAlignment="1">
      <alignment horizontal="center" vertical="center" wrapText="1"/>
    </xf>
    <xf numFmtId="0" fontId="48" fillId="17" borderId="9" xfId="0" applyFont="1" applyFill="1" applyBorder="1" applyAlignment="1">
      <alignment horizontal="center" vertical="center" wrapText="1"/>
    </xf>
    <xf numFmtId="0" fontId="48" fillId="17" borderId="25" xfId="0" applyFont="1" applyFill="1" applyBorder="1" applyAlignment="1">
      <alignment horizontal="center" vertical="center" wrapText="1"/>
    </xf>
    <xf numFmtId="0" fontId="51" fillId="18" borderId="27" xfId="0" applyFont="1" applyFill="1" applyBorder="1" applyAlignment="1">
      <alignment horizontal="center" vertical="top" wrapText="1"/>
    </xf>
    <xf numFmtId="0" fontId="51" fillId="18" borderId="28" xfId="0" applyFont="1" applyFill="1" applyBorder="1" applyAlignment="1">
      <alignment horizontal="center" vertical="top" wrapText="1"/>
    </xf>
    <xf numFmtId="0" fontId="51" fillId="18" borderId="30" xfId="0" applyFont="1" applyFill="1" applyBorder="1" applyAlignment="1">
      <alignment horizontal="center" vertical="top" wrapText="1"/>
    </xf>
    <xf numFmtId="0" fontId="51" fillId="18" borderId="31" xfId="0" applyFont="1" applyFill="1" applyBorder="1" applyAlignment="1">
      <alignment horizontal="center" vertical="top" wrapText="1"/>
    </xf>
    <xf numFmtId="0" fontId="51" fillId="18" borderId="29" xfId="0" applyFont="1" applyFill="1" applyBorder="1" applyAlignment="1">
      <alignment horizontal="center" vertical="top" wrapText="1"/>
    </xf>
    <xf numFmtId="0" fontId="51" fillId="18" borderId="32" xfId="0" applyFont="1" applyFill="1" applyBorder="1" applyAlignment="1">
      <alignment horizontal="center" vertical="top" wrapText="1"/>
    </xf>
    <xf numFmtId="0" fontId="56" fillId="17" borderId="24" xfId="0" applyFont="1" applyFill="1" applyBorder="1" applyAlignment="1">
      <alignment horizontal="center" vertical="center" wrapText="1"/>
    </xf>
    <xf numFmtId="0" fontId="56" fillId="17" borderId="9" xfId="0" applyFont="1" applyFill="1" applyBorder="1" applyAlignment="1">
      <alignment horizontal="center" vertical="center" wrapText="1"/>
    </xf>
    <xf numFmtId="0" fontId="56" fillId="17" borderId="25" xfId="0" applyFont="1" applyFill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8" fillId="0" borderId="25" xfId="0" applyFont="1" applyBorder="1" applyAlignment="1">
      <alignment horizontal="center" vertical="center" wrapText="1"/>
    </xf>
    <xf numFmtId="0" fontId="47" fillId="16" borderId="24" xfId="0" applyFont="1" applyFill="1" applyBorder="1" applyAlignment="1">
      <alignment horizontal="center" vertical="center" wrapText="1"/>
    </xf>
    <xf numFmtId="0" fontId="47" fillId="16" borderId="9" xfId="0" applyFont="1" applyFill="1" applyBorder="1" applyAlignment="1">
      <alignment horizontal="center" vertical="center" wrapText="1"/>
    </xf>
    <xf numFmtId="0" fontId="47" fillId="16" borderId="25" xfId="0" applyFont="1" applyFill="1" applyBorder="1" applyAlignment="1">
      <alignment horizontal="center" vertical="center" wrapText="1"/>
    </xf>
    <xf numFmtId="0" fontId="48" fillId="16" borderId="24" xfId="0" applyFont="1" applyFill="1" applyBorder="1" applyAlignment="1">
      <alignment horizontal="center" vertical="center"/>
    </xf>
    <xf numFmtId="0" fontId="48" fillId="16" borderId="9" xfId="0" applyFont="1" applyFill="1" applyBorder="1" applyAlignment="1">
      <alignment horizontal="center" vertical="center"/>
    </xf>
    <xf numFmtId="0" fontId="48" fillId="16" borderId="25" xfId="0" applyFont="1" applyFill="1" applyBorder="1" applyAlignment="1">
      <alignment horizontal="center" vertical="center"/>
    </xf>
    <xf numFmtId="0" fontId="48" fillId="0" borderId="19" xfId="0" applyFont="1" applyBorder="1" applyAlignment="1">
      <alignment horizontal="center" vertical="center"/>
    </xf>
    <xf numFmtId="0" fontId="48" fillId="0" borderId="19" xfId="0" applyFont="1" applyBorder="1" applyAlignment="1">
      <alignment horizontal="left" vertical="center" wrapText="1"/>
    </xf>
    <xf numFmtId="49" fontId="40" fillId="0" borderId="24" xfId="4" applyNumberFormat="1" applyFont="1" applyBorder="1" applyAlignment="1">
      <alignment horizontal="center" vertical="top"/>
    </xf>
    <xf numFmtId="49" fontId="1" fillId="0" borderId="9" xfId="10" applyNumberFormat="1" applyBorder="1" applyAlignment="1">
      <alignment horizontal="center" vertical="top"/>
    </xf>
    <xf numFmtId="49" fontId="1" fillId="0" borderId="25" xfId="10" applyNumberFormat="1" applyBorder="1" applyAlignment="1">
      <alignment horizontal="center" vertical="top"/>
    </xf>
    <xf numFmtId="0" fontId="40" fillId="0" borderId="24" xfId="4" applyFont="1" applyBorder="1" applyAlignment="1">
      <alignment horizontal="center" vertical="top"/>
    </xf>
    <xf numFmtId="0" fontId="40" fillId="0" borderId="9" xfId="4" applyFont="1" applyBorder="1" applyAlignment="1">
      <alignment horizontal="center" vertical="top"/>
    </xf>
    <xf numFmtId="0" fontId="40" fillId="0" borderId="25" xfId="4" applyFont="1" applyBorder="1" applyAlignment="1">
      <alignment horizontal="center" vertical="top"/>
    </xf>
  </cellXfs>
  <cellStyles count="16">
    <cellStyle name="Accent1" xfId="3" builtinId="29"/>
    <cellStyle name="Comma" xfId="1" builtinId="3"/>
    <cellStyle name="Comma 10" xfId="9" xr:uid="{1FD2BC7F-C8B1-43BD-8112-EFCE6F0E7BF7}"/>
    <cellStyle name="Comma 2" xfId="5" xr:uid="{844BC312-4914-4B99-AA5C-C695C55C1202}"/>
    <cellStyle name="Currency" xfId="12" builtinId="4"/>
    <cellStyle name="Currency 2" xfId="6" xr:uid="{012BCA74-5196-41FE-8B5C-042DFF734F68}"/>
    <cellStyle name="Currency 6" xfId="11" xr:uid="{BF1F5862-0436-4232-ADF5-608FEAE12B84}"/>
    <cellStyle name="Currency_NE-Hardware-Software-Costing" xfId="13" xr:uid="{EDC13477-07C7-4BC8-A365-A9B7C20B3DB7}"/>
    <cellStyle name="Currency_NV Infrastructure cost - MA050117" xfId="15" xr:uid="{750591DF-957D-4F61-97CD-44FDF79106E3}"/>
    <cellStyle name="Normal" xfId="0" builtinId="0"/>
    <cellStyle name="Normal 2" xfId="4" xr:uid="{43F9529D-9E80-48D8-8DDC-617A8B304680}"/>
    <cellStyle name="Normal 5" xfId="8" xr:uid="{563FA513-28A2-43FA-96CD-6DA7C5F6EB3A}"/>
    <cellStyle name="Normal 9" xfId="10" xr:uid="{6AA612F0-393F-4C57-B6FA-19FA185C6D6A}"/>
    <cellStyle name="Normal_Cost" xfId="14" xr:uid="{F3BCF380-6290-48C8-8B69-4FB017F11DD9}"/>
    <cellStyle name="Percent" xfId="2" builtinId="5"/>
    <cellStyle name="Percent 2" xfId="7" xr:uid="{A6411F42-FB90-4D6F-985E-F5DB524746E9}"/>
  </cellStyles>
  <dxfs count="10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7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8</xdr:row>
          <xdr:rowOff>95250</xdr:rowOff>
        </xdr:from>
        <xdr:to>
          <xdr:col>6</xdr:col>
          <xdr:colOff>1079500</xdr:colOff>
          <xdr:row>10</xdr:row>
          <xdr:rowOff>171450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7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1</xdr:row>
          <xdr:rowOff>133350</xdr:rowOff>
        </xdr:from>
        <xdr:to>
          <xdr:col>8</xdr:col>
          <xdr:colOff>571500</xdr:colOff>
          <xdr:row>3</xdr:row>
          <xdr:rowOff>152400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3</xdr:row>
          <xdr:rowOff>209550</xdr:rowOff>
        </xdr:from>
        <xdr:to>
          <xdr:col>8</xdr:col>
          <xdr:colOff>590550</xdr:colOff>
          <xdr:row>5</xdr:row>
          <xdr:rowOff>228600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8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6</xdr:row>
          <xdr:rowOff>38100</xdr:rowOff>
        </xdr:from>
        <xdr:to>
          <xdr:col>9</xdr:col>
          <xdr:colOff>431800</xdr:colOff>
          <xdr:row>8</xdr:row>
          <xdr:rowOff>57150</xdr:rowOff>
        </xdr:to>
        <xdr:sp macro="" textlink="">
          <xdr:nvSpPr>
            <xdr:cNvPr id="9219" name="Object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8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69850</xdr:colOff>
          <xdr:row>8</xdr:row>
          <xdr:rowOff>114300</xdr:rowOff>
        </xdr:from>
        <xdr:to>
          <xdr:col>8</xdr:col>
          <xdr:colOff>488950</xdr:colOff>
          <xdr:row>10</xdr:row>
          <xdr:rowOff>133350</xdr:rowOff>
        </xdr:to>
        <xdr:sp macro="" textlink="">
          <xdr:nvSpPr>
            <xdr:cNvPr id="9220" name="Object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8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8</xdr:row>
          <xdr:rowOff>114300</xdr:rowOff>
        </xdr:from>
        <xdr:to>
          <xdr:col>10</xdr:col>
          <xdr:colOff>19050</xdr:colOff>
          <xdr:row>10</xdr:row>
          <xdr:rowOff>133350</xdr:rowOff>
        </xdr:to>
        <xdr:sp macro="" textlink="">
          <xdr:nvSpPr>
            <xdr:cNvPr id="9221" name="Object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8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107950</xdr:colOff>
          <xdr:row>1</xdr:row>
          <xdr:rowOff>50800</xdr:rowOff>
        </xdr:from>
        <xdr:to>
          <xdr:col>10</xdr:col>
          <xdr:colOff>12700</xdr:colOff>
          <xdr:row>2</xdr:row>
          <xdr:rowOff>241300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9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3</xdr:row>
          <xdr:rowOff>0</xdr:rowOff>
        </xdr:from>
        <xdr:to>
          <xdr:col>10</xdr:col>
          <xdr:colOff>57150</xdr:colOff>
          <xdr:row>4</xdr:row>
          <xdr:rowOff>190500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9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171450</xdr:colOff>
          <xdr:row>4</xdr:row>
          <xdr:rowOff>304800</xdr:rowOff>
        </xdr:from>
        <xdr:to>
          <xdr:col>11</xdr:col>
          <xdr:colOff>374650</xdr:colOff>
          <xdr:row>6</xdr:row>
          <xdr:rowOff>171450</xdr:rowOff>
        </xdr:to>
        <xdr:sp macro="" textlink="">
          <xdr:nvSpPr>
            <xdr:cNvPr id="10243" name="Object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9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171450</xdr:colOff>
          <xdr:row>6</xdr:row>
          <xdr:rowOff>260350</xdr:rowOff>
        </xdr:from>
        <xdr:to>
          <xdr:col>9</xdr:col>
          <xdr:colOff>590550</xdr:colOff>
          <xdr:row>8</xdr:row>
          <xdr:rowOff>127000</xdr:rowOff>
        </xdr:to>
        <xdr:sp macro="" textlink="">
          <xdr:nvSpPr>
            <xdr:cNvPr id="10244" name="Object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9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95250</xdr:colOff>
          <xdr:row>6</xdr:row>
          <xdr:rowOff>260350</xdr:rowOff>
        </xdr:from>
        <xdr:to>
          <xdr:col>12</xdr:col>
          <xdr:colOff>19050</xdr:colOff>
          <xdr:row>8</xdr:row>
          <xdr:rowOff>127000</xdr:rowOff>
        </xdr:to>
        <xdr:sp macro="" textlink="">
          <xdr:nvSpPr>
            <xdr:cNvPr id="10245" name="Object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9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y%20Documents\City%20of%20Cleveland\Cost%20Propos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blair\AppData\Local\Microsoft\Windows\Temporary%20Internet%20Files\Content.Outlook\8OKXE70B\VIC\Vermont%20RFP\Vermont%20Cost%20Model%20V44%20Perferred%20Option%20Post%20award%20R1%20Purchase%20op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0088729\AppData\Local\Microsoft\Windows\INetCache\Content.Outlook\EW82G3CX\Copy%20of%20NJ%20Rebid%202016%20Cost%20model%20CC%20R40%20BAFO%203_15_16%20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0088729\Documents\2016_NJ\pricing\Copy%20of%20NJ%20Rebid%202016%20Cost%20model%20CC%20R40%20BAFO%203_15_16%20FINAL_pm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0078434\AppData\Local\Microsoft\Windows\Temporary%20Internet%20Files\Content.IE5\K0SS1VZV\ET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D\Texas%20TIMS\TIMS%20Cost%20Model%20v10%20-BP%2011.5%20-%2025%20cen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asonsin\Local%20Settings\Temporary%20Internet%20Files\OLK11\ga_cost_exercis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003612D\Documents\Marketing\New%20Jersey%202019\Cost_Price\NJ%202019%20v1.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 ODCs"/>
      <sheetName val="PM ODCs"/>
      <sheetName val="ManLoading"/>
      <sheetName val="EXHIBIT 8.1"/>
      <sheetName val="EXHIBIT 8.2"/>
      <sheetName val="EXHIBIT 10.0"/>
      <sheetName val="EXHIBIT 10.1"/>
      <sheetName val="10.1 Support"/>
      <sheetName val="EXHIBIT 10.2"/>
      <sheetName val="10.2 support"/>
      <sheetName val="Exhibit 11.1 "/>
      <sheetName val="Exhibit 11.2 &amp; 3 &amp;4"/>
      <sheetName val="EXHIBIT 13.1"/>
      <sheetName val="EXHIBIT 13.2"/>
      <sheetName val="MP Chart"/>
    </sheetNames>
    <sheetDataSet>
      <sheetData sheetId="0">
        <row r="18">
          <cell r="B18" t="str">
            <v>Office Space Lease</v>
          </cell>
        </row>
        <row r="19">
          <cell r="B19" t="str">
            <v>Office Supplies</v>
          </cell>
        </row>
        <row r="21">
          <cell r="B21" t="str">
            <v>Computer</v>
          </cell>
        </row>
        <row r="23">
          <cell r="B23" t="str">
            <v>Misc Expenses</v>
          </cell>
        </row>
        <row r="24">
          <cell r="B24" t="str">
            <v>Escalation</v>
          </cell>
        </row>
        <row r="25">
          <cell r="B25" t="str">
            <v>Total</v>
          </cell>
        </row>
      </sheetData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"/>
      <sheetName val="Rev Detail"/>
      <sheetName val="S10 Estimate Checklist"/>
      <sheetName val="P&amp;L"/>
      <sheetName val="Car Counts"/>
      <sheetName val="Operations"/>
      <sheetName val="Call Center"/>
      <sheetName val="Equipment"/>
      <sheetName val="EQUIPMENT Revenue"/>
      <sheetName val="IT "/>
      <sheetName val="Equipment @ 1600 units "/>
      <sheetName val="Training Plan"/>
      <sheetName val="Ops"/>
      <sheetName val="P &amp; L"/>
      <sheetName val="P&amp;L Details"/>
      <sheetName val="Pricing Pivots"/>
      <sheetName val="Labor Hours &amp; FTE's"/>
      <sheetName val="Costs by year"/>
      <sheetName val="Salaries"/>
      <sheetName val="Bana "/>
      <sheetName val="Equip Cost &amp; warranty"/>
      <sheetName val="Consumables"/>
      <sheetName val="Pricing"/>
      <sheetName val="Equip Options"/>
      <sheetName val="Cost Loaded Schedule"/>
      <sheetName val="Cash Flow old"/>
      <sheetName val="Rev"/>
      <sheetName val="Car Count"/>
      <sheetName val="Scenarios"/>
      <sheetName val="Head count (start-up)"/>
      <sheetName val="Head count (Ops)"/>
      <sheetName val="Comsumables Details"/>
      <sheetName val="Sheet3"/>
      <sheetName val="Cash Flow (5 Months @ $3.45)"/>
      <sheetName val="Comsumables Details (2)"/>
      <sheetName val="Evaluation Matrix"/>
      <sheetName val="Is Systech making money"/>
      <sheetName val="PMF in Other States"/>
      <sheetName val="CashFlow (2)"/>
      <sheetName val="CF Table without equipment"/>
      <sheetName val="CF Chart-Without equipment"/>
      <sheetName val="CashFlow"/>
      <sheetName val="CF Table"/>
      <sheetName val="CF Chart"/>
      <sheetName val="RFP Cost Sheet"/>
      <sheetName val="External Vendor Cost per RFP"/>
      <sheetName val="Other program Comparison"/>
      <sheetName val="Equipment Options Summary (2)"/>
      <sheetName val="Equipment Options Summary"/>
      <sheetName val="Sheet1"/>
      <sheetName val="Equipment Options Summary (3)"/>
      <sheetName val="Options"/>
    </sheetNames>
    <sheetDataSet>
      <sheetData sheetId="0">
        <row r="2">
          <cell r="A2" t="str">
            <v>Vermont Vehicle Inspection Program  (VIP)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4">
          <cell r="G44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"/>
      <sheetName val="Punch List"/>
      <sheetName val="P &amp; L"/>
      <sheetName val="Pricing Pivots"/>
      <sheetName val="Costs by year"/>
      <sheetName val="Detail Cost"/>
      <sheetName val="Pricing"/>
      <sheetName val="CashFlow"/>
      <sheetName val="CashFlow (2)"/>
      <sheetName val="CashFlow For pricing sheet"/>
      <sheetName val="CF Table"/>
      <sheetName val="CF Chart"/>
      <sheetName val="Comparison"/>
      <sheetName val="PRICE SHEET REV."/>
      <sheetName val="PRICE SHEET REV to be submitted"/>
      <sheetName val="PRICE SHEET REV. (2) BAFO"/>
      <sheetName val="Union Labor"/>
      <sheetName val="VID Changes"/>
      <sheetName val="Car Counts"/>
      <sheetName val="Call Center"/>
      <sheetName val="Operations (non-Union)"/>
      <sheetName val="Reduced Station Manpower"/>
      <sheetName val="Equipment"/>
      <sheetName val="Equipment new-Desktop"/>
      <sheetName val="Equipment New"/>
      <sheetName val="Equipment New- Tablet"/>
      <sheetName val="NGWorkstation Price to PIF&amp;PF"/>
      <sheetName val="Equipment Revenue"/>
      <sheetName val="Sheet10"/>
      <sheetName val="PIF Equipment Maintenance"/>
      <sheetName val="Train State Staff"/>
      <sheetName val="CIF Retrofit"/>
      <sheetName val="Station_Mgr_Deputy Info"/>
      <sheetName val="All Station Cost"/>
      <sheetName val="State NG Workstations"/>
      <sheetName val="Performance Bond"/>
      <sheetName val="Full time"/>
      <sheetName val="Removal of old equiment"/>
      <sheetName val="Legacy VID"/>
      <sheetName val="Program expense NEW"/>
      <sheetName val="Program Expenses"/>
      <sheetName val="First 3 months Unin labor"/>
      <sheetName val="LDs"/>
      <sheetName val="Sheet1"/>
      <sheetName val="Sheet2"/>
      <sheetName val="Cost To PIF"/>
      <sheetName val="Cost to CIF"/>
      <sheetName val="Application Development"/>
      <sheetName val="operations"/>
      <sheetName val="infrastruc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"/>
      <sheetName val="Punch List"/>
      <sheetName val="P &amp; L"/>
      <sheetName val="Pricing Pivots"/>
      <sheetName val="Costs by year"/>
      <sheetName val="Detail Cost"/>
      <sheetName val="Pricing"/>
      <sheetName val="CashFlow"/>
      <sheetName val="CashFlow (2)"/>
      <sheetName val="CashFlow For pricing sheet"/>
      <sheetName val="CF Table"/>
      <sheetName val="CF Chart"/>
      <sheetName val="Comparison"/>
      <sheetName val="PRICE SHEET REV."/>
      <sheetName val="PRICE SHEET REV to be submitted"/>
      <sheetName val="PRICE SHEET REV. (2) BAFO"/>
      <sheetName val="Union Labor"/>
      <sheetName val="VID Changes"/>
      <sheetName val="Car Counts"/>
      <sheetName val="Call Center"/>
      <sheetName val="Operations (non-Union)"/>
      <sheetName val="Reduced Station Manpower"/>
      <sheetName val="Equipment"/>
      <sheetName val="Equipment new-Desktop"/>
      <sheetName val="Equipment New"/>
      <sheetName val="Equipment New- Tablet"/>
      <sheetName val="NGWorkstation Price to PIF&amp;PF"/>
      <sheetName val="Equipment Revenue"/>
      <sheetName val="Sheet10"/>
      <sheetName val="PIF Equipment Maintenance"/>
      <sheetName val="Train State Staff"/>
      <sheetName val="CIF Retrofit"/>
      <sheetName val="Station_Mgr_Deputy Info"/>
      <sheetName val="All Station Cost"/>
      <sheetName val="State NG Workstations"/>
      <sheetName val="Performance Bond"/>
      <sheetName val="Full time"/>
      <sheetName val="Removal of old equiment"/>
      <sheetName val="Legacy VID"/>
      <sheetName val="Program expense NEW"/>
      <sheetName val="Program Expenses"/>
      <sheetName val="First 3 months Unin labor"/>
      <sheetName val="LDs"/>
      <sheetName val="Sheet1"/>
      <sheetName val="Sheet2"/>
      <sheetName val="Cost To PIF"/>
      <sheetName val="Cost to CIF"/>
      <sheetName val="Application Development"/>
      <sheetName val="operations"/>
      <sheetName val="infrastruc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6">
          <cell r="Y36" t="str">
            <v xml:space="preserve">NG CIF Car Count Revenue- We will collect our first payment for August in November 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"/>
      <sheetName val="Summary"/>
      <sheetName val="Detail"/>
      <sheetName val="Params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"/>
      <sheetName val="P&amp;L"/>
      <sheetName val="Cash Flow"/>
      <sheetName val="NJ VID Savings"/>
      <sheetName val="Cost Savings Detail"/>
      <sheetName val="Summary"/>
      <sheetName val="PAT Analysis"/>
      <sheetName val="IT Hours"/>
      <sheetName val="EPR Sect 5"/>
      <sheetName val="EPR Sect - 5"/>
      <sheetName val="Presentation Charts"/>
      <sheetName val="Discounted Cash Flow"/>
      <sheetName val="EPR Sect 6 -Cash Flow Table"/>
      <sheetName val="EPR Sect 6 -Cash Flow Chart"/>
      <sheetName val="EPR Sect 10 - Est. Checklist"/>
      <sheetName val="Test Vol"/>
      <sheetName val="Extended Cash Flow"/>
      <sheetName val="EPR Sect 11- Cost &amp; Pric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K3">
            <v>0.8</v>
          </cell>
          <cell r="L3" t="str">
            <v>BP</v>
          </cell>
          <cell r="M3">
            <v>70</v>
          </cell>
        </row>
        <row r="4">
          <cell r="L4" t="str">
            <v>ESP</v>
          </cell>
          <cell r="M4">
            <v>125</v>
          </cell>
        </row>
        <row r="5">
          <cell r="L5" t="str">
            <v>Nexlevel</v>
          </cell>
          <cell r="M5">
            <v>125</v>
          </cell>
        </row>
        <row r="6">
          <cell r="L6" t="str">
            <v>Parsons</v>
          </cell>
          <cell r="M6">
            <v>35</v>
          </cell>
        </row>
      </sheetData>
      <sheetData sheetId="8"/>
      <sheetData sheetId="9"/>
      <sheetData sheetId="10"/>
      <sheetData sheetId="11"/>
      <sheetData sheetId="12"/>
      <sheetData sheetId="13">
        <row r="1">
          <cell r="B1" t="str">
            <v>Monthly Net Cash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72">
          <cell r="A72" t="str">
            <v>Analysis</v>
          </cell>
          <cell r="B72">
            <v>0.15</v>
          </cell>
          <cell r="C72">
            <v>85000</v>
          </cell>
          <cell r="D72">
            <v>36.370192307692307</v>
          </cell>
        </row>
        <row r="73">
          <cell r="A73" t="str">
            <v>Code and unit test</v>
          </cell>
          <cell r="B73">
            <v>0.35</v>
          </cell>
          <cell r="C73">
            <v>85000</v>
          </cell>
          <cell r="D73">
            <v>36.370192307692307</v>
          </cell>
        </row>
        <row r="74">
          <cell r="A74" t="str">
            <v>Design</v>
          </cell>
          <cell r="B74">
            <v>0.2</v>
          </cell>
          <cell r="C74">
            <v>100000</v>
          </cell>
          <cell r="D74">
            <v>42.78846153846154</v>
          </cell>
        </row>
        <row r="75">
          <cell r="A75" t="str">
            <v>Documentation</v>
          </cell>
          <cell r="B75">
            <v>0.05</v>
          </cell>
          <cell r="C75">
            <v>55000</v>
          </cell>
          <cell r="D75">
            <v>23.533653846153847</v>
          </cell>
        </row>
        <row r="76">
          <cell r="A76" t="str">
            <v>Integration</v>
          </cell>
          <cell r="B76">
            <v>0.15</v>
          </cell>
          <cell r="C76">
            <v>85000</v>
          </cell>
          <cell r="D76">
            <v>36.370192307692307</v>
          </cell>
        </row>
        <row r="77">
          <cell r="A77" t="str">
            <v>PM</v>
          </cell>
          <cell r="B77">
            <v>0.1</v>
          </cell>
          <cell r="C77">
            <v>135000</v>
          </cell>
          <cell r="D77">
            <v>57.76442307692308</v>
          </cell>
        </row>
        <row r="78">
          <cell r="A78" t="str">
            <v>UAT</v>
          </cell>
          <cell r="B78">
            <v>0.1</v>
          </cell>
          <cell r="C78">
            <v>85000</v>
          </cell>
          <cell r="D78">
            <v>36.370192307692307</v>
          </cell>
        </row>
      </sheetData>
      <sheetData sheetId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"/>
      <sheetName val="Pricing details"/>
      <sheetName val="cash flow"/>
      <sheetName val="price submittal form"/>
      <sheetName val="Application Development"/>
      <sheetName val="infrastructureold"/>
      <sheetName val="infrastructure"/>
    </sheetNames>
    <sheetDataSet>
      <sheetData sheetId="0">
        <row r="40">
          <cell r="F40">
            <v>1</v>
          </cell>
          <cell r="G40">
            <v>1</v>
          </cell>
          <cell r="H40">
            <v>1</v>
          </cell>
          <cell r="I40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image" Target="../media/image6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12" Type="http://schemas.openxmlformats.org/officeDocument/2006/relationships/oleObject" Target="../embeddings/oleObject6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6" Type="http://schemas.openxmlformats.org/officeDocument/2006/relationships/oleObject" Target="../embeddings/oleObject3.bin"/><Relationship Id="rId11" Type="http://schemas.openxmlformats.org/officeDocument/2006/relationships/image" Target="../media/image5.emf"/><Relationship Id="rId5" Type="http://schemas.openxmlformats.org/officeDocument/2006/relationships/image" Target="../media/image2.emf"/><Relationship Id="rId10" Type="http://schemas.openxmlformats.org/officeDocument/2006/relationships/oleObject" Target="../embeddings/oleObject5.bin"/><Relationship Id="rId4" Type="http://schemas.openxmlformats.org/officeDocument/2006/relationships/oleObject" Target="../embeddings/oleObject2.bin"/><Relationship Id="rId9" Type="http://schemas.openxmlformats.org/officeDocument/2006/relationships/image" Target="../media/image4.emf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9.bin"/><Relationship Id="rId13" Type="http://schemas.openxmlformats.org/officeDocument/2006/relationships/image" Target="../media/image7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3.emf"/><Relationship Id="rId12" Type="http://schemas.openxmlformats.org/officeDocument/2006/relationships/oleObject" Target="../embeddings/oleObject11.bin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6" Type="http://schemas.openxmlformats.org/officeDocument/2006/relationships/oleObject" Target="../embeddings/oleObject8.bin"/><Relationship Id="rId11" Type="http://schemas.openxmlformats.org/officeDocument/2006/relationships/image" Target="../media/image5.emf"/><Relationship Id="rId5" Type="http://schemas.openxmlformats.org/officeDocument/2006/relationships/image" Target="../media/image2.emf"/><Relationship Id="rId10" Type="http://schemas.openxmlformats.org/officeDocument/2006/relationships/oleObject" Target="../embeddings/oleObject10.bin"/><Relationship Id="rId4" Type="http://schemas.openxmlformats.org/officeDocument/2006/relationships/oleObject" Target="../embeddings/oleObject7.bin"/><Relationship Id="rId9" Type="http://schemas.openxmlformats.org/officeDocument/2006/relationships/image" Target="../media/image4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35EE2-E4A3-4F1F-8EAF-A80FEEA0C377}">
  <sheetPr>
    <pageSetUpPr fitToPage="1"/>
  </sheetPr>
  <dimension ref="A1:AT88"/>
  <sheetViews>
    <sheetView tabSelected="1" zoomScale="80" zoomScaleNormal="80" zoomScaleSheetLayoutView="80" workbookViewId="0">
      <selection activeCell="B32" sqref="B32"/>
    </sheetView>
  </sheetViews>
  <sheetFormatPr defaultRowHeight="12.5" x14ac:dyDescent="0.25"/>
  <cols>
    <col min="1" max="1" width="47.81640625" style="2" customWidth="1"/>
    <col min="2" max="14" width="20" style="2" customWidth="1"/>
    <col min="15" max="15" width="13.26953125" style="2" customWidth="1"/>
    <col min="16" max="17" width="12.453125" style="2" customWidth="1"/>
    <col min="18" max="18" width="12.54296875" style="2" customWidth="1"/>
    <col min="19" max="19" width="12.1796875" style="2" customWidth="1"/>
    <col min="20" max="20" width="12.453125" style="2" customWidth="1"/>
    <col min="21" max="21" width="11" style="2" customWidth="1"/>
    <col min="22" max="22" width="13.1796875" style="2" customWidth="1"/>
    <col min="23" max="23" width="9.7265625" style="2" customWidth="1"/>
    <col min="24" max="24" width="12.81640625" style="2" customWidth="1"/>
    <col min="25" max="25" width="10.54296875" style="2" customWidth="1"/>
    <col min="26" max="26" width="13.26953125" style="2" customWidth="1"/>
    <col min="27" max="30" width="9.1796875" style="2"/>
    <col min="31" max="31" width="27" style="2" customWidth="1"/>
    <col min="32" max="32" width="10.1796875" style="2" customWidth="1"/>
    <col min="33" max="258" width="9.1796875" style="2"/>
    <col min="259" max="259" width="75" style="2" customWidth="1"/>
    <col min="260" max="260" width="37.453125" style="2" customWidth="1"/>
    <col min="261" max="261" width="14.81640625" style="2" customWidth="1"/>
    <col min="262" max="262" width="16.453125" style="2" customWidth="1"/>
    <col min="263" max="263" width="14.7265625" style="2" customWidth="1"/>
    <col min="264" max="264" width="14.81640625" style="2" customWidth="1"/>
    <col min="265" max="265" width="14.7265625" style="2" customWidth="1"/>
    <col min="266" max="266" width="13.26953125" style="2" customWidth="1"/>
    <col min="267" max="269" width="12.54296875" style="2" customWidth="1"/>
    <col min="270" max="270" width="20" style="2" customWidth="1"/>
    <col min="271" max="271" width="13.26953125" style="2" customWidth="1"/>
    <col min="272" max="273" width="12.453125" style="2" customWidth="1"/>
    <col min="274" max="274" width="12.54296875" style="2" customWidth="1"/>
    <col min="275" max="275" width="12.1796875" style="2" customWidth="1"/>
    <col min="276" max="276" width="12.453125" style="2" customWidth="1"/>
    <col min="277" max="277" width="11" style="2" customWidth="1"/>
    <col min="278" max="278" width="13.1796875" style="2" customWidth="1"/>
    <col min="279" max="279" width="9.7265625" style="2" customWidth="1"/>
    <col min="280" max="280" width="12.81640625" style="2" customWidth="1"/>
    <col min="281" max="281" width="10.54296875" style="2" customWidth="1"/>
    <col min="282" max="282" width="13.26953125" style="2" customWidth="1"/>
    <col min="283" max="286" width="9.1796875" style="2"/>
    <col min="287" max="287" width="27" style="2" customWidth="1"/>
    <col min="288" max="288" width="10.1796875" style="2" customWidth="1"/>
    <col min="289" max="514" width="9.1796875" style="2"/>
    <col min="515" max="515" width="75" style="2" customWidth="1"/>
    <col min="516" max="516" width="37.453125" style="2" customWidth="1"/>
    <col min="517" max="517" width="14.81640625" style="2" customWidth="1"/>
    <col min="518" max="518" width="16.453125" style="2" customWidth="1"/>
    <col min="519" max="519" width="14.7265625" style="2" customWidth="1"/>
    <col min="520" max="520" width="14.81640625" style="2" customWidth="1"/>
    <col min="521" max="521" width="14.7265625" style="2" customWidth="1"/>
    <col min="522" max="522" width="13.26953125" style="2" customWidth="1"/>
    <col min="523" max="525" width="12.54296875" style="2" customWidth="1"/>
    <col min="526" max="526" width="20" style="2" customWidth="1"/>
    <col min="527" max="527" width="13.26953125" style="2" customWidth="1"/>
    <col min="528" max="529" width="12.453125" style="2" customWidth="1"/>
    <col min="530" max="530" width="12.54296875" style="2" customWidth="1"/>
    <col min="531" max="531" width="12.1796875" style="2" customWidth="1"/>
    <col min="532" max="532" width="12.453125" style="2" customWidth="1"/>
    <col min="533" max="533" width="11" style="2" customWidth="1"/>
    <col min="534" max="534" width="13.1796875" style="2" customWidth="1"/>
    <col min="535" max="535" width="9.7265625" style="2" customWidth="1"/>
    <col min="536" max="536" width="12.81640625" style="2" customWidth="1"/>
    <col min="537" max="537" width="10.54296875" style="2" customWidth="1"/>
    <col min="538" max="538" width="13.26953125" style="2" customWidth="1"/>
    <col min="539" max="542" width="9.1796875" style="2"/>
    <col min="543" max="543" width="27" style="2" customWidth="1"/>
    <col min="544" max="544" width="10.1796875" style="2" customWidth="1"/>
    <col min="545" max="770" width="9.1796875" style="2"/>
    <col min="771" max="771" width="75" style="2" customWidth="1"/>
    <col min="772" max="772" width="37.453125" style="2" customWidth="1"/>
    <col min="773" max="773" width="14.81640625" style="2" customWidth="1"/>
    <col min="774" max="774" width="16.453125" style="2" customWidth="1"/>
    <col min="775" max="775" width="14.7265625" style="2" customWidth="1"/>
    <col min="776" max="776" width="14.81640625" style="2" customWidth="1"/>
    <col min="777" max="777" width="14.7265625" style="2" customWidth="1"/>
    <col min="778" max="778" width="13.26953125" style="2" customWidth="1"/>
    <col min="779" max="781" width="12.54296875" style="2" customWidth="1"/>
    <col min="782" max="782" width="20" style="2" customWidth="1"/>
    <col min="783" max="783" width="13.26953125" style="2" customWidth="1"/>
    <col min="784" max="785" width="12.453125" style="2" customWidth="1"/>
    <col min="786" max="786" width="12.54296875" style="2" customWidth="1"/>
    <col min="787" max="787" width="12.1796875" style="2" customWidth="1"/>
    <col min="788" max="788" width="12.453125" style="2" customWidth="1"/>
    <col min="789" max="789" width="11" style="2" customWidth="1"/>
    <col min="790" max="790" width="13.1796875" style="2" customWidth="1"/>
    <col min="791" max="791" width="9.7265625" style="2" customWidth="1"/>
    <col min="792" max="792" width="12.81640625" style="2" customWidth="1"/>
    <col min="793" max="793" width="10.54296875" style="2" customWidth="1"/>
    <col min="794" max="794" width="13.26953125" style="2" customWidth="1"/>
    <col min="795" max="798" width="9.1796875" style="2"/>
    <col min="799" max="799" width="27" style="2" customWidth="1"/>
    <col min="800" max="800" width="10.1796875" style="2" customWidth="1"/>
    <col min="801" max="1026" width="9.1796875" style="2"/>
    <col min="1027" max="1027" width="75" style="2" customWidth="1"/>
    <col min="1028" max="1028" width="37.453125" style="2" customWidth="1"/>
    <col min="1029" max="1029" width="14.81640625" style="2" customWidth="1"/>
    <col min="1030" max="1030" width="16.453125" style="2" customWidth="1"/>
    <col min="1031" max="1031" width="14.7265625" style="2" customWidth="1"/>
    <col min="1032" max="1032" width="14.81640625" style="2" customWidth="1"/>
    <col min="1033" max="1033" width="14.7265625" style="2" customWidth="1"/>
    <col min="1034" max="1034" width="13.26953125" style="2" customWidth="1"/>
    <col min="1035" max="1037" width="12.54296875" style="2" customWidth="1"/>
    <col min="1038" max="1038" width="20" style="2" customWidth="1"/>
    <col min="1039" max="1039" width="13.26953125" style="2" customWidth="1"/>
    <col min="1040" max="1041" width="12.453125" style="2" customWidth="1"/>
    <col min="1042" max="1042" width="12.54296875" style="2" customWidth="1"/>
    <col min="1043" max="1043" width="12.1796875" style="2" customWidth="1"/>
    <col min="1044" max="1044" width="12.453125" style="2" customWidth="1"/>
    <col min="1045" max="1045" width="11" style="2" customWidth="1"/>
    <col min="1046" max="1046" width="13.1796875" style="2" customWidth="1"/>
    <col min="1047" max="1047" width="9.7265625" style="2" customWidth="1"/>
    <col min="1048" max="1048" width="12.81640625" style="2" customWidth="1"/>
    <col min="1049" max="1049" width="10.54296875" style="2" customWidth="1"/>
    <col min="1050" max="1050" width="13.26953125" style="2" customWidth="1"/>
    <col min="1051" max="1054" width="9.1796875" style="2"/>
    <col min="1055" max="1055" width="27" style="2" customWidth="1"/>
    <col min="1056" max="1056" width="10.1796875" style="2" customWidth="1"/>
    <col min="1057" max="1282" width="9.1796875" style="2"/>
    <col min="1283" max="1283" width="75" style="2" customWidth="1"/>
    <col min="1284" max="1284" width="37.453125" style="2" customWidth="1"/>
    <col min="1285" max="1285" width="14.81640625" style="2" customWidth="1"/>
    <col min="1286" max="1286" width="16.453125" style="2" customWidth="1"/>
    <col min="1287" max="1287" width="14.7265625" style="2" customWidth="1"/>
    <col min="1288" max="1288" width="14.81640625" style="2" customWidth="1"/>
    <col min="1289" max="1289" width="14.7265625" style="2" customWidth="1"/>
    <col min="1290" max="1290" width="13.26953125" style="2" customWidth="1"/>
    <col min="1291" max="1293" width="12.54296875" style="2" customWidth="1"/>
    <col min="1294" max="1294" width="20" style="2" customWidth="1"/>
    <col min="1295" max="1295" width="13.26953125" style="2" customWidth="1"/>
    <col min="1296" max="1297" width="12.453125" style="2" customWidth="1"/>
    <col min="1298" max="1298" width="12.54296875" style="2" customWidth="1"/>
    <col min="1299" max="1299" width="12.1796875" style="2" customWidth="1"/>
    <col min="1300" max="1300" width="12.453125" style="2" customWidth="1"/>
    <col min="1301" max="1301" width="11" style="2" customWidth="1"/>
    <col min="1302" max="1302" width="13.1796875" style="2" customWidth="1"/>
    <col min="1303" max="1303" width="9.7265625" style="2" customWidth="1"/>
    <col min="1304" max="1304" width="12.81640625" style="2" customWidth="1"/>
    <col min="1305" max="1305" width="10.54296875" style="2" customWidth="1"/>
    <col min="1306" max="1306" width="13.26953125" style="2" customWidth="1"/>
    <col min="1307" max="1310" width="9.1796875" style="2"/>
    <col min="1311" max="1311" width="27" style="2" customWidth="1"/>
    <col min="1312" max="1312" width="10.1796875" style="2" customWidth="1"/>
    <col min="1313" max="1538" width="9.1796875" style="2"/>
    <col min="1539" max="1539" width="75" style="2" customWidth="1"/>
    <col min="1540" max="1540" width="37.453125" style="2" customWidth="1"/>
    <col min="1541" max="1541" width="14.81640625" style="2" customWidth="1"/>
    <col min="1542" max="1542" width="16.453125" style="2" customWidth="1"/>
    <col min="1543" max="1543" width="14.7265625" style="2" customWidth="1"/>
    <col min="1544" max="1544" width="14.81640625" style="2" customWidth="1"/>
    <col min="1545" max="1545" width="14.7265625" style="2" customWidth="1"/>
    <col min="1546" max="1546" width="13.26953125" style="2" customWidth="1"/>
    <col min="1547" max="1549" width="12.54296875" style="2" customWidth="1"/>
    <col min="1550" max="1550" width="20" style="2" customWidth="1"/>
    <col min="1551" max="1551" width="13.26953125" style="2" customWidth="1"/>
    <col min="1552" max="1553" width="12.453125" style="2" customWidth="1"/>
    <col min="1554" max="1554" width="12.54296875" style="2" customWidth="1"/>
    <col min="1555" max="1555" width="12.1796875" style="2" customWidth="1"/>
    <col min="1556" max="1556" width="12.453125" style="2" customWidth="1"/>
    <col min="1557" max="1557" width="11" style="2" customWidth="1"/>
    <col min="1558" max="1558" width="13.1796875" style="2" customWidth="1"/>
    <col min="1559" max="1559" width="9.7265625" style="2" customWidth="1"/>
    <col min="1560" max="1560" width="12.81640625" style="2" customWidth="1"/>
    <col min="1561" max="1561" width="10.54296875" style="2" customWidth="1"/>
    <col min="1562" max="1562" width="13.26953125" style="2" customWidth="1"/>
    <col min="1563" max="1566" width="9.1796875" style="2"/>
    <col min="1567" max="1567" width="27" style="2" customWidth="1"/>
    <col min="1568" max="1568" width="10.1796875" style="2" customWidth="1"/>
    <col min="1569" max="1794" width="9.1796875" style="2"/>
    <col min="1795" max="1795" width="75" style="2" customWidth="1"/>
    <col min="1796" max="1796" width="37.453125" style="2" customWidth="1"/>
    <col min="1797" max="1797" width="14.81640625" style="2" customWidth="1"/>
    <col min="1798" max="1798" width="16.453125" style="2" customWidth="1"/>
    <col min="1799" max="1799" width="14.7265625" style="2" customWidth="1"/>
    <col min="1800" max="1800" width="14.81640625" style="2" customWidth="1"/>
    <col min="1801" max="1801" width="14.7265625" style="2" customWidth="1"/>
    <col min="1802" max="1802" width="13.26953125" style="2" customWidth="1"/>
    <col min="1803" max="1805" width="12.54296875" style="2" customWidth="1"/>
    <col min="1806" max="1806" width="20" style="2" customWidth="1"/>
    <col min="1807" max="1807" width="13.26953125" style="2" customWidth="1"/>
    <col min="1808" max="1809" width="12.453125" style="2" customWidth="1"/>
    <col min="1810" max="1810" width="12.54296875" style="2" customWidth="1"/>
    <col min="1811" max="1811" width="12.1796875" style="2" customWidth="1"/>
    <col min="1812" max="1812" width="12.453125" style="2" customWidth="1"/>
    <col min="1813" max="1813" width="11" style="2" customWidth="1"/>
    <col min="1814" max="1814" width="13.1796875" style="2" customWidth="1"/>
    <col min="1815" max="1815" width="9.7265625" style="2" customWidth="1"/>
    <col min="1816" max="1816" width="12.81640625" style="2" customWidth="1"/>
    <col min="1817" max="1817" width="10.54296875" style="2" customWidth="1"/>
    <col min="1818" max="1818" width="13.26953125" style="2" customWidth="1"/>
    <col min="1819" max="1822" width="9.1796875" style="2"/>
    <col min="1823" max="1823" width="27" style="2" customWidth="1"/>
    <col min="1824" max="1824" width="10.1796875" style="2" customWidth="1"/>
    <col min="1825" max="2050" width="9.1796875" style="2"/>
    <col min="2051" max="2051" width="75" style="2" customWidth="1"/>
    <col min="2052" max="2052" width="37.453125" style="2" customWidth="1"/>
    <col min="2053" max="2053" width="14.81640625" style="2" customWidth="1"/>
    <col min="2054" max="2054" width="16.453125" style="2" customWidth="1"/>
    <col min="2055" max="2055" width="14.7265625" style="2" customWidth="1"/>
    <col min="2056" max="2056" width="14.81640625" style="2" customWidth="1"/>
    <col min="2057" max="2057" width="14.7265625" style="2" customWidth="1"/>
    <col min="2058" max="2058" width="13.26953125" style="2" customWidth="1"/>
    <col min="2059" max="2061" width="12.54296875" style="2" customWidth="1"/>
    <col min="2062" max="2062" width="20" style="2" customWidth="1"/>
    <col min="2063" max="2063" width="13.26953125" style="2" customWidth="1"/>
    <col min="2064" max="2065" width="12.453125" style="2" customWidth="1"/>
    <col min="2066" max="2066" width="12.54296875" style="2" customWidth="1"/>
    <col min="2067" max="2067" width="12.1796875" style="2" customWidth="1"/>
    <col min="2068" max="2068" width="12.453125" style="2" customWidth="1"/>
    <col min="2069" max="2069" width="11" style="2" customWidth="1"/>
    <col min="2070" max="2070" width="13.1796875" style="2" customWidth="1"/>
    <col min="2071" max="2071" width="9.7265625" style="2" customWidth="1"/>
    <col min="2072" max="2072" width="12.81640625" style="2" customWidth="1"/>
    <col min="2073" max="2073" width="10.54296875" style="2" customWidth="1"/>
    <col min="2074" max="2074" width="13.26953125" style="2" customWidth="1"/>
    <col min="2075" max="2078" width="9.1796875" style="2"/>
    <col min="2079" max="2079" width="27" style="2" customWidth="1"/>
    <col min="2080" max="2080" width="10.1796875" style="2" customWidth="1"/>
    <col min="2081" max="2306" width="9.1796875" style="2"/>
    <col min="2307" max="2307" width="75" style="2" customWidth="1"/>
    <col min="2308" max="2308" width="37.453125" style="2" customWidth="1"/>
    <col min="2309" max="2309" width="14.81640625" style="2" customWidth="1"/>
    <col min="2310" max="2310" width="16.453125" style="2" customWidth="1"/>
    <col min="2311" max="2311" width="14.7265625" style="2" customWidth="1"/>
    <col min="2312" max="2312" width="14.81640625" style="2" customWidth="1"/>
    <col min="2313" max="2313" width="14.7265625" style="2" customWidth="1"/>
    <col min="2314" max="2314" width="13.26953125" style="2" customWidth="1"/>
    <col min="2315" max="2317" width="12.54296875" style="2" customWidth="1"/>
    <col min="2318" max="2318" width="20" style="2" customWidth="1"/>
    <col min="2319" max="2319" width="13.26953125" style="2" customWidth="1"/>
    <col min="2320" max="2321" width="12.453125" style="2" customWidth="1"/>
    <col min="2322" max="2322" width="12.54296875" style="2" customWidth="1"/>
    <col min="2323" max="2323" width="12.1796875" style="2" customWidth="1"/>
    <col min="2324" max="2324" width="12.453125" style="2" customWidth="1"/>
    <col min="2325" max="2325" width="11" style="2" customWidth="1"/>
    <col min="2326" max="2326" width="13.1796875" style="2" customWidth="1"/>
    <col min="2327" max="2327" width="9.7265625" style="2" customWidth="1"/>
    <col min="2328" max="2328" width="12.81640625" style="2" customWidth="1"/>
    <col min="2329" max="2329" width="10.54296875" style="2" customWidth="1"/>
    <col min="2330" max="2330" width="13.26953125" style="2" customWidth="1"/>
    <col min="2331" max="2334" width="9.1796875" style="2"/>
    <col min="2335" max="2335" width="27" style="2" customWidth="1"/>
    <col min="2336" max="2336" width="10.1796875" style="2" customWidth="1"/>
    <col min="2337" max="2562" width="9.1796875" style="2"/>
    <col min="2563" max="2563" width="75" style="2" customWidth="1"/>
    <col min="2564" max="2564" width="37.453125" style="2" customWidth="1"/>
    <col min="2565" max="2565" width="14.81640625" style="2" customWidth="1"/>
    <col min="2566" max="2566" width="16.453125" style="2" customWidth="1"/>
    <col min="2567" max="2567" width="14.7265625" style="2" customWidth="1"/>
    <col min="2568" max="2568" width="14.81640625" style="2" customWidth="1"/>
    <col min="2569" max="2569" width="14.7265625" style="2" customWidth="1"/>
    <col min="2570" max="2570" width="13.26953125" style="2" customWidth="1"/>
    <col min="2571" max="2573" width="12.54296875" style="2" customWidth="1"/>
    <col min="2574" max="2574" width="20" style="2" customWidth="1"/>
    <col min="2575" max="2575" width="13.26953125" style="2" customWidth="1"/>
    <col min="2576" max="2577" width="12.453125" style="2" customWidth="1"/>
    <col min="2578" max="2578" width="12.54296875" style="2" customWidth="1"/>
    <col min="2579" max="2579" width="12.1796875" style="2" customWidth="1"/>
    <col min="2580" max="2580" width="12.453125" style="2" customWidth="1"/>
    <col min="2581" max="2581" width="11" style="2" customWidth="1"/>
    <col min="2582" max="2582" width="13.1796875" style="2" customWidth="1"/>
    <col min="2583" max="2583" width="9.7265625" style="2" customWidth="1"/>
    <col min="2584" max="2584" width="12.81640625" style="2" customWidth="1"/>
    <col min="2585" max="2585" width="10.54296875" style="2" customWidth="1"/>
    <col min="2586" max="2586" width="13.26953125" style="2" customWidth="1"/>
    <col min="2587" max="2590" width="9.1796875" style="2"/>
    <col min="2591" max="2591" width="27" style="2" customWidth="1"/>
    <col min="2592" max="2592" width="10.1796875" style="2" customWidth="1"/>
    <col min="2593" max="2818" width="9.1796875" style="2"/>
    <col min="2819" max="2819" width="75" style="2" customWidth="1"/>
    <col min="2820" max="2820" width="37.453125" style="2" customWidth="1"/>
    <col min="2821" max="2821" width="14.81640625" style="2" customWidth="1"/>
    <col min="2822" max="2822" width="16.453125" style="2" customWidth="1"/>
    <col min="2823" max="2823" width="14.7265625" style="2" customWidth="1"/>
    <col min="2824" max="2824" width="14.81640625" style="2" customWidth="1"/>
    <col min="2825" max="2825" width="14.7265625" style="2" customWidth="1"/>
    <col min="2826" max="2826" width="13.26953125" style="2" customWidth="1"/>
    <col min="2827" max="2829" width="12.54296875" style="2" customWidth="1"/>
    <col min="2830" max="2830" width="20" style="2" customWidth="1"/>
    <col min="2831" max="2831" width="13.26953125" style="2" customWidth="1"/>
    <col min="2832" max="2833" width="12.453125" style="2" customWidth="1"/>
    <col min="2834" max="2834" width="12.54296875" style="2" customWidth="1"/>
    <col min="2835" max="2835" width="12.1796875" style="2" customWidth="1"/>
    <col min="2836" max="2836" width="12.453125" style="2" customWidth="1"/>
    <col min="2837" max="2837" width="11" style="2" customWidth="1"/>
    <col min="2838" max="2838" width="13.1796875" style="2" customWidth="1"/>
    <col min="2839" max="2839" width="9.7265625" style="2" customWidth="1"/>
    <col min="2840" max="2840" width="12.81640625" style="2" customWidth="1"/>
    <col min="2841" max="2841" width="10.54296875" style="2" customWidth="1"/>
    <col min="2842" max="2842" width="13.26953125" style="2" customWidth="1"/>
    <col min="2843" max="2846" width="9.1796875" style="2"/>
    <col min="2847" max="2847" width="27" style="2" customWidth="1"/>
    <col min="2848" max="2848" width="10.1796875" style="2" customWidth="1"/>
    <col min="2849" max="3074" width="9.1796875" style="2"/>
    <col min="3075" max="3075" width="75" style="2" customWidth="1"/>
    <col min="3076" max="3076" width="37.453125" style="2" customWidth="1"/>
    <col min="3077" max="3077" width="14.81640625" style="2" customWidth="1"/>
    <col min="3078" max="3078" width="16.453125" style="2" customWidth="1"/>
    <col min="3079" max="3079" width="14.7265625" style="2" customWidth="1"/>
    <col min="3080" max="3080" width="14.81640625" style="2" customWidth="1"/>
    <col min="3081" max="3081" width="14.7265625" style="2" customWidth="1"/>
    <col min="3082" max="3082" width="13.26953125" style="2" customWidth="1"/>
    <col min="3083" max="3085" width="12.54296875" style="2" customWidth="1"/>
    <col min="3086" max="3086" width="20" style="2" customWidth="1"/>
    <col min="3087" max="3087" width="13.26953125" style="2" customWidth="1"/>
    <col min="3088" max="3089" width="12.453125" style="2" customWidth="1"/>
    <col min="3090" max="3090" width="12.54296875" style="2" customWidth="1"/>
    <col min="3091" max="3091" width="12.1796875" style="2" customWidth="1"/>
    <col min="3092" max="3092" width="12.453125" style="2" customWidth="1"/>
    <col min="3093" max="3093" width="11" style="2" customWidth="1"/>
    <col min="3094" max="3094" width="13.1796875" style="2" customWidth="1"/>
    <col min="3095" max="3095" width="9.7265625" style="2" customWidth="1"/>
    <col min="3096" max="3096" width="12.81640625" style="2" customWidth="1"/>
    <col min="3097" max="3097" width="10.54296875" style="2" customWidth="1"/>
    <col min="3098" max="3098" width="13.26953125" style="2" customWidth="1"/>
    <col min="3099" max="3102" width="9.1796875" style="2"/>
    <col min="3103" max="3103" width="27" style="2" customWidth="1"/>
    <col min="3104" max="3104" width="10.1796875" style="2" customWidth="1"/>
    <col min="3105" max="3330" width="9.1796875" style="2"/>
    <col min="3331" max="3331" width="75" style="2" customWidth="1"/>
    <col min="3332" max="3332" width="37.453125" style="2" customWidth="1"/>
    <col min="3333" max="3333" width="14.81640625" style="2" customWidth="1"/>
    <col min="3334" max="3334" width="16.453125" style="2" customWidth="1"/>
    <col min="3335" max="3335" width="14.7265625" style="2" customWidth="1"/>
    <col min="3336" max="3336" width="14.81640625" style="2" customWidth="1"/>
    <col min="3337" max="3337" width="14.7265625" style="2" customWidth="1"/>
    <col min="3338" max="3338" width="13.26953125" style="2" customWidth="1"/>
    <col min="3339" max="3341" width="12.54296875" style="2" customWidth="1"/>
    <col min="3342" max="3342" width="20" style="2" customWidth="1"/>
    <col min="3343" max="3343" width="13.26953125" style="2" customWidth="1"/>
    <col min="3344" max="3345" width="12.453125" style="2" customWidth="1"/>
    <col min="3346" max="3346" width="12.54296875" style="2" customWidth="1"/>
    <col min="3347" max="3347" width="12.1796875" style="2" customWidth="1"/>
    <col min="3348" max="3348" width="12.453125" style="2" customWidth="1"/>
    <col min="3349" max="3349" width="11" style="2" customWidth="1"/>
    <col min="3350" max="3350" width="13.1796875" style="2" customWidth="1"/>
    <col min="3351" max="3351" width="9.7265625" style="2" customWidth="1"/>
    <col min="3352" max="3352" width="12.81640625" style="2" customWidth="1"/>
    <col min="3353" max="3353" width="10.54296875" style="2" customWidth="1"/>
    <col min="3354" max="3354" width="13.26953125" style="2" customWidth="1"/>
    <col min="3355" max="3358" width="9.1796875" style="2"/>
    <col min="3359" max="3359" width="27" style="2" customWidth="1"/>
    <col min="3360" max="3360" width="10.1796875" style="2" customWidth="1"/>
    <col min="3361" max="3586" width="9.1796875" style="2"/>
    <col min="3587" max="3587" width="75" style="2" customWidth="1"/>
    <col min="3588" max="3588" width="37.453125" style="2" customWidth="1"/>
    <col min="3589" max="3589" width="14.81640625" style="2" customWidth="1"/>
    <col min="3590" max="3590" width="16.453125" style="2" customWidth="1"/>
    <col min="3591" max="3591" width="14.7265625" style="2" customWidth="1"/>
    <col min="3592" max="3592" width="14.81640625" style="2" customWidth="1"/>
    <col min="3593" max="3593" width="14.7265625" style="2" customWidth="1"/>
    <col min="3594" max="3594" width="13.26953125" style="2" customWidth="1"/>
    <col min="3595" max="3597" width="12.54296875" style="2" customWidth="1"/>
    <col min="3598" max="3598" width="20" style="2" customWidth="1"/>
    <col min="3599" max="3599" width="13.26953125" style="2" customWidth="1"/>
    <col min="3600" max="3601" width="12.453125" style="2" customWidth="1"/>
    <col min="3602" max="3602" width="12.54296875" style="2" customWidth="1"/>
    <col min="3603" max="3603" width="12.1796875" style="2" customWidth="1"/>
    <col min="3604" max="3604" width="12.453125" style="2" customWidth="1"/>
    <col min="3605" max="3605" width="11" style="2" customWidth="1"/>
    <col min="3606" max="3606" width="13.1796875" style="2" customWidth="1"/>
    <col min="3607" max="3607" width="9.7265625" style="2" customWidth="1"/>
    <col min="3608" max="3608" width="12.81640625" style="2" customWidth="1"/>
    <col min="3609" max="3609" width="10.54296875" style="2" customWidth="1"/>
    <col min="3610" max="3610" width="13.26953125" style="2" customWidth="1"/>
    <col min="3611" max="3614" width="9.1796875" style="2"/>
    <col min="3615" max="3615" width="27" style="2" customWidth="1"/>
    <col min="3616" max="3616" width="10.1796875" style="2" customWidth="1"/>
    <col min="3617" max="3842" width="9.1796875" style="2"/>
    <col min="3843" max="3843" width="75" style="2" customWidth="1"/>
    <col min="3844" max="3844" width="37.453125" style="2" customWidth="1"/>
    <col min="3845" max="3845" width="14.81640625" style="2" customWidth="1"/>
    <col min="3846" max="3846" width="16.453125" style="2" customWidth="1"/>
    <col min="3847" max="3847" width="14.7265625" style="2" customWidth="1"/>
    <col min="3848" max="3848" width="14.81640625" style="2" customWidth="1"/>
    <col min="3849" max="3849" width="14.7265625" style="2" customWidth="1"/>
    <col min="3850" max="3850" width="13.26953125" style="2" customWidth="1"/>
    <col min="3851" max="3853" width="12.54296875" style="2" customWidth="1"/>
    <col min="3854" max="3854" width="20" style="2" customWidth="1"/>
    <col min="3855" max="3855" width="13.26953125" style="2" customWidth="1"/>
    <col min="3856" max="3857" width="12.453125" style="2" customWidth="1"/>
    <col min="3858" max="3858" width="12.54296875" style="2" customWidth="1"/>
    <col min="3859" max="3859" width="12.1796875" style="2" customWidth="1"/>
    <col min="3860" max="3860" width="12.453125" style="2" customWidth="1"/>
    <col min="3861" max="3861" width="11" style="2" customWidth="1"/>
    <col min="3862" max="3862" width="13.1796875" style="2" customWidth="1"/>
    <col min="3863" max="3863" width="9.7265625" style="2" customWidth="1"/>
    <col min="3864" max="3864" width="12.81640625" style="2" customWidth="1"/>
    <col min="3865" max="3865" width="10.54296875" style="2" customWidth="1"/>
    <col min="3866" max="3866" width="13.26953125" style="2" customWidth="1"/>
    <col min="3867" max="3870" width="9.1796875" style="2"/>
    <col min="3871" max="3871" width="27" style="2" customWidth="1"/>
    <col min="3872" max="3872" width="10.1796875" style="2" customWidth="1"/>
    <col min="3873" max="4098" width="9.1796875" style="2"/>
    <col min="4099" max="4099" width="75" style="2" customWidth="1"/>
    <col min="4100" max="4100" width="37.453125" style="2" customWidth="1"/>
    <col min="4101" max="4101" width="14.81640625" style="2" customWidth="1"/>
    <col min="4102" max="4102" width="16.453125" style="2" customWidth="1"/>
    <col min="4103" max="4103" width="14.7265625" style="2" customWidth="1"/>
    <col min="4104" max="4104" width="14.81640625" style="2" customWidth="1"/>
    <col min="4105" max="4105" width="14.7265625" style="2" customWidth="1"/>
    <col min="4106" max="4106" width="13.26953125" style="2" customWidth="1"/>
    <col min="4107" max="4109" width="12.54296875" style="2" customWidth="1"/>
    <col min="4110" max="4110" width="20" style="2" customWidth="1"/>
    <col min="4111" max="4111" width="13.26953125" style="2" customWidth="1"/>
    <col min="4112" max="4113" width="12.453125" style="2" customWidth="1"/>
    <col min="4114" max="4114" width="12.54296875" style="2" customWidth="1"/>
    <col min="4115" max="4115" width="12.1796875" style="2" customWidth="1"/>
    <col min="4116" max="4116" width="12.453125" style="2" customWidth="1"/>
    <col min="4117" max="4117" width="11" style="2" customWidth="1"/>
    <col min="4118" max="4118" width="13.1796875" style="2" customWidth="1"/>
    <col min="4119" max="4119" width="9.7265625" style="2" customWidth="1"/>
    <col min="4120" max="4120" width="12.81640625" style="2" customWidth="1"/>
    <col min="4121" max="4121" width="10.54296875" style="2" customWidth="1"/>
    <col min="4122" max="4122" width="13.26953125" style="2" customWidth="1"/>
    <col min="4123" max="4126" width="9.1796875" style="2"/>
    <col min="4127" max="4127" width="27" style="2" customWidth="1"/>
    <col min="4128" max="4128" width="10.1796875" style="2" customWidth="1"/>
    <col min="4129" max="4354" width="9.1796875" style="2"/>
    <col min="4355" max="4355" width="75" style="2" customWidth="1"/>
    <col min="4356" max="4356" width="37.453125" style="2" customWidth="1"/>
    <col min="4357" max="4357" width="14.81640625" style="2" customWidth="1"/>
    <col min="4358" max="4358" width="16.453125" style="2" customWidth="1"/>
    <col min="4359" max="4359" width="14.7265625" style="2" customWidth="1"/>
    <col min="4360" max="4360" width="14.81640625" style="2" customWidth="1"/>
    <col min="4361" max="4361" width="14.7265625" style="2" customWidth="1"/>
    <col min="4362" max="4362" width="13.26953125" style="2" customWidth="1"/>
    <col min="4363" max="4365" width="12.54296875" style="2" customWidth="1"/>
    <col min="4366" max="4366" width="20" style="2" customWidth="1"/>
    <col min="4367" max="4367" width="13.26953125" style="2" customWidth="1"/>
    <col min="4368" max="4369" width="12.453125" style="2" customWidth="1"/>
    <col min="4370" max="4370" width="12.54296875" style="2" customWidth="1"/>
    <col min="4371" max="4371" width="12.1796875" style="2" customWidth="1"/>
    <col min="4372" max="4372" width="12.453125" style="2" customWidth="1"/>
    <col min="4373" max="4373" width="11" style="2" customWidth="1"/>
    <col min="4374" max="4374" width="13.1796875" style="2" customWidth="1"/>
    <col min="4375" max="4375" width="9.7265625" style="2" customWidth="1"/>
    <col min="4376" max="4376" width="12.81640625" style="2" customWidth="1"/>
    <col min="4377" max="4377" width="10.54296875" style="2" customWidth="1"/>
    <col min="4378" max="4378" width="13.26953125" style="2" customWidth="1"/>
    <col min="4379" max="4382" width="9.1796875" style="2"/>
    <col min="4383" max="4383" width="27" style="2" customWidth="1"/>
    <col min="4384" max="4384" width="10.1796875" style="2" customWidth="1"/>
    <col min="4385" max="4610" width="9.1796875" style="2"/>
    <col min="4611" max="4611" width="75" style="2" customWidth="1"/>
    <col min="4612" max="4612" width="37.453125" style="2" customWidth="1"/>
    <col min="4613" max="4613" width="14.81640625" style="2" customWidth="1"/>
    <col min="4614" max="4614" width="16.453125" style="2" customWidth="1"/>
    <col min="4615" max="4615" width="14.7265625" style="2" customWidth="1"/>
    <col min="4616" max="4616" width="14.81640625" style="2" customWidth="1"/>
    <col min="4617" max="4617" width="14.7265625" style="2" customWidth="1"/>
    <col min="4618" max="4618" width="13.26953125" style="2" customWidth="1"/>
    <col min="4619" max="4621" width="12.54296875" style="2" customWidth="1"/>
    <col min="4622" max="4622" width="20" style="2" customWidth="1"/>
    <col min="4623" max="4623" width="13.26953125" style="2" customWidth="1"/>
    <col min="4624" max="4625" width="12.453125" style="2" customWidth="1"/>
    <col min="4626" max="4626" width="12.54296875" style="2" customWidth="1"/>
    <col min="4627" max="4627" width="12.1796875" style="2" customWidth="1"/>
    <col min="4628" max="4628" width="12.453125" style="2" customWidth="1"/>
    <col min="4629" max="4629" width="11" style="2" customWidth="1"/>
    <col min="4630" max="4630" width="13.1796875" style="2" customWidth="1"/>
    <col min="4631" max="4631" width="9.7265625" style="2" customWidth="1"/>
    <col min="4632" max="4632" width="12.81640625" style="2" customWidth="1"/>
    <col min="4633" max="4633" width="10.54296875" style="2" customWidth="1"/>
    <col min="4634" max="4634" width="13.26953125" style="2" customWidth="1"/>
    <col min="4635" max="4638" width="9.1796875" style="2"/>
    <col min="4639" max="4639" width="27" style="2" customWidth="1"/>
    <col min="4640" max="4640" width="10.1796875" style="2" customWidth="1"/>
    <col min="4641" max="4866" width="9.1796875" style="2"/>
    <col min="4867" max="4867" width="75" style="2" customWidth="1"/>
    <col min="4868" max="4868" width="37.453125" style="2" customWidth="1"/>
    <col min="4869" max="4869" width="14.81640625" style="2" customWidth="1"/>
    <col min="4870" max="4870" width="16.453125" style="2" customWidth="1"/>
    <col min="4871" max="4871" width="14.7265625" style="2" customWidth="1"/>
    <col min="4872" max="4872" width="14.81640625" style="2" customWidth="1"/>
    <col min="4873" max="4873" width="14.7265625" style="2" customWidth="1"/>
    <col min="4874" max="4874" width="13.26953125" style="2" customWidth="1"/>
    <col min="4875" max="4877" width="12.54296875" style="2" customWidth="1"/>
    <col min="4878" max="4878" width="20" style="2" customWidth="1"/>
    <col min="4879" max="4879" width="13.26953125" style="2" customWidth="1"/>
    <col min="4880" max="4881" width="12.453125" style="2" customWidth="1"/>
    <col min="4882" max="4882" width="12.54296875" style="2" customWidth="1"/>
    <col min="4883" max="4883" width="12.1796875" style="2" customWidth="1"/>
    <col min="4884" max="4884" width="12.453125" style="2" customWidth="1"/>
    <col min="4885" max="4885" width="11" style="2" customWidth="1"/>
    <col min="4886" max="4886" width="13.1796875" style="2" customWidth="1"/>
    <col min="4887" max="4887" width="9.7265625" style="2" customWidth="1"/>
    <col min="4888" max="4888" width="12.81640625" style="2" customWidth="1"/>
    <col min="4889" max="4889" width="10.54296875" style="2" customWidth="1"/>
    <col min="4890" max="4890" width="13.26953125" style="2" customWidth="1"/>
    <col min="4891" max="4894" width="9.1796875" style="2"/>
    <col min="4895" max="4895" width="27" style="2" customWidth="1"/>
    <col min="4896" max="4896" width="10.1796875" style="2" customWidth="1"/>
    <col min="4897" max="5122" width="9.1796875" style="2"/>
    <col min="5123" max="5123" width="75" style="2" customWidth="1"/>
    <col min="5124" max="5124" width="37.453125" style="2" customWidth="1"/>
    <col min="5125" max="5125" width="14.81640625" style="2" customWidth="1"/>
    <col min="5126" max="5126" width="16.453125" style="2" customWidth="1"/>
    <col min="5127" max="5127" width="14.7265625" style="2" customWidth="1"/>
    <col min="5128" max="5128" width="14.81640625" style="2" customWidth="1"/>
    <col min="5129" max="5129" width="14.7265625" style="2" customWidth="1"/>
    <col min="5130" max="5130" width="13.26953125" style="2" customWidth="1"/>
    <col min="5131" max="5133" width="12.54296875" style="2" customWidth="1"/>
    <col min="5134" max="5134" width="20" style="2" customWidth="1"/>
    <col min="5135" max="5135" width="13.26953125" style="2" customWidth="1"/>
    <col min="5136" max="5137" width="12.453125" style="2" customWidth="1"/>
    <col min="5138" max="5138" width="12.54296875" style="2" customWidth="1"/>
    <col min="5139" max="5139" width="12.1796875" style="2" customWidth="1"/>
    <col min="5140" max="5140" width="12.453125" style="2" customWidth="1"/>
    <col min="5141" max="5141" width="11" style="2" customWidth="1"/>
    <col min="5142" max="5142" width="13.1796875" style="2" customWidth="1"/>
    <col min="5143" max="5143" width="9.7265625" style="2" customWidth="1"/>
    <col min="5144" max="5144" width="12.81640625" style="2" customWidth="1"/>
    <col min="5145" max="5145" width="10.54296875" style="2" customWidth="1"/>
    <col min="5146" max="5146" width="13.26953125" style="2" customWidth="1"/>
    <col min="5147" max="5150" width="9.1796875" style="2"/>
    <col min="5151" max="5151" width="27" style="2" customWidth="1"/>
    <col min="5152" max="5152" width="10.1796875" style="2" customWidth="1"/>
    <col min="5153" max="5378" width="9.1796875" style="2"/>
    <col min="5379" max="5379" width="75" style="2" customWidth="1"/>
    <col min="5380" max="5380" width="37.453125" style="2" customWidth="1"/>
    <col min="5381" max="5381" width="14.81640625" style="2" customWidth="1"/>
    <col min="5382" max="5382" width="16.453125" style="2" customWidth="1"/>
    <col min="5383" max="5383" width="14.7265625" style="2" customWidth="1"/>
    <col min="5384" max="5384" width="14.81640625" style="2" customWidth="1"/>
    <col min="5385" max="5385" width="14.7265625" style="2" customWidth="1"/>
    <col min="5386" max="5386" width="13.26953125" style="2" customWidth="1"/>
    <col min="5387" max="5389" width="12.54296875" style="2" customWidth="1"/>
    <col min="5390" max="5390" width="20" style="2" customWidth="1"/>
    <col min="5391" max="5391" width="13.26953125" style="2" customWidth="1"/>
    <col min="5392" max="5393" width="12.453125" style="2" customWidth="1"/>
    <col min="5394" max="5394" width="12.54296875" style="2" customWidth="1"/>
    <col min="5395" max="5395" width="12.1796875" style="2" customWidth="1"/>
    <col min="5396" max="5396" width="12.453125" style="2" customWidth="1"/>
    <col min="5397" max="5397" width="11" style="2" customWidth="1"/>
    <col min="5398" max="5398" width="13.1796875" style="2" customWidth="1"/>
    <col min="5399" max="5399" width="9.7265625" style="2" customWidth="1"/>
    <col min="5400" max="5400" width="12.81640625" style="2" customWidth="1"/>
    <col min="5401" max="5401" width="10.54296875" style="2" customWidth="1"/>
    <col min="5402" max="5402" width="13.26953125" style="2" customWidth="1"/>
    <col min="5403" max="5406" width="9.1796875" style="2"/>
    <col min="5407" max="5407" width="27" style="2" customWidth="1"/>
    <col min="5408" max="5408" width="10.1796875" style="2" customWidth="1"/>
    <col min="5409" max="5634" width="9.1796875" style="2"/>
    <col min="5635" max="5635" width="75" style="2" customWidth="1"/>
    <col min="5636" max="5636" width="37.453125" style="2" customWidth="1"/>
    <col min="5637" max="5637" width="14.81640625" style="2" customWidth="1"/>
    <col min="5638" max="5638" width="16.453125" style="2" customWidth="1"/>
    <col min="5639" max="5639" width="14.7265625" style="2" customWidth="1"/>
    <col min="5640" max="5640" width="14.81640625" style="2" customWidth="1"/>
    <col min="5641" max="5641" width="14.7265625" style="2" customWidth="1"/>
    <col min="5642" max="5642" width="13.26953125" style="2" customWidth="1"/>
    <col min="5643" max="5645" width="12.54296875" style="2" customWidth="1"/>
    <col min="5646" max="5646" width="20" style="2" customWidth="1"/>
    <col min="5647" max="5647" width="13.26953125" style="2" customWidth="1"/>
    <col min="5648" max="5649" width="12.453125" style="2" customWidth="1"/>
    <col min="5650" max="5650" width="12.54296875" style="2" customWidth="1"/>
    <col min="5651" max="5651" width="12.1796875" style="2" customWidth="1"/>
    <col min="5652" max="5652" width="12.453125" style="2" customWidth="1"/>
    <col min="5653" max="5653" width="11" style="2" customWidth="1"/>
    <col min="5654" max="5654" width="13.1796875" style="2" customWidth="1"/>
    <col min="5655" max="5655" width="9.7265625" style="2" customWidth="1"/>
    <col min="5656" max="5656" width="12.81640625" style="2" customWidth="1"/>
    <col min="5657" max="5657" width="10.54296875" style="2" customWidth="1"/>
    <col min="5658" max="5658" width="13.26953125" style="2" customWidth="1"/>
    <col min="5659" max="5662" width="9.1796875" style="2"/>
    <col min="5663" max="5663" width="27" style="2" customWidth="1"/>
    <col min="5664" max="5664" width="10.1796875" style="2" customWidth="1"/>
    <col min="5665" max="5890" width="9.1796875" style="2"/>
    <col min="5891" max="5891" width="75" style="2" customWidth="1"/>
    <col min="5892" max="5892" width="37.453125" style="2" customWidth="1"/>
    <col min="5893" max="5893" width="14.81640625" style="2" customWidth="1"/>
    <col min="5894" max="5894" width="16.453125" style="2" customWidth="1"/>
    <col min="5895" max="5895" width="14.7265625" style="2" customWidth="1"/>
    <col min="5896" max="5896" width="14.81640625" style="2" customWidth="1"/>
    <col min="5897" max="5897" width="14.7265625" style="2" customWidth="1"/>
    <col min="5898" max="5898" width="13.26953125" style="2" customWidth="1"/>
    <col min="5899" max="5901" width="12.54296875" style="2" customWidth="1"/>
    <col min="5902" max="5902" width="20" style="2" customWidth="1"/>
    <col min="5903" max="5903" width="13.26953125" style="2" customWidth="1"/>
    <col min="5904" max="5905" width="12.453125" style="2" customWidth="1"/>
    <col min="5906" max="5906" width="12.54296875" style="2" customWidth="1"/>
    <col min="5907" max="5907" width="12.1796875" style="2" customWidth="1"/>
    <col min="5908" max="5908" width="12.453125" style="2" customWidth="1"/>
    <col min="5909" max="5909" width="11" style="2" customWidth="1"/>
    <col min="5910" max="5910" width="13.1796875" style="2" customWidth="1"/>
    <col min="5911" max="5911" width="9.7265625" style="2" customWidth="1"/>
    <col min="5912" max="5912" width="12.81640625" style="2" customWidth="1"/>
    <col min="5913" max="5913" width="10.54296875" style="2" customWidth="1"/>
    <col min="5914" max="5914" width="13.26953125" style="2" customWidth="1"/>
    <col min="5915" max="5918" width="9.1796875" style="2"/>
    <col min="5919" max="5919" width="27" style="2" customWidth="1"/>
    <col min="5920" max="5920" width="10.1796875" style="2" customWidth="1"/>
    <col min="5921" max="6146" width="9.1796875" style="2"/>
    <col min="6147" max="6147" width="75" style="2" customWidth="1"/>
    <col min="6148" max="6148" width="37.453125" style="2" customWidth="1"/>
    <col min="6149" max="6149" width="14.81640625" style="2" customWidth="1"/>
    <col min="6150" max="6150" width="16.453125" style="2" customWidth="1"/>
    <col min="6151" max="6151" width="14.7265625" style="2" customWidth="1"/>
    <col min="6152" max="6152" width="14.81640625" style="2" customWidth="1"/>
    <col min="6153" max="6153" width="14.7265625" style="2" customWidth="1"/>
    <col min="6154" max="6154" width="13.26953125" style="2" customWidth="1"/>
    <col min="6155" max="6157" width="12.54296875" style="2" customWidth="1"/>
    <col min="6158" max="6158" width="20" style="2" customWidth="1"/>
    <col min="6159" max="6159" width="13.26953125" style="2" customWidth="1"/>
    <col min="6160" max="6161" width="12.453125" style="2" customWidth="1"/>
    <col min="6162" max="6162" width="12.54296875" style="2" customWidth="1"/>
    <col min="6163" max="6163" width="12.1796875" style="2" customWidth="1"/>
    <col min="6164" max="6164" width="12.453125" style="2" customWidth="1"/>
    <col min="6165" max="6165" width="11" style="2" customWidth="1"/>
    <col min="6166" max="6166" width="13.1796875" style="2" customWidth="1"/>
    <col min="6167" max="6167" width="9.7265625" style="2" customWidth="1"/>
    <col min="6168" max="6168" width="12.81640625" style="2" customWidth="1"/>
    <col min="6169" max="6169" width="10.54296875" style="2" customWidth="1"/>
    <col min="6170" max="6170" width="13.26953125" style="2" customWidth="1"/>
    <col min="6171" max="6174" width="9.1796875" style="2"/>
    <col min="6175" max="6175" width="27" style="2" customWidth="1"/>
    <col min="6176" max="6176" width="10.1796875" style="2" customWidth="1"/>
    <col min="6177" max="6402" width="9.1796875" style="2"/>
    <col min="6403" max="6403" width="75" style="2" customWidth="1"/>
    <col min="6404" max="6404" width="37.453125" style="2" customWidth="1"/>
    <col min="6405" max="6405" width="14.81640625" style="2" customWidth="1"/>
    <col min="6406" max="6406" width="16.453125" style="2" customWidth="1"/>
    <col min="6407" max="6407" width="14.7265625" style="2" customWidth="1"/>
    <col min="6408" max="6408" width="14.81640625" style="2" customWidth="1"/>
    <col min="6409" max="6409" width="14.7265625" style="2" customWidth="1"/>
    <col min="6410" max="6410" width="13.26953125" style="2" customWidth="1"/>
    <col min="6411" max="6413" width="12.54296875" style="2" customWidth="1"/>
    <col min="6414" max="6414" width="20" style="2" customWidth="1"/>
    <col min="6415" max="6415" width="13.26953125" style="2" customWidth="1"/>
    <col min="6416" max="6417" width="12.453125" style="2" customWidth="1"/>
    <col min="6418" max="6418" width="12.54296875" style="2" customWidth="1"/>
    <col min="6419" max="6419" width="12.1796875" style="2" customWidth="1"/>
    <col min="6420" max="6420" width="12.453125" style="2" customWidth="1"/>
    <col min="6421" max="6421" width="11" style="2" customWidth="1"/>
    <col min="6422" max="6422" width="13.1796875" style="2" customWidth="1"/>
    <col min="6423" max="6423" width="9.7265625" style="2" customWidth="1"/>
    <col min="6424" max="6424" width="12.81640625" style="2" customWidth="1"/>
    <col min="6425" max="6425" width="10.54296875" style="2" customWidth="1"/>
    <col min="6426" max="6426" width="13.26953125" style="2" customWidth="1"/>
    <col min="6427" max="6430" width="9.1796875" style="2"/>
    <col min="6431" max="6431" width="27" style="2" customWidth="1"/>
    <col min="6432" max="6432" width="10.1796875" style="2" customWidth="1"/>
    <col min="6433" max="6658" width="9.1796875" style="2"/>
    <col min="6659" max="6659" width="75" style="2" customWidth="1"/>
    <col min="6660" max="6660" width="37.453125" style="2" customWidth="1"/>
    <col min="6661" max="6661" width="14.81640625" style="2" customWidth="1"/>
    <col min="6662" max="6662" width="16.453125" style="2" customWidth="1"/>
    <col min="6663" max="6663" width="14.7265625" style="2" customWidth="1"/>
    <col min="6664" max="6664" width="14.81640625" style="2" customWidth="1"/>
    <col min="6665" max="6665" width="14.7265625" style="2" customWidth="1"/>
    <col min="6666" max="6666" width="13.26953125" style="2" customWidth="1"/>
    <col min="6667" max="6669" width="12.54296875" style="2" customWidth="1"/>
    <col min="6670" max="6670" width="20" style="2" customWidth="1"/>
    <col min="6671" max="6671" width="13.26953125" style="2" customWidth="1"/>
    <col min="6672" max="6673" width="12.453125" style="2" customWidth="1"/>
    <col min="6674" max="6674" width="12.54296875" style="2" customWidth="1"/>
    <col min="6675" max="6675" width="12.1796875" style="2" customWidth="1"/>
    <col min="6676" max="6676" width="12.453125" style="2" customWidth="1"/>
    <col min="6677" max="6677" width="11" style="2" customWidth="1"/>
    <col min="6678" max="6678" width="13.1796875" style="2" customWidth="1"/>
    <col min="6679" max="6679" width="9.7265625" style="2" customWidth="1"/>
    <col min="6680" max="6680" width="12.81640625" style="2" customWidth="1"/>
    <col min="6681" max="6681" width="10.54296875" style="2" customWidth="1"/>
    <col min="6682" max="6682" width="13.26953125" style="2" customWidth="1"/>
    <col min="6683" max="6686" width="9.1796875" style="2"/>
    <col min="6687" max="6687" width="27" style="2" customWidth="1"/>
    <col min="6688" max="6688" width="10.1796875" style="2" customWidth="1"/>
    <col min="6689" max="6914" width="9.1796875" style="2"/>
    <col min="6915" max="6915" width="75" style="2" customWidth="1"/>
    <col min="6916" max="6916" width="37.453125" style="2" customWidth="1"/>
    <col min="6917" max="6917" width="14.81640625" style="2" customWidth="1"/>
    <col min="6918" max="6918" width="16.453125" style="2" customWidth="1"/>
    <col min="6919" max="6919" width="14.7265625" style="2" customWidth="1"/>
    <col min="6920" max="6920" width="14.81640625" style="2" customWidth="1"/>
    <col min="6921" max="6921" width="14.7265625" style="2" customWidth="1"/>
    <col min="6922" max="6922" width="13.26953125" style="2" customWidth="1"/>
    <col min="6923" max="6925" width="12.54296875" style="2" customWidth="1"/>
    <col min="6926" max="6926" width="20" style="2" customWidth="1"/>
    <col min="6927" max="6927" width="13.26953125" style="2" customWidth="1"/>
    <col min="6928" max="6929" width="12.453125" style="2" customWidth="1"/>
    <col min="6930" max="6930" width="12.54296875" style="2" customWidth="1"/>
    <col min="6931" max="6931" width="12.1796875" style="2" customWidth="1"/>
    <col min="6932" max="6932" width="12.453125" style="2" customWidth="1"/>
    <col min="6933" max="6933" width="11" style="2" customWidth="1"/>
    <col min="6934" max="6934" width="13.1796875" style="2" customWidth="1"/>
    <col min="6935" max="6935" width="9.7265625" style="2" customWidth="1"/>
    <col min="6936" max="6936" width="12.81640625" style="2" customWidth="1"/>
    <col min="6937" max="6937" width="10.54296875" style="2" customWidth="1"/>
    <col min="6938" max="6938" width="13.26953125" style="2" customWidth="1"/>
    <col min="6939" max="6942" width="9.1796875" style="2"/>
    <col min="6943" max="6943" width="27" style="2" customWidth="1"/>
    <col min="6944" max="6944" width="10.1796875" style="2" customWidth="1"/>
    <col min="6945" max="7170" width="9.1796875" style="2"/>
    <col min="7171" max="7171" width="75" style="2" customWidth="1"/>
    <col min="7172" max="7172" width="37.453125" style="2" customWidth="1"/>
    <col min="7173" max="7173" width="14.81640625" style="2" customWidth="1"/>
    <col min="7174" max="7174" width="16.453125" style="2" customWidth="1"/>
    <col min="7175" max="7175" width="14.7265625" style="2" customWidth="1"/>
    <col min="7176" max="7176" width="14.81640625" style="2" customWidth="1"/>
    <col min="7177" max="7177" width="14.7265625" style="2" customWidth="1"/>
    <col min="7178" max="7178" width="13.26953125" style="2" customWidth="1"/>
    <col min="7179" max="7181" width="12.54296875" style="2" customWidth="1"/>
    <col min="7182" max="7182" width="20" style="2" customWidth="1"/>
    <col min="7183" max="7183" width="13.26953125" style="2" customWidth="1"/>
    <col min="7184" max="7185" width="12.453125" style="2" customWidth="1"/>
    <col min="7186" max="7186" width="12.54296875" style="2" customWidth="1"/>
    <col min="7187" max="7187" width="12.1796875" style="2" customWidth="1"/>
    <col min="7188" max="7188" width="12.453125" style="2" customWidth="1"/>
    <col min="7189" max="7189" width="11" style="2" customWidth="1"/>
    <col min="7190" max="7190" width="13.1796875" style="2" customWidth="1"/>
    <col min="7191" max="7191" width="9.7265625" style="2" customWidth="1"/>
    <col min="7192" max="7192" width="12.81640625" style="2" customWidth="1"/>
    <col min="7193" max="7193" width="10.54296875" style="2" customWidth="1"/>
    <col min="7194" max="7194" width="13.26953125" style="2" customWidth="1"/>
    <col min="7195" max="7198" width="9.1796875" style="2"/>
    <col min="7199" max="7199" width="27" style="2" customWidth="1"/>
    <col min="7200" max="7200" width="10.1796875" style="2" customWidth="1"/>
    <col min="7201" max="7426" width="9.1796875" style="2"/>
    <col min="7427" max="7427" width="75" style="2" customWidth="1"/>
    <col min="7428" max="7428" width="37.453125" style="2" customWidth="1"/>
    <col min="7429" max="7429" width="14.81640625" style="2" customWidth="1"/>
    <col min="7430" max="7430" width="16.453125" style="2" customWidth="1"/>
    <col min="7431" max="7431" width="14.7265625" style="2" customWidth="1"/>
    <col min="7432" max="7432" width="14.81640625" style="2" customWidth="1"/>
    <col min="7433" max="7433" width="14.7265625" style="2" customWidth="1"/>
    <col min="7434" max="7434" width="13.26953125" style="2" customWidth="1"/>
    <col min="7435" max="7437" width="12.54296875" style="2" customWidth="1"/>
    <col min="7438" max="7438" width="20" style="2" customWidth="1"/>
    <col min="7439" max="7439" width="13.26953125" style="2" customWidth="1"/>
    <col min="7440" max="7441" width="12.453125" style="2" customWidth="1"/>
    <col min="7442" max="7442" width="12.54296875" style="2" customWidth="1"/>
    <col min="7443" max="7443" width="12.1796875" style="2" customWidth="1"/>
    <col min="7444" max="7444" width="12.453125" style="2" customWidth="1"/>
    <col min="7445" max="7445" width="11" style="2" customWidth="1"/>
    <col min="7446" max="7446" width="13.1796875" style="2" customWidth="1"/>
    <col min="7447" max="7447" width="9.7265625" style="2" customWidth="1"/>
    <col min="7448" max="7448" width="12.81640625" style="2" customWidth="1"/>
    <col min="7449" max="7449" width="10.54296875" style="2" customWidth="1"/>
    <col min="7450" max="7450" width="13.26953125" style="2" customWidth="1"/>
    <col min="7451" max="7454" width="9.1796875" style="2"/>
    <col min="7455" max="7455" width="27" style="2" customWidth="1"/>
    <col min="7456" max="7456" width="10.1796875" style="2" customWidth="1"/>
    <col min="7457" max="7682" width="9.1796875" style="2"/>
    <col min="7683" max="7683" width="75" style="2" customWidth="1"/>
    <col min="7684" max="7684" width="37.453125" style="2" customWidth="1"/>
    <col min="7685" max="7685" width="14.81640625" style="2" customWidth="1"/>
    <col min="7686" max="7686" width="16.453125" style="2" customWidth="1"/>
    <col min="7687" max="7687" width="14.7265625" style="2" customWidth="1"/>
    <col min="7688" max="7688" width="14.81640625" style="2" customWidth="1"/>
    <col min="7689" max="7689" width="14.7265625" style="2" customWidth="1"/>
    <col min="7690" max="7690" width="13.26953125" style="2" customWidth="1"/>
    <col min="7691" max="7693" width="12.54296875" style="2" customWidth="1"/>
    <col min="7694" max="7694" width="20" style="2" customWidth="1"/>
    <col min="7695" max="7695" width="13.26953125" style="2" customWidth="1"/>
    <col min="7696" max="7697" width="12.453125" style="2" customWidth="1"/>
    <col min="7698" max="7698" width="12.54296875" style="2" customWidth="1"/>
    <col min="7699" max="7699" width="12.1796875" style="2" customWidth="1"/>
    <col min="7700" max="7700" width="12.453125" style="2" customWidth="1"/>
    <col min="7701" max="7701" width="11" style="2" customWidth="1"/>
    <col min="7702" max="7702" width="13.1796875" style="2" customWidth="1"/>
    <col min="7703" max="7703" width="9.7265625" style="2" customWidth="1"/>
    <col min="7704" max="7704" width="12.81640625" style="2" customWidth="1"/>
    <col min="7705" max="7705" width="10.54296875" style="2" customWidth="1"/>
    <col min="7706" max="7706" width="13.26953125" style="2" customWidth="1"/>
    <col min="7707" max="7710" width="9.1796875" style="2"/>
    <col min="7711" max="7711" width="27" style="2" customWidth="1"/>
    <col min="7712" max="7712" width="10.1796875" style="2" customWidth="1"/>
    <col min="7713" max="7938" width="9.1796875" style="2"/>
    <col min="7939" max="7939" width="75" style="2" customWidth="1"/>
    <col min="7940" max="7940" width="37.453125" style="2" customWidth="1"/>
    <col min="7941" max="7941" width="14.81640625" style="2" customWidth="1"/>
    <col min="7942" max="7942" width="16.453125" style="2" customWidth="1"/>
    <col min="7943" max="7943" width="14.7265625" style="2" customWidth="1"/>
    <col min="7944" max="7944" width="14.81640625" style="2" customWidth="1"/>
    <col min="7945" max="7945" width="14.7265625" style="2" customWidth="1"/>
    <col min="7946" max="7946" width="13.26953125" style="2" customWidth="1"/>
    <col min="7947" max="7949" width="12.54296875" style="2" customWidth="1"/>
    <col min="7950" max="7950" width="20" style="2" customWidth="1"/>
    <col min="7951" max="7951" width="13.26953125" style="2" customWidth="1"/>
    <col min="7952" max="7953" width="12.453125" style="2" customWidth="1"/>
    <col min="7954" max="7954" width="12.54296875" style="2" customWidth="1"/>
    <col min="7955" max="7955" width="12.1796875" style="2" customWidth="1"/>
    <col min="7956" max="7956" width="12.453125" style="2" customWidth="1"/>
    <col min="7957" max="7957" width="11" style="2" customWidth="1"/>
    <col min="7958" max="7958" width="13.1796875" style="2" customWidth="1"/>
    <col min="7959" max="7959" width="9.7265625" style="2" customWidth="1"/>
    <col min="7960" max="7960" width="12.81640625" style="2" customWidth="1"/>
    <col min="7961" max="7961" width="10.54296875" style="2" customWidth="1"/>
    <col min="7962" max="7962" width="13.26953125" style="2" customWidth="1"/>
    <col min="7963" max="7966" width="9.1796875" style="2"/>
    <col min="7967" max="7967" width="27" style="2" customWidth="1"/>
    <col min="7968" max="7968" width="10.1796875" style="2" customWidth="1"/>
    <col min="7969" max="8194" width="9.1796875" style="2"/>
    <col min="8195" max="8195" width="75" style="2" customWidth="1"/>
    <col min="8196" max="8196" width="37.453125" style="2" customWidth="1"/>
    <col min="8197" max="8197" width="14.81640625" style="2" customWidth="1"/>
    <col min="8198" max="8198" width="16.453125" style="2" customWidth="1"/>
    <col min="8199" max="8199" width="14.7265625" style="2" customWidth="1"/>
    <col min="8200" max="8200" width="14.81640625" style="2" customWidth="1"/>
    <col min="8201" max="8201" width="14.7265625" style="2" customWidth="1"/>
    <col min="8202" max="8202" width="13.26953125" style="2" customWidth="1"/>
    <col min="8203" max="8205" width="12.54296875" style="2" customWidth="1"/>
    <col min="8206" max="8206" width="20" style="2" customWidth="1"/>
    <col min="8207" max="8207" width="13.26953125" style="2" customWidth="1"/>
    <col min="8208" max="8209" width="12.453125" style="2" customWidth="1"/>
    <col min="8210" max="8210" width="12.54296875" style="2" customWidth="1"/>
    <col min="8211" max="8211" width="12.1796875" style="2" customWidth="1"/>
    <col min="8212" max="8212" width="12.453125" style="2" customWidth="1"/>
    <col min="8213" max="8213" width="11" style="2" customWidth="1"/>
    <col min="8214" max="8214" width="13.1796875" style="2" customWidth="1"/>
    <col min="8215" max="8215" width="9.7265625" style="2" customWidth="1"/>
    <col min="8216" max="8216" width="12.81640625" style="2" customWidth="1"/>
    <col min="8217" max="8217" width="10.54296875" style="2" customWidth="1"/>
    <col min="8218" max="8218" width="13.26953125" style="2" customWidth="1"/>
    <col min="8219" max="8222" width="9.1796875" style="2"/>
    <col min="8223" max="8223" width="27" style="2" customWidth="1"/>
    <col min="8224" max="8224" width="10.1796875" style="2" customWidth="1"/>
    <col min="8225" max="8450" width="9.1796875" style="2"/>
    <col min="8451" max="8451" width="75" style="2" customWidth="1"/>
    <col min="8452" max="8452" width="37.453125" style="2" customWidth="1"/>
    <col min="8453" max="8453" width="14.81640625" style="2" customWidth="1"/>
    <col min="8454" max="8454" width="16.453125" style="2" customWidth="1"/>
    <col min="8455" max="8455" width="14.7265625" style="2" customWidth="1"/>
    <col min="8456" max="8456" width="14.81640625" style="2" customWidth="1"/>
    <col min="8457" max="8457" width="14.7265625" style="2" customWidth="1"/>
    <col min="8458" max="8458" width="13.26953125" style="2" customWidth="1"/>
    <col min="8459" max="8461" width="12.54296875" style="2" customWidth="1"/>
    <col min="8462" max="8462" width="20" style="2" customWidth="1"/>
    <col min="8463" max="8463" width="13.26953125" style="2" customWidth="1"/>
    <col min="8464" max="8465" width="12.453125" style="2" customWidth="1"/>
    <col min="8466" max="8466" width="12.54296875" style="2" customWidth="1"/>
    <col min="8467" max="8467" width="12.1796875" style="2" customWidth="1"/>
    <col min="8468" max="8468" width="12.453125" style="2" customWidth="1"/>
    <col min="8469" max="8469" width="11" style="2" customWidth="1"/>
    <col min="8470" max="8470" width="13.1796875" style="2" customWidth="1"/>
    <col min="8471" max="8471" width="9.7265625" style="2" customWidth="1"/>
    <col min="8472" max="8472" width="12.81640625" style="2" customWidth="1"/>
    <col min="8473" max="8473" width="10.54296875" style="2" customWidth="1"/>
    <col min="8474" max="8474" width="13.26953125" style="2" customWidth="1"/>
    <col min="8475" max="8478" width="9.1796875" style="2"/>
    <col min="8479" max="8479" width="27" style="2" customWidth="1"/>
    <col min="8480" max="8480" width="10.1796875" style="2" customWidth="1"/>
    <col min="8481" max="8706" width="9.1796875" style="2"/>
    <col min="8707" max="8707" width="75" style="2" customWidth="1"/>
    <col min="8708" max="8708" width="37.453125" style="2" customWidth="1"/>
    <col min="8709" max="8709" width="14.81640625" style="2" customWidth="1"/>
    <col min="8710" max="8710" width="16.453125" style="2" customWidth="1"/>
    <col min="8711" max="8711" width="14.7265625" style="2" customWidth="1"/>
    <col min="8712" max="8712" width="14.81640625" style="2" customWidth="1"/>
    <col min="8713" max="8713" width="14.7265625" style="2" customWidth="1"/>
    <col min="8714" max="8714" width="13.26953125" style="2" customWidth="1"/>
    <col min="8715" max="8717" width="12.54296875" style="2" customWidth="1"/>
    <col min="8718" max="8718" width="20" style="2" customWidth="1"/>
    <col min="8719" max="8719" width="13.26953125" style="2" customWidth="1"/>
    <col min="8720" max="8721" width="12.453125" style="2" customWidth="1"/>
    <col min="8722" max="8722" width="12.54296875" style="2" customWidth="1"/>
    <col min="8723" max="8723" width="12.1796875" style="2" customWidth="1"/>
    <col min="8724" max="8724" width="12.453125" style="2" customWidth="1"/>
    <col min="8725" max="8725" width="11" style="2" customWidth="1"/>
    <col min="8726" max="8726" width="13.1796875" style="2" customWidth="1"/>
    <col min="8727" max="8727" width="9.7265625" style="2" customWidth="1"/>
    <col min="8728" max="8728" width="12.81640625" style="2" customWidth="1"/>
    <col min="8729" max="8729" width="10.54296875" style="2" customWidth="1"/>
    <col min="8730" max="8730" width="13.26953125" style="2" customWidth="1"/>
    <col min="8731" max="8734" width="9.1796875" style="2"/>
    <col min="8735" max="8735" width="27" style="2" customWidth="1"/>
    <col min="8736" max="8736" width="10.1796875" style="2" customWidth="1"/>
    <col min="8737" max="8962" width="9.1796875" style="2"/>
    <col min="8963" max="8963" width="75" style="2" customWidth="1"/>
    <col min="8964" max="8964" width="37.453125" style="2" customWidth="1"/>
    <col min="8965" max="8965" width="14.81640625" style="2" customWidth="1"/>
    <col min="8966" max="8966" width="16.453125" style="2" customWidth="1"/>
    <col min="8967" max="8967" width="14.7265625" style="2" customWidth="1"/>
    <col min="8968" max="8968" width="14.81640625" style="2" customWidth="1"/>
    <col min="8969" max="8969" width="14.7265625" style="2" customWidth="1"/>
    <col min="8970" max="8970" width="13.26953125" style="2" customWidth="1"/>
    <col min="8971" max="8973" width="12.54296875" style="2" customWidth="1"/>
    <col min="8974" max="8974" width="20" style="2" customWidth="1"/>
    <col min="8975" max="8975" width="13.26953125" style="2" customWidth="1"/>
    <col min="8976" max="8977" width="12.453125" style="2" customWidth="1"/>
    <col min="8978" max="8978" width="12.54296875" style="2" customWidth="1"/>
    <col min="8979" max="8979" width="12.1796875" style="2" customWidth="1"/>
    <col min="8980" max="8980" width="12.453125" style="2" customWidth="1"/>
    <col min="8981" max="8981" width="11" style="2" customWidth="1"/>
    <col min="8982" max="8982" width="13.1796875" style="2" customWidth="1"/>
    <col min="8983" max="8983" width="9.7265625" style="2" customWidth="1"/>
    <col min="8984" max="8984" width="12.81640625" style="2" customWidth="1"/>
    <col min="8985" max="8985" width="10.54296875" style="2" customWidth="1"/>
    <col min="8986" max="8986" width="13.26953125" style="2" customWidth="1"/>
    <col min="8987" max="8990" width="9.1796875" style="2"/>
    <col min="8991" max="8991" width="27" style="2" customWidth="1"/>
    <col min="8992" max="8992" width="10.1796875" style="2" customWidth="1"/>
    <col min="8993" max="9218" width="9.1796875" style="2"/>
    <col min="9219" max="9219" width="75" style="2" customWidth="1"/>
    <col min="9220" max="9220" width="37.453125" style="2" customWidth="1"/>
    <col min="9221" max="9221" width="14.81640625" style="2" customWidth="1"/>
    <col min="9222" max="9222" width="16.453125" style="2" customWidth="1"/>
    <col min="9223" max="9223" width="14.7265625" style="2" customWidth="1"/>
    <col min="9224" max="9224" width="14.81640625" style="2" customWidth="1"/>
    <col min="9225" max="9225" width="14.7265625" style="2" customWidth="1"/>
    <col min="9226" max="9226" width="13.26953125" style="2" customWidth="1"/>
    <col min="9227" max="9229" width="12.54296875" style="2" customWidth="1"/>
    <col min="9230" max="9230" width="20" style="2" customWidth="1"/>
    <col min="9231" max="9231" width="13.26953125" style="2" customWidth="1"/>
    <col min="9232" max="9233" width="12.453125" style="2" customWidth="1"/>
    <col min="9234" max="9234" width="12.54296875" style="2" customWidth="1"/>
    <col min="9235" max="9235" width="12.1796875" style="2" customWidth="1"/>
    <col min="9236" max="9236" width="12.453125" style="2" customWidth="1"/>
    <col min="9237" max="9237" width="11" style="2" customWidth="1"/>
    <col min="9238" max="9238" width="13.1796875" style="2" customWidth="1"/>
    <col min="9239" max="9239" width="9.7265625" style="2" customWidth="1"/>
    <col min="9240" max="9240" width="12.81640625" style="2" customWidth="1"/>
    <col min="9241" max="9241" width="10.54296875" style="2" customWidth="1"/>
    <col min="9242" max="9242" width="13.26953125" style="2" customWidth="1"/>
    <col min="9243" max="9246" width="9.1796875" style="2"/>
    <col min="9247" max="9247" width="27" style="2" customWidth="1"/>
    <col min="9248" max="9248" width="10.1796875" style="2" customWidth="1"/>
    <col min="9249" max="9474" width="9.1796875" style="2"/>
    <col min="9475" max="9475" width="75" style="2" customWidth="1"/>
    <col min="9476" max="9476" width="37.453125" style="2" customWidth="1"/>
    <col min="9477" max="9477" width="14.81640625" style="2" customWidth="1"/>
    <col min="9478" max="9478" width="16.453125" style="2" customWidth="1"/>
    <col min="9479" max="9479" width="14.7265625" style="2" customWidth="1"/>
    <col min="9480" max="9480" width="14.81640625" style="2" customWidth="1"/>
    <col min="9481" max="9481" width="14.7265625" style="2" customWidth="1"/>
    <col min="9482" max="9482" width="13.26953125" style="2" customWidth="1"/>
    <col min="9483" max="9485" width="12.54296875" style="2" customWidth="1"/>
    <col min="9486" max="9486" width="20" style="2" customWidth="1"/>
    <col min="9487" max="9487" width="13.26953125" style="2" customWidth="1"/>
    <col min="9488" max="9489" width="12.453125" style="2" customWidth="1"/>
    <col min="9490" max="9490" width="12.54296875" style="2" customWidth="1"/>
    <col min="9491" max="9491" width="12.1796875" style="2" customWidth="1"/>
    <col min="9492" max="9492" width="12.453125" style="2" customWidth="1"/>
    <col min="9493" max="9493" width="11" style="2" customWidth="1"/>
    <col min="9494" max="9494" width="13.1796875" style="2" customWidth="1"/>
    <col min="9495" max="9495" width="9.7265625" style="2" customWidth="1"/>
    <col min="9496" max="9496" width="12.81640625" style="2" customWidth="1"/>
    <col min="9497" max="9497" width="10.54296875" style="2" customWidth="1"/>
    <col min="9498" max="9498" width="13.26953125" style="2" customWidth="1"/>
    <col min="9499" max="9502" width="9.1796875" style="2"/>
    <col min="9503" max="9503" width="27" style="2" customWidth="1"/>
    <col min="9504" max="9504" width="10.1796875" style="2" customWidth="1"/>
    <col min="9505" max="9730" width="9.1796875" style="2"/>
    <col min="9731" max="9731" width="75" style="2" customWidth="1"/>
    <col min="9732" max="9732" width="37.453125" style="2" customWidth="1"/>
    <col min="9733" max="9733" width="14.81640625" style="2" customWidth="1"/>
    <col min="9734" max="9734" width="16.453125" style="2" customWidth="1"/>
    <col min="9735" max="9735" width="14.7265625" style="2" customWidth="1"/>
    <col min="9736" max="9736" width="14.81640625" style="2" customWidth="1"/>
    <col min="9737" max="9737" width="14.7265625" style="2" customWidth="1"/>
    <col min="9738" max="9738" width="13.26953125" style="2" customWidth="1"/>
    <col min="9739" max="9741" width="12.54296875" style="2" customWidth="1"/>
    <col min="9742" max="9742" width="20" style="2" customWidth="1"/>
    <col min="9743" max="9743" width="13.26953125" style="2" customWidth="1"/>
    <col min="9744" max="9745" width="12.453125" style="2" customWidth="1"/>
    <col min="9746" max="9746" width="12.54296875" style="2" customWidth="1"/>
    <col min="9747" max="9747" width="12.1796875" style="2" customWidth="1"/>
    <col min="9748" max="9748" width="12.453125" style="2" customWidth="1"/>
    <col min="9749" max="9749" width="11" style="2" customWidth="1"/>
    <col min="9750" max="9750" width="13.1796875" style="2" customWidth="1"/>
    <col min="9751" max="9751" width="9.7265625" style="2" customWidth="1"/>
    <col min="9752" max="9752" width="12.81640625" style="2" customWidth="1"/>
    <col min="9753" max="9753" width="10.54296875" style="2" customWidth="1"/>
    <col min="9754" max="9754" width="13.26953125" style="2" customWidth="1"/>
    <col min="9755" max="9758" width="9.1796875" style="2"/>
    <col min="9759" max="9759" width="27" style="2" customWidth="1"/>
    <col min="9760" max="9760" width="10.1796875" style="2" customWidth="1"/>
    <col min="9761" max="9986" width="9.1796875" style="2"/>
    <col min="9987" max="9987" width="75" style="2" customWidth="1"/>
    <col min="9988" max="9988" width="37.453125" style="2" customWidth="1"/>
    <col min="9989" max="9989" width="14.81640625" style="2" customWidth="1"/>
    <col min="9990" max="9990" width="16.453125" style="2" customWidth="1"/>
    <col min="9991" max="9991" width="14.7265625" style="2" customWidth="1"/>
    <col min="9992" max="9992" width="14.81640625" style="2" customWidth="1"/>
    <col min="9993" max="9993" width="14.7265625" style="2" customWidth="1"/>
    <col min="9994" max="9994" width="13.26953125" style="2" customWidth="1"/>
    <col min="9995" max="9997" width="12.54296875" style="2" customWidth="1"/>
    <col min="9998" max="9998" width="20" style="2" customWidth="1"/>
    <col min="9999" max="9999" width="13.26953125" style="2" customWidth="1"/>
    <col min="10000" max="10001" width="12.453125" style="2" customWidth="1"/>
    <col min="10002" max="10002" width="12.54296875" style="2" customWidth="1"/>
    <col min="10003" max="10003" width="12.1796875" style="2" customWidth="1"/>
    <col min="10004" max="10004" width="12.453125" style="2" customWidth="1"/>
    <col min="10005" max="10005" width="11" style="2" customWidth="1"/>
    <col min="10006" max="10006" width="13.1796875" style="2" customWidth="1"/>
    <col min="10007" max="10007" width="9.7265625" style="2" customWidth="1"/>
    <col min="10008" max="10008" width="12.81640625" style="2" customWidth="1"/>
    <col min="10009" max="10009" width="10.54296875" style="2" customWidth="1"/>
    <col min="10010" max="10010" width="13.26953125" style="2" customWidth="1"/>
    <col min="10011" max="10014" width="9.1796875" style="2"/>
    <col min="10015" max="10015" width="27" style="2" customWidth="1"/>
    <col min="10016" max="10016" width="10.1796875" style="2" customWidth="1"/>
    <col min="10017" max="10242" width="9.1796875" style="2"/>
    <col min="10243" max="10243" width="75" style="2" customWidth="1"/>
    <col min="10244" max="10244" width="37.453125" style="2" customWidth="1"/>
    <col min="10245" max="10245" width="14.81640625" style="2" customWidth="1"/>
    <col min="10246" max="10246" width="16.453125" style="2" customWidth="1"/>
    <col min="10247" max="10247" width="14.7265625" style="2" customWidth="1"/>
    <col min="10248" max="10248" width="14.81640625" style="2" customWidth="1"/>
    <col min="10249" max="10249" width="14.7265625" style="2" customWidth="1"/>
    <col min="10250" max="10250" width="13.26953125" style="2" customWidth="1"/>
    <col min="10251" max="10253" width="12.54296875" style="2" customWidth="1"/>
    <col min="10254" max="10254" width="20" style="2" customWidth="1"/>
    <col min="10255" max="10255" width="13.26953125" style="2" customWidth="1"/>
    <col min="10256" max="10257" width="12.453125" style="2" customWidth="1"/>
    <col min="10258" max="10258" width="12.54296875" style="2" customWidth="1"/>
    <col min="10259" max="10259" width="12.1796875" style="2" customWidth="1"/>
    <col min="10260" max="10260" width="12.453125" style="2" customWidth="1"/>
    <col min="10261" max="10261" width="11" style="2" customWidth="1"/>
    <col min="10262" max="10262" width="13.1796875" style="2" customWidth="1"/>
    <col min="10263" max="10263" width="9.7265625" style="2" customWidth="1"/>
    <col min="10264" max="10264" width="12.81640625" style="2" customWidth="1"/>
    <col min="10265" max="10265" width="10.54296875" style="2" customWidth="1"/>
    <col min="10266" max="10266" width="13.26953125" style="2" customWidth="1"/>
    <col min="10267" max="10270" width="9.1796875" style="2"/>
    <col min="10271" max="10271" width="27" style="2" customWidth="1"/>
    <col min="10272" max="10272" width="10.1796875" style="2" customWidth="1"/>
    <col min="10273" max="10498" width="9.1796875" style="2"/>
    <col min="10499" max="10499" width="75" style="2" customWidth="1"/>
    <col min="10500" max="10500" width="37.453125" style="2" customWidth="1"/>
    <col min="10501" max="10501" width="14.81640625" style="2" customWidth="1"/>
    <col min="10502" max="10502" width="16.453125" style="2" customWidth="1"/>
    <col min="10503" max="10503" width="14.7265625" style="2" customWidth="1"/>
    <col min="10504" max="10504" width="14.81640625" style="2" customWidth="1"/>
    <col min="10505" max="10505" width="14.7265625" style="2" customWidth="1"/>
    <col min="10506" max="10506" width="13.26953125" style="2" customWidth="1"/>
    <col min="10507" max="10509" width="12.54296875" style="2" customWidth="1"/>
    <col min="10510" max="10510" width="20" style="2" customWidth="1"/>
    <col min="10511" max="10511" width="13.26953125" style="2" customWidth="1"/>
    <col min="10512" max="10513" width="12.453125" style="2" customWidth="1"/>
    <col min="10514" max="10514" width="12.54296875" style="2" customWidth="1"/>
    <col min="10515" max="10515" width="12.1796875" style="2" customWidth="1"/>
    <col min="10516" max="10516" width="12.453125" style="2" customWidth="1"/>
    <col min="10517" max="10517" width="11" style="2" customWidth="1"/>
    <col min="10518" max="10518" width="13.1796875" style="2" customWidth="1"/>
    <col min="10519" max="10519" width="9.7265625" style="2" customWidth="1"/>
    <col min="10520" max="10520" width="12.81640625" style="2" customWidth="1"/>
    <col min="10521" max="10521" width="10.54296875" style="2" customWidth="1"/>
    <col min="10522" max="10522" width="13.26953125" style="2" customWidth="1"/>
    <col min="10523" max="10526" width="9.1796875" style="2"/>
    <col min="10527" max="10527" width="27" style="2" customWidth="1"/>
    <col min="10528" max="10528" width="10.1796875" style="2" customWidth="1"/>
    <col min="10529" max="10754" width="9.1796875" style="2"/>
    <col min="10755" max="10755" width="75" style="2" customWidth="1"/>
    <col min="10756" max="10756" width="37.453125" style="2" customWidth="1"/>
    <col min="10757" max="10757" width="14.81640625" style="2" customWidth="1"/>
    <col min="10758" max="10758" width="16.453125" style="2" customWidth="1"/>
    <col min="10759" max="10759" width="14.7265625" style="2" customWidth="1"/>
    <col min="10760" max="10760" width="14.81640625" style="2" customWidth="1"/>
    <col min="10761" max="10761" width="14.7265625" style="2" customWidth="1"/>
    <col min="10762" max="10762" width="13.26953125" style="2" customWidth="1"/>
    <col min="10763" max="10765" width="12.54296875" style="2" customWidth="1"/>
    <col min="10766" max="10766" width="20" style="2" customWidth="1"/>
    <col min="10767" max="10767" width="13.26953125" style="2" customWidth="1"/>
    <col min="10768" max="10769" width="12.453125" style="2" customWidth="1"/>
    <col min="10770" max="10770" width="12.54296875" style="2" customWidth="1"/>
    <col min="10771" max="10771" width="12.1796875" style="2" customWidth="1"/>
    <col min="10772" max="10772" width="12.453125" style="2" customWidth="1"/>
    <col min="10773" max="10773" width="11" style="2" customWidth="1"/>
    <col min="10774" max="10774" width="13.1796875" style="2" customWidth="1"/>
    <col min="10775" max="10775" width="9.7265625" style="2" customWidth="1"/>
    <col min="10776" max="10776" width="12.81640625" style="2" customWidth="1"/>
    <col min="10777" max="10777" width="10.54296875" style="2" customWidth="1"/>
    <col min="10778" max="10778" width="13.26953125" style="2" customWidth="1"/>
    <col min="10779" max="10782" width="9.1796875" style="2"/>
    <col min="10783" max="10783" width="27" style="2" customWidth="1"/>
    <col min="10784" max="10784" width="10.1796875" style="2" customWidth="1"/>
    <col min="10785" max="11010" width="9.1796875" style="2"/>
    <col min="11011" max="11011" width="75" style="2" customWidth="1"/>
    <col min="11012" max="11012" width="37.453125" style="2" customWidth="1"/>
    <col min="11013" max="11013" width="14.81640625" style="2" customWidth="1"/>
    <col min="11014" max="11014" width="16.453125" style="2" customWidth="1"/>
    <col min="11015" max="11015" width="14.7265625" style="2" customWidth="1"/>
    <col min="11016" max="11016" width="14.81640625" style="2" customWidth="1"/>
    <col min="11017" max="11017" width="14.7265625" style="2" customWidth="1"/>
    <col min="11018" max="11018" width="13.26953125" style="2" customWidth="1"/>
    <col min="11019" max="11021" width="12.54296875" style="2" customWidth="1"/>
    <col min="11022" max="11022" width="20" style="2" customWidth="1"/>
    <col min="11023" max="11023" width="13.26953125" style="2" customWidth="1"/>
    <col min="11024" max="11025" width="12.453125" style="2" customWidth="1"/>
    <col min="11026" max="11026" width="12.54296875" style="2" customWidth="1"/>
    <col min="11027" max="11027" width="12.1796875" style="2" customWidth="1"/>
    <col min="11028" max="11028" width="12.453125" style="2" customWidth="1"/>
    <col min="11029" max="11029" width="11" style="2" customWidth="1"/>
    <col min="11030" max="11030" width="13.1796875" style="2" customWidth="1"/>
    <col min="11031" max="11031" width="9.7265625" style="2" customWidth="1"/>
    <col min="11032" max="11032" width="12.81640625" style="2" customWidth="1"/>
    <col min="11033" max="11033" width="10.54296875" style="2" customWidth="1"/>
    <col min="11034" max="11034" width="13.26953125" style="2" customWidth="1"/>
    <col min="11035" max="11038" width="9.1796875" style="2"/>
    <col min="11039" max="11039" width="27" style="2" customWidth="1"/>
    <col min="11040" max="11040" width="10.1796875" style="2" customWidth="1"/>
    <col min="11041" max="11266" width="9.1796875" style="2"/>
    <col min="11267" max="11267" width="75" style="2" customWidth="1"/>
    <col min="11268" max="11268" width="37.453125" style="2" customWidth="1"/>
    <col min="11269" max="11269" width="14.81640625" style="2" customWidth="1"/>
    <col min="11270" max="11270" width="16.453125" style="2" customWidth="1"/>
    <col min="11271" max="11271" width="14.7265625" style="2" customWidth="1"/>
    <col min="11272" max="11272" width="14.81640625" style="2" customWidth="1"/>
    <col min="11273" max="11273" width="14.7265625" style="2" customWidth="1"/>
    <col min="11274" max="11274" width="13.26953125" style="2" customWidth="1"/>
    <col min="11275" max="11277" width="12.54296875" style="2" customWidth="1"/>
    <col min="11278" max="11278" width="20" style="2" customWidth="1"/>
    <col min="11279" max="11279" width="13.26953125" style="2" customWidth="1"/>
    <col min="11280" max="11281" width="12.453125" style="2" customWidth="1"/>
    <col min="11282" max="11282" width="12.54296875" style="2" customWidth="1"/>
    <col min="11283" max="11283" width="12.1796875" style="2" customWidth="1"/>
    <col min="11284" max="11284" width="12.453125" style="2" customWidth="1"/>
    <col min="11285" max="11285" width="11" style="2" customWidth="1"/>
    <col min="11286" max="11286" width="13.1796875" style="2" customWidth="1"/>
    <col min="11287" max="11287" width="9.7265625" style="2" customWidth="1"/>
    <col min="11288" max="11288" width="12.81640625" style="2" customWidth="1"/>
    <col min="11289" max="11289" width="10.54296875" style="2" customWidth="1"/>
    <col min="11290" max="11290" width="13.26953125" style="2" customWidth="1"/>
    <col min="11291" max="11294" width="9.1796875" style="2"/>
    <col min="11295" max="11295" width="27" style="2" customWidth="1"/>
    <col min="11296" max="11296" width="10.1796875" style="2" customWidth="1"/>
    <col min="11297" max="11522" width="9.1796875" style="2"/>
    <col min="11523" max="11523" width="75" style="2" customWidth="1"/>
    <col min="11524" max="11524" width="37.453125" style="2" customWidth="1"/>
    <col min="11525" max="11525" width="14.81640625" style="2" customWidth="1"/>
    <col min="11526" max="11526" width="16.453125" style="2" customWidth="1"/>
    <col min="11527" max="11527" width="14.7265625" style="2" customWidth="1"/>
    <col min="11528" max="11528" width="14.81640625" style="2" customWidth="1"/>
    <col min="11529" max="11529" width="14.7265625" style="2" customWidth="1"/>
    <col min="11530" max="11530" width="13.26953125" style="2" customWidth="1"/>
    <col min="11531" max="11533" width="12.54296875" style="2" customWidth="1"/>
    <col min="11534" max="11534" width="20" style="2" customWidth="1"/>
    <col min="11535" max="11535" width="13.26953125" style="2" customWidth="1"/>
    <col min="11536" max="11537" width="12.453125" style="2" customWidth="1"/>
    <col min="11538" max="11538" width="12.54296875" style="2" customWidth="1"/>
    <col min="11539" max="11539" width="12.1796875" style="2" customWidth="1"/>
    <col min="11540" max="11540" width="12.453125" style="2" customWidth="1"/>
    <col min="11541" max="11541" width="11" style="2" customWidth="1"/>
    <col min="11542" max="11542" width="13.1796875" style="2" customWidth="1"/>
    <col min="11543" max="11543" width="9.7265625" style="2" customWidth="1"/>
    <col min="11544" max="11544" width="12.81640625" style="2" customWidth="1"/>
    <col min="11545" max="11545" width="10.54296875" style="2" customWidth="1"/>
    <col min="11546" max="11546" width="13.26953125" style="2" customWidth="1"/>
    <col min="11547" max="11550" width="9.1796875" style="2"/>
    <col min="11551" max="11551" width="27" style="2" customWidth="1"/>
    <col min="11552" max="11552" width="10.1796875" style="2" customWidth="1"/>
    <col min="11553" max="11778" width="9.1796875" style="2"/>
    <col min="11779" max="11779" width="75" style="2" customWidth="1"/>
    <col min="11780" max="11780" width="37.453125" style="2" customWidth="1"/>
    <col min="11781" max="11781" width="14.81640625" style="2" customWidth="1"/>
    <col min="11782" max="11782" width="16.453125" style="2" customWidth="1"/>
    <col min="11783" max="11783" width="14.7265625" style="2" customWidth="1"/>
    <col min="11784" max="11784" width="14.81640625" style="2" customWidth="1"/>
    <col min="11785" max="11785" width="14.7265625" style="2" customWidth="1"/>
    <col min="11786" max="11786" width="13.26953125" style="2" customWidth="1"/>
    <col min="11787" max="11789" width="12.54296875" style="2" customWidth="1"/>
    <col min="11790" max="11790" width="20" style="2" customWidth="1"/>
    <col min="11791" max="11791" width="13.26953125" style="2" customWidth="1"/>
    <col min="11792" max="11793" width="12.453125" style="2" customWidth="1"/>
    <col min="11794" max="11794" width="12.54296875" style="2" customWidth="1"/>
    <col min="11795" max="11795" width="12.1796875" style="2" customWidth="1"/>
    <col min="11796" max="11796" width="12.453125" style="2" customWidth="1"/>
    <col min="11797" max="11797" width="11" style="2" customWidth="1"/>
    <col min="11798" max="11798" width="13.1796875" style="2" customWidth="1"/>
    <col min="11799" max="11799" width="9.7265625" style="2" customWidth="1"/>
    <col min="11800" max="11800" width="12.81640625" style="2" customWidth="1"/>
    <col min="11801" max="11801" width="10.54296875" style="2" customWidth="1"/>
    <col min="11802" max="11802" width="13.26953125" style="2" customWidth="1"/>
    <col min="11803" max="11806" width="9.1796875" style="2"/>
    <col min="11807" max="11807" width="27" style="2" customWidth="1"/>
    <col min="11808" max="11808" width="10.1796875" style="2" customWidth="1"/>
    <col min="11809" max="12034" width="9.1796875" style="2"/>
    <col min="12035" max="12035" width="75" style="2" customWidth="1"/>
    <col min="12036" max="12036" width="37.453125" style="2" customWidth="1"/>
    <col min="12037" max="12037" width="14.81640625" style="2" customWidth="1"/>
    <col min="12038" max="12038" width="16.453125" style="2" customWidth="1"/>
    <col min="12039" max="12039" width="14.7265625" style="2" customWidth="1"/>
    <col min="12040" max="12040" width="14.81640625" style="2" customWidth="1"/>
    <col min="12041" max="12041" width="14.7265625" style="2" customWidth="1"/>
    <col min="12042" max="12042" width="13.26953125" style="2" customWidth="1"/>
    <col min="12043" max="12045" width="12.54296875" style="2" customWidth="1"/>
    <col min="12046" max="12046" width="20" style="2" customWidth="1"/>
    <col min="12047" max="12047" width="13.26953125" style="2" customWidth="1"/>
    <col min="12048" max="12049" width="12.453125" style="2" customWidth="1"/>
    <col min="12050" max="12050" width="12.54296875" style="2" customWidth="1"/>
    <col min="12051" max="12051" width="12.1796875" style="2" customWidth="1"/>
    <col min="12052" max="12052" width="12.453125" style="2" customWidth="1"/>
    <col min="12053" max="12053" width="11" style="2" customWidth="1"/>
    <col min="12054" max="12054" width="13.1796875" style="2" customWidth="1"/>
    <col min="12055" max="12055" width="9.7265625" style="2" customWidth="1"/>
    <col min="12056" max="12056" width="12.81640625" style="2" customWidth="1"/>
    <col min="12057" max="12057" width="10.54296875" style="2" customWidth="1"/>
    <col min="12058" max="12058" width="13.26953125" style="2" customWidth="1"/>
    <col min="12059" max="12062" width="9.1796875" style="2"/>
    <col min="12063" max="12063" width="27" style="2" customWidth="1"/>
    <col min="12064" max="12064" width="10.1796875" style="2" customWidth="1"/>
    <col min="12065" max="12290" width="9.1796875" style="2"/>
    <col min="12291" max="12291" width="75" style="2" customWidth="1"/>
    <col min="12292" max="12292" width="37.453125" style="2" customWidth="1"/>
    <col min="12293" max="12293" width="14.81640625" style="2" customWidth="1"/>
    <col min="12294" max="12294" width="16.453125" style="2" customWidth="1"/>
    <col min="12295" max="12295" width="14.7265625" style="2" customWidth="1"/>
    <col min="12296" max="12296" width="14.81640625" style="2" customWidth="1"/>
    <col min="12297" max="12297" width="14.7265625" style="2" customWidth="1"/>
    <col min="12298" max="12298" width="13.26953125" style="2" customWidth="1"/>
    <col min="12299" max="12301" width="12.54296875" style="2" customWidth="1"/>
    <col min="12302" max="12302" width="20" style="2" customWidth="1"/>
    <col min="12303" max="12303" width="13.26953125" style="2" customWidth="1"/>
    <col min="12304" max="12305" width="12.453125" style="2" customWidth="1"/>
    <col min="12306" max="12306" width="12.54296875" style="2" customWidth="1"/>
    <col min="12307" max="12307" width="12.1796875" style="2" customWidth="1"/>
    <col min="12308" max="12308" width="12.453125" style="2" customWidth="1"/>
    <col min="12309" max="12309" width="11" style="2" customWidth="1"/>
    <col min="12310" max="12310" width="13.1796875" style="2" customWidth="1"/>
    <col min="12311" max="12311" width="9.7265625" style="2" customWidth="1"/>
    <col min="12312" max="12312" width="12.81640625" style="2" customWidth="1"/>
    <col min="12313" max="12313" width="10.54296875" style="2" customWidth="1"/>
    <col min="12314" max="12314" width="13.26953125" style="2" customWidth="1"/>
    <col min="12315" max="12318" width="9.1796875" style="2"/>
    <col min="12319" max="12319" width="27" style="2" customWidth="1"/>
    <col min="12320" max="12320" width="10.1796875" style="2" customWidth="1"/>
    <col min="12321" max="12546" width="9.1796875" style="2"/>
    <col min="12547" max="12547" width="75" style="2" customWidth="1"/>
    <col min="12548" max="12548" width="37.453125" style="2" customWidth="1"/>
    <col min="12549" max="12549" width="14.81640625" style="2" customWidth="1"/>
    <col min="12550" max="12550" width="16.453125" style="2" customWidth="1"/>
    <col min="12551" max="12551" width="14.7265625" style="2" customWidth="1"/>
    <col min="12552" max="12552" width="14.81640625" style="2" customWidth="1"/>
    <col min="12553" max="12553" width="14.7265625" style="2" customWidth="1"/>
    <col min="12554" max="12554" width="13.26953125" style="2" customWidth="1"/>
    <col min="12555" max="12557" width="12.54296875" style="2" customWidth="1"/>
    <col min="12558" max="12558" width="20" style="2" customWidth="1"/>
    <col min="12559" max="12559" width="13.26953125" style="2" customWidth="1"/>
    <col min="12560" max="12561" width="12.453125" style="2" customWidth="1"/>
    <col min="12562" max="12562" width="12.54296875" style="2" customWidth="1"/>
    <col min="12563" max="12563" width="12.1796875" style="2" customWidth="1"/>
    <col min="12564" max="12564" width="12.453125" style="2" customWidth="1"/>
    <col min="12565" max="12565" width="11" style="2" customWidth="1"/>
    <col min="12566" max="12566" width="13.1796875" style="2" customWidth="1"/>
    <col min="12567" max="12567" width="9.7265625" style="2" customWidth="1"/>
    <col min="12568" max="12568" width="12.81640625" style="2" customWidth="1"/>
    <col min="12569" max="12569" width="10.54296875" style="2" customWidth="1"/>
    <col min="12570" max="12570" width="13.26953125" style="2" customWidth="1"/>
    <col min="12571" max="12574" width="9.1796875" style="2"/>
    <col min="12575" max="12575" width="27" style="2" customWidth="1"/>
    <col min="12576" max="12576" width="10.1796875" style="2" customWidth="1"/>
    <col min="12577" max="12802" width="9.1796875" style="2"/>
    <col min="12803" max="12803" width="75" style="2" customWidth="1"/>
    <col min="12804" max="12804" width="37.453125" style="2" customWidth="1"/>
    <col min="12805" max="12805" width="14.81640625" style="2" customWidth="1"/>
    <col min="12806" max="12806" width="16.453125" style="2" customWidth="1"/>
    <col min="12807" max="12807" width="14.7265625" style="2" customWidth="1"/>
    <col min="12808" max="12808" width="14.81640625" style="2" customWidth="1"/>
    <col min="12809" max="12809" width="14.7265625" style="2" customWidth="1"/>
    <col min="12810" max="12810" width="13.26953125" style="2" customWidth="1"/>
    <col min="12811" max="12813" width="12.54296875" style="2" customWidth="1"/>
    <col min="12814" max="12814" width="20" style="2" customWidth="1"/>
    <col min="12815" max="12815" width="13.26953125" style="2" customWidth="1"/>
    <col min="12816" max="12817" width="12.453125" style="2" customWidth="1"/>
    <col min="12818" max="12818" width="12.54296875" style="2" customWidth="1"/>
    <col min="12819" max="12819" width="12.1796875" style="2" customWidth="1"/>
    <col min="12820" max="12820" width="12.453125" style="2" customWidth="1"/>
    <col min="12821" max="12821" width="11" style="2" customWidth="1"/>
    <col min="12822" max="12822" width="13.1796875" style="2" customWidth="1"/>
    <col min="12823" max="12823" width="9.7265625" style="2" customWidth="1"/>
    <col min="12824" max="12824" width="12.81640625" style="2" customWidth="1"/>
    <col min="12825" max="12825" width="10.54296875" style="2" customWidth="1"/>
    <col min="12826" max="12826" width="13.26953125" style="2" customWidth="1"/>
    <col min="12827" max="12830" width="9.1796875" style="2"/>
    <col min="12831" max="12831" width="27" style="2" customWidth="1"/>
    <col min="12832" max="12832" width="10.1796875" style="2" customWidth="1"/>
    <col min="12833" max="13058" width="9.1796875" style="2"/>
    <col min="13059" max="13059" width="75" style="2" customWidth="1"/>
    <col min="13060" max="13060" width="37.453125" style="2" customWidth="1"/>
    <col min="13061" max="13061" width="14.81640625" style="2" customWidth="1"/>
    <col min="13062" max="13062" width="16.453125" style="2" customWidth="1"/>
    <col min="13063" max="13063" width="14.7265625" style="2" customWidth="1"/>
    <col min="13064" max="13064" width="14.81640625" style="2" customWidth="1"/>
    <col min="13065" max="13065" width="14.7265625" style="2" customWidth="1"/>
    <col min="13066" max="13066" width="13.26953125" style="2" customWidth="1"/>
    <col min="13067" max="13069" width="12.54296875" style="2" customWidth="1"/>
    <col min="13070" max="13070" width="20" style="2" customWidth="1"/>
    <col min="13071" max="13071" width="13.26953125" style="2" customWidth="1"/>
    <col min="13072" max="13073" width="12.453125" style="2" customWidth="1"/>
    <col min="13074" max="13074" width="12.54296875" style="2" customWidth="1"/>
    <col min="13075" max="13075" width="12.1796875" style="2" customWidth="1"/>
    <col min="13076" max="13076" width="12.453125" style="2" customWidth="1"/>
    <col min="13077" max="13077" width="11" style="2" customWidth="1"/>
    <col min="13078" max="13078" width="13.1796875" style="2" customWidth="1"/>
    <col min="13079" max="13079" width="9.7265625" style="2" customWidth="1"/>
    <col min="13080" max="13080" width="12.81640625" style="2" customWidth="1"/>
    <col min="13081" max="13081" width="10.54296875" style="2" customWidth="1"/>
    <col min="13082" max="13082" width="13.26953125" style="2" customWidth="1"/>
    <col min="13083" max="13086" width="9.1796875" style="2"/>
    <col min="13087" max="13087" width="27" style="2" customWidth="1"/>
    <col min="13088" max="13088" width="10.1796875" style="2" customWidth="1"/>
    <col min="13089" max="13314" width="9.1796875" style="2"/>
    <col min="13315" max="13315" width="75" style="2" customWidth="1"/>
    <col min="13316" max="13316" width="37.453125" style="2" customWidth="1"/>
    <col min="13317" max="13317" width="14.81640625" style="2" customWidth="1"/>
    <col min="13318" max="13318" width="16.453125" style="2" customWidth="1"/>
    <col min="13319" max="13319" width="14.7265625" style="2" customWidth="1"/>
    <col min="13320" max="13320" width="14.81640625" style="2" customWidth="1"/>
    <col min="13321" max="13321" width="14.7265625" style="2" customWidth="1"/>
    <col min="13322" max="13322" width="13.26953125" style="2" customWidth="1"/>
    <col min="13323" max="13325" width="12.54296875" style="2" customWidth="1"/>
    <col min="13326" max="13326" width="20" style="2" customWidth="1"/>
    <col min="13327" max="13327" width="13.26953125" style="2" customWidth="1"/>
    <col min="13328" max="13329" width="12.453125" style="2" customWidth="1"/>
    <col min="13330" max="13330" width="12.54296875" style="2" customWidth="1"/>
    <col min="13331" max="13331" width="12.1796875" style="2" customWidth="1"/>
    <col min="13332" max="13332" width="12.453125" style="2" customWidth="1"/>
    <col min="13333" max="13333" width="11" style="2" customWidth="1"/>
    <col min="13334" max="13334" width="13.1796875" style="2" customWidth="1"/>
    <col min="13335" max="13335" width="9.7265625" style="2" customWidth="1"/>
    <col min="13336" max="13336" width="12.81640625" style="2" customWidth="1"/>
    <col min="13337" max="13337" width="10.54296875" style="2" customWidth="1"/>
    <col min="13338" max="13338" width="13.26953125" style="2" customWidth="1"/>
    <col min="13339" max="13342" width="9.1796875" style="2"/>
    <col min="13343" max="13343" width="27" style="2" customWidth="1"/>
    <col min="13344" max="13344" width="10.1796875" style="2" customWidth="1"/>
    <col min="13345" max="13570" width="9.1796875" style="2"/>
    <col min="13571" max="13571" width="75" style="2" customWidth="1"/>
    <col min="13572" max="13572" width="37.453125" style="2" customWidth="1"/>
    <col min="13573" max="13573" width="14.81640625" style="2" customWidth="1"/>
    <col min="13574" max="13574" width="16.453125" style="2" customWidth="1"/>
    <col min="13575" max="13575" width="14.7265625" style="2" customWidth="1"/>
    <col min="13576" max="13576" width="14.81640625" style="2" customWidth="1"/>
    <col min="13577" max="13577" width="14.7265625" style="2" customWidth="1"/>
    <col min="13578" max="13578" width="13.26953125" style="2" customWidth="1"/>
    <col min="13579" max="13581" width="12.54296875" style="2" customWidth="1"/>
    <col min="13582" max="13582" width="20" style="2" customWidth="1"/>
    <col min="13583" max="13583" width="13.26953125" style="2" customWidth="1"/>
    <col min="13584" max="13585" width="12.453125" style="2" customWidth="1"/>
    <col min="13586" max="13586" width="12.54296875" style="2" customWidth="1"/>
    <col min="13587" max="13587" width="12.1796875" style="2" customWidth="1"/>
    <col min="13588" max="13588" width="12.453125" style="2" customWidth="1"/>
    <col min="13589" max="13589" width="11" style="2" customWidth="1"/>
    <col min="13590" max="13590" width="13.1796875" style="2" customWidth="1"/>
    <col min="13591" max="13591" width="9.7265625" style="2" customWidth="1"/>
    <col min="13592" max="13592" width="12.81640625" style="2" customWidth="1"/>
    <col min="13593" max="13593" width="10.54296875" style="2" customWidth="1"/>
    <col min="13594" max="13594" width="13.26953125" style="2" customWidth="1"/>
    <col min="13595" max="13598" width="9.1796875" style="2"/>
    <col min="13599" max="13599" width="27" style="2" customWidth="1"/>
    <col min="13600" max="13600" width="10.1796875" style="2" customWidth="1"/>
    <col min="13601" max="13826" width="9.1796875" style="2"/>
    <col min="13827" max="13827" width="75" style="2" customWidth="1"/>
    <col min="13828" max="13828" width="37.453125" style="2" customWidth="1"/>
    <col min="13829" max="13829" width="14.81640625" style="2" customWidth="1"/>
    <col min="13830" max="13830" width="16.453125" style="2" customWidth="1"/>
    <col min="13831" max="13831" width="14.7265625" style="2" customWidth="1"/>
    <col min="13832" max="13832" width="14.81640625" style="2" customWidth="1"/>
    <col min="13833" max="13833" width="14.7265625" style="2" customWidth="1"/>
    <col min="13834" max="13834" width="13.26953125" style="2" customWidth="1"/>
    <col min="13835" max="13837" width="12.54296875" style="2" customWidth="1"/>
    <col min="13838" max="13838" width="20" style="2" customWidth="1"/>
    <col min="13839" max="13839" width="13.26953125" style="2" customWidth="1"/>
    <col min="13840" max="13841" width="12.453125" style="2" customWidth="1"/>
    <col min="13842" max="13842" width="12.54296875" style="2" customWidth="1"/>
    <col min="13843" max="13843" width="12.1796875" style="2" customWidth="1"/>
    <col min="13844" max="13844" width="12.453125" style="2" customWidth="1"/>
    <col min="13845" max="13845" width="11" style="2" customWidth="1"/>
    <col min="13846" max="13846" width="13.1796875" style="2" customWidth="1"/>
    <col min="13847" max="13847" width="9.7265625" style="2" customWidth="1"/>
    <col min="13848" max="13848" width="12.81640625" style="2" customWidth="1"/>
    <col min="13849" max="13849" width="10.54296875" style="2" customWidth="1"/>
    <col min="13850" max="13850" width="13.26953125" style="2" customWidth="1"/>
    <col min="13851" max="13854" width="9.1796875" style="2"/>
    <col min="13855" max="13855" width="27" style="2" customWidth="1"/>
    <col min="13856" max="13856" width="10.1796875" style="2" customWidth="1"/>
    <col min="13857" max="14082" width="9.1796875" style="2"/>
    <col min="14083" max="14083" width="75" style="2" customWidth="1"/>
    <col min="14084" max="14084" width="37.453125" style="2" customWidth="1"/>
    <col min="14085" max="14085" width="14.81640625" style="2" customWidth="1"/>
    <col min="14086" max="14086" width="16.453125" style="2" customWidth="1"/>
    <col min="14087" max="14087" width="14.7265625" style="2" customWidth="1"/>
    <col min="14088" max="14088" width="14.81640625" style="2" customWidth="1"/>
    <col min="14089" max="14089" width="14.7265625" style="2" customWidth="1"/>
    <col min="14090" max="14090" width="13.26953125" style="2" customWidth="1"/>
    <col min="14091" max="14093" width="12.54296875" style="2" customWidth="1"/>
    <col min="14094" max="14094" width="20" style="2" customWidth="1"/>
    <col min="14095" max="14095" width="13.26953125" style="2" customWidth="1"/>
    <col min="14096" max="14097" width="12.453125" style="2" customWidth="1"/>
    <col min="14098" max="14098" width="12.54296875" style="2" customWidth="1"/>
    <col min="14099" max="14099" width="12.1796875" style="2" customWidth="1"/>
    <col min="14100" max="14100" width="12.453125" style="2" customWidth="1"/>
    <col min="14101" max="14101" width="11" style="2" customWidth="1"/>
    <col min="14102" max="14102" width="13.1796875" style="2" customWidth="1"/>
    <col min="14103" max="14103" width="9.7265625" style="2" customWidth="1"/>
    <col min="14104" max="14104" width="12.81640625" style="2" customWidth="1"/>
    <col min="14105" max="14105" width="10.54296875" style="2" customWidth="1"/>
    <col min="14106" max="14106" width="13.26953125" style="2" customWidth="1"/>
    <col min="14107" max="14110" width="9.1796875" style="2"/>
    <col min="14111" max="14111" width="27" style="2" customWidth="1"/>
    <col min="14112" max="14112" width="10.1796875" style="2" customWidth="1"/>
    <col min="14113" max="14338" width="9.1796875" style="2"/>
    <col min="14339" max="14339" width="75" style="2" customWidth="1"/>
    <col min="14340" max="14340" width="37.453125" style="2" customWidth="1"/>
    <col min="14341" max="14341" width="14.81640625" style="2" customWidth="1"/>
    <col min="14342" max="14342" width="16.453125" style="2" customWidth="1"/>
    <col min="14343" max="14343" width="14.7265625" style="2" customWidth="1"/>
    <col min="14344" max="14344" width="14.81640625" style="2" customWidth="1"/>
    <col min="14345" max="14345" width="14.7265625" style="2" customWidth="1"/>
    <col min="14346" max="14346" width="13.26953125" style="2" customWidth="1"/>
    <col min="14347" max="14349" width="12.54296875" style="2" customWidth="1"/>
    <col min="14350" max="14350" width="20" style="2" customWidth="1"/>
    <col min="14351" max="14351" width="13.26953125" style="2" customWidth="1"/>
    <col min="14352" max="14353" width="12.453125" style="2" customWidth="1"/>
    <col min="14354" max="14354" width="12.54296875" style="2" customWidth="1"/>
    <col min="14355" max="14355" width="12.1796875" style="2" customWidth="1"/>
    <col min="14356" max="14356" width="12.453125" style="2" customWidth="1"/>
    <col min="14357" max="14357" width="11" style="2" customWidth="1"/>
    <col min="14358" max="14358" width="13.1796875" style="2" customWidth="1"/>
    <col min="14359" max="14359" width="9.7265625" style="2" customWidth="1"/>
    <col min="14360" max="14360" width="12.81640625" style="2" customWidth="1"/>
    <col min="14361" max="14361" width="10.54296875" style="2" customWidth="1"/>
    <col min="14362" max="14362" width="13.26953125" style="2" customWidth="1"/>
    <col min="14363" max="14366" width="9.1796875" style="2"/>
    <col min="14367" max="14367" width="27" style="2" customWidth="1"/>
    <col min="14368" max="14368" width="10.1796875" style="2" customWidth="1"/>
    <col min="14369" max="14594" width="9.1796875" style="2"/>
    <col min="14595" max="14595" width="75" style="2" customWidth="1"/>
    <col min="14596" max="14596" width="37.453125" style="2" customWidth="1"/>
    <col min="14597" max="14597" width="14.81640625" style="2" customWidth="1"/>
    <col min="14598" max="14598" width="16.453125" style="2" customWidth="1"/>
    <col min="14599" max="14599" width="14.7265625" style="2" customWidth="1"/>
    <col min="14600" max="14600" width="14.81640625" style="2" customWidth="1"/>
    <col min="14601" max="14601" width="14.7265625" style="2" customWidth="1"/>
    <col min="14602" max="14602" width="13.26953125" style="2" customWidth="1"/>
    <col min="14603" max="14605" width="12.54296875" style="2" customWidth="1"/>
    <col min="14606" max="14606" width="20" style="2" customWidth="1"/>
    <col min="14607" max="14607" width="13.26953125" style="2" customWidth="1"/>
    <col min="14608" max="14609" width="12.453125" style="2" customWidth="1"/>
    <col min="14610" max="14610" width="12.54296875" style="2" customWidth="1"/>
    <col min="14611" max="14611" width="12.1796875" style="2" customWidth="1"/>
    <col min="14612" max="14612" width="12.453125" style="2" customWidth="1"/>
    <col min="14613" max="14613" width="11" style="2" customWidth="1"/>
    <col min="14614" max="14614" width="13.1796875" style="2" customWidth="1"/>
    <col min="14615" max="14615" width="9.7265625" style="2" customWidth="1"/>
    <col min="14616" max="14616" width="12.81640625" style="2" customWidth="1"/>
    <col min="14617" max="14617" width="10.54296875" style="2" customWidth="1"/>
    <col min="14618" max="14618" width="13.26953125" style="2" customWidth="1"/>
    <col min="14619" max="14622" width="9.1796875" style="2"/>
    <col min="14623" max="14623" width="27" style="2" customWidth="1"/>
    <col min="14624" max="14624" width="10.1796875" style="2" customWidth="1"/>
    <col min="14625" max="14850" width="9.1796875" style="2"/>
    <col min="14851" max="14851" width="75" style="2" customWidth="1"/>
    <col min="14852" max="14852" width="37.453125" style="2" customWidth="1"/>
    <col min="14853" max="14853" width="14.81640625" style="2" customWidth="1"/>
    <col min="14854" max="14854" width="16.453125" style="2" customWidth="1"/>
    <col min="14855" max="14855" width="14.7265625" style="2" customWidth="1"/>
    <col min="14856" max="14856" width="14.81640625" style="2" customWidth="1"/>
    <col min="14857" max="14857" width="14.7265625" style="2" customWidth="1"/>
    <col min="14858" max="14858" width="13.26953125" style="2" customWidth="1"/>
    <col min="14859" max="14861" width="12.54296875" style="2" customWidth="1"/>
    <col min="14862" max="14862" width="20" style="2" customWidth="1"/>
    <col min="14863" max="14863" width="13.26953125" style="2" customWidth="1"/>
    <col min="14864" max="14865" width="12.453125" style="2" customWidth="1"/>
    <col min="14866" max="14866" width="12.54296875" style="2" customWidth="1"/>
    <col min="14867" max="14867" width="12.1796875" style="2" customWidth="1"/>
    <col min="14868" max="14868" width="12.453125" style="2" customWidth="1"/>
    <col min="14869" max="14869" width="11" style="2" customWidth="1"/>
    <col min="14870" max="14870" width="13.1796875" style="2" customWidth="1"/>
    <col min="14871" max="14871" width="9.7265625" style="2" customWidth="1"/>
    <col min="14872" max="14872" width="12.81640625" style="2" customWidth="1"/>
    <col min="14873" max="14873" width="10.54296875" style="2" customWidth="1"/>
    <col min="14874" max="14874" width="13.26953125" style="2" customWidth="1"/>
    <col min="14875" max="14878" width="9.1796875" style="2"/>
    <col min="14879" max="14879" width="27" style="2" customWidth="1"/>
    <col min="14880" max="14880" width="10.1796875" style="2" customWidth="1"/>
    <col min="14881" max="15106" width="9.1796875" style="2"/>
    <col min="15107" max="15107" width="75" style="2" customWidth="1"/>
    <col min="15108" max="15108" width="37.453125" style="2" customWidth="1"/>
    <col min="15109" max="15109" width="14.81640625" style="2" customWidth="1"/>
    <col min="15110" max="15110" width="16.453125" style="2" customWidth="1"/>
    <col min="15111" max="15111" width="14.7265625" style="2" customWidth="1"/>
    <col min="15112" max="15112" width="14.81640625" style="2" customWidth="1"/>
    <col min="15113" max="15113" width="14.7265625" style="2" customWidth="1"/>
    <col min="15114" max="15114" width="13.26953125" style="2" customWidth="1"/>
    <col min="15115" max="15117" width="12.54296875" style="2" customWidth="1"/>
    <col min="15118" max="15118" width="20" style="2" customWidth="1"/>
    <col min="15119" max="15119" width="13.26953125" style="2" customWidth="1"/>
    <col min="15120" max="15121" width="12.453125" style="2" customWidth="1"/>
    <col min="15122" max="15122" width="12.54296875" style="2" customWidth="1"/>
    <col min="15123" max="15123" width="12.1796875" style="2" customWidth="1"/>
    <col min="15124" max="15124" width="12.453125" style="2" customWidth="1"/>
    <col min="15125" max="15125" width="11" style="2" customWidth="1"/>
    <col min="15126" max="15126" width="13.1796875" style="2" customWidth="1"/>
    <col min="15127" max="15127" width="9.7265625" style="2" customWidth="1"/>
    <col min="15128" max="15128" width="12.81640625" style="2" customWidth="1"/>
    <col min="15129" max="15129" width="10.54296875" style="2" customWidth="1"/>
    <col min="15130" max="15130" width="13.26953125" style="2" customWidth="1"/>
    <col min="15131" max="15134" width="9.1796875" style="2"/>
    <col min="15135" max="15135" width="27" style="2" customWidth="1"/>
    <col min="15136" max="15136" width="10.1796875" style="2" customWidth="1"/>
    <col min="15137" max="15362" width="9.1796875" style="2"/>
    <col min="15363" max="15363" width="75" style="2" customWidth="1"/>
    <col min="15364" max="15364" width="37.453125" style="2" customWidth="1"/>
    <col min="15365" max="15365" width="14.81640625" style="2" customWidth="1"/>
    <col min="15366" max="15366" width="16.453125" style="2" customWidth="1"/>
    <col min="15367" max="15367" width="14.7265625" style="2" customWidth="1"/>
    <col min="15368" max="15368" width="14.81640625" style="2" customWidth="1"/>
    <col min="15369" max="15369" width="14.7265625" style="2" customWidth="1"/>
    <col min="15370" max="15370" width="13.26953125" style="2" customWidth="1"/>
    <col min="15371" max="15373" width="12.54296875" style="2" customWidth="1"/>
    <col min="15374" max="15374" width="20" style="2" customWidth="1"/>
    <col min="15375" max="15375" width="13.26953125" style="2" customWidth="1"/>
    <col min="15376" max="15377" width="12.453125" style="2" customWidth="1"/>
    <col min="15378" max="15378" width="12.54296875" style="2" customWidth="1"/>
    <col min="15379" max="15379" width="12.1796875" style="2" customWidth="1"/>
    <col min="15380" max="15380" width="12.453125" style="2" customWidth="1"/>
    <col min="15381" max="15381" width="11" style="2" customWidth="1"/>
    <col min="15382" max="15382" width="13.1796875" style="2" customWidth="1"/>
    <col min="15383" max="15383" width="9.7265625" style="2" customWidth="1"/>
    <col min="15384" max="15384" width="12.81640625" style="2" customWidth="1"/>
    <col min="15385" max="15385" width="10.54296875" style="2" customWidth="1"/>
    <col min="15386" max="15386" width="13.26953125" style="2" customWidth="1"/>
    <col min="15387" max="15390" width="9.1796875" style="2"/>
    <col min="15391" max="15391" width="27" style="2" customWidth="1"/>
    <col min="15392" max="15392" width="10.1796875" style="2" customWidth="1"/>
    <col min="15393" max="15618" width="9.1796875" style="2"/>
    <col min="15619" max="15619" width="75" style="2" customWidth="1"/>
    <col min="15620" max="15620" width="37.453125" style="2" customWidth="1"/>
    <col min="15621" max="15621" width="14.81640625" style="2" customWidth="1"/>
    <col min="15622" max="15622" width="16.453125" style="2" customWidth="1"/>
    <col min="15623" max="15623" width="14.7265625" style="2" customWidth="1"/>
    <col min="15624" max="15624" width="14.81640625" style="2" customWidth="1"/>
    <col min="15625" max="15625" width="14.7265625" style="2" customWidth="1"/>
    <col min="15626" max="15626" width="13.26953125" style="2" customWidth="1"/>
    <col min="15627" max="15629" width="12.54296875" style="2" customWidth="1"/>
    <col min="15630" max="15630" width="20" style="2" customWidth="1"/>
    <col min="15631" max="15631" width="13.26953125" style="2" customWidth="1"/>
    <col min="15632" max="15633" width="12.453125" style="2" customWidth="1"/>
    <col min="15634" max="15634" width="12.54296875" style="2" customWidth="1"/>
    <col min="15635" max="15635" width="12.1796875" style="2" customWidth="1"/>
    <col min="15636" max="15636" width="12.453125" style="2" customWidth="1"/>
    <col min="15637" max="15637" width="11" style="2" customWidth="1"/>
    <col min="15638" max="15638" width="13.1796875" style="2" customWidth="1"/>
    <col min="15639" max="15639" width="9.7265625" style="2" customWidth="1"/>
    <col min="15640" max="15640" width="12.81640625" style="2" customWidth="1"/>
    <col min="15641" max="15641" width="10.54296875" style="2" customWidth="1"/>
    <col min="15642" max="15642" width="13.26953125" style="2" customWidth="1"/>
    <col min="15643" max="15646" width="9.1796875" style="2"/>
    <col min="15647" max="15647" width="27" style="2" customWidth="1"/>
    <col min="15648" max="15648" width="10.1796875" style="2" customWidth="1"/>
    <col min="15649" max="15874" width="9.1796875" style="2"/>
    <col min="15875" max="15875" width="75" style="2" customWidth="1"/>
    <col min="15876" max="15876" width="37.453125" style="2" customWidth="1"/>
    <col min="15877" max="15877" width="14.81640625" style="2" customWidth="1"/>
    <col min="15878" max="15878" width="16.453125" style="2" customWidth="1"/>
    <col min="15879" max="15879" width="14.7265625" style="2" customWidth="1"/>
    <col min="15880" max="15880" width="14.81640625" style="2" customWidth="1"/>
    <col min="15881" max="15881" width="14.7265625" style="2" customWidth="1"/>
    <col min="15882" max="15882" width="13.26953125" style="2" customWidth="1"/>
    <col min="15883" max="15885" width="12.54296875" style="2" customWidth="1"/>
    <col min="15886" max="15886" width="20" style="2" customWidth="1"/>
    <col min="15887" max="15887" width="13.26953125" style="2" customWidth="1"/>
    <col min="15888" max="15889" width="12.453125" style="2" customWidth="1"/>
    <col min="15890" max="15890" width="12.54296875" style="2" customWidth="1"/>
    <col min="15891" max="15891" width="12.1796875" style="2" customWidth="1"/>
    <col min="15892" max="15892" width="12.453125" style="2" customWidth="1"/>
    <col min="15893" max="15893" width="11" style="2" customWidth="1"/>
    <col min="15894" max="15894" width="13.1796875" style="2" customWidth="1"/>
    <col min="15895" max="15895" width="9.7265625" style="2" customWidth="1"/>
    <col min="15896" max="15896" width="12.81640625" style="2" customWidth="1"/>
    <col min="15897" max="15897" width="10.54296875" style="2" customWidth="1"/>
    <col min="15898" max="15898" width="13.26953125" style="2" customWidth="1"/>
    <col min="15899" max="15902" width="9.1796875" style="2"/>
    <col min="15903" max="15903" width="27" style="2" customWidth="1"/>
    <col min="15904" max="15904" width="10.1796875" style="2" customWidth="1"/>
    <col min="15905" max="16130" width="9.1796875" style="2"/>
    <col min="16131" max="16131" width="75" style="2" customWidth="1"/>
    <col min="16132" max="16132" width="37.453125" style="2" customWidth="1"/>
    <col min="16133" max="16133" width="14.81640625" style="2" customWidth="1"/>
    <col min="16134" max="16134" width="16.453125" style="2" customWidth="1"/>
    <col min="16135" max="16135" width="14.7265625" style="2" customWidth="1"/>
    <col min="16136" max="16136" width="14.81640625" style="2" customWidth="1"/>
    <col min="16137" max="16137" width="14.7265625" style="2" customWidth="1"/>
    <col min="16138" max="16138" width="13.26953125" style="2" customWidth="1"/>
    <col min="16139" max="16141" width="12.54296875" style="2" customWidth="1"/>
    <col min="16142" max="16142" width="20" style="2" customWidth="1"/>
    <col min="16143" max="16143" width="13.26953125" style="2" customWidth="1"/>
    <col min="16144" max="16145" width="12.453125" style="2" customWidth="1"/>
    <col min="16146" max="16146" width="12.54296875" style="2" customWidth="1"/>
    <col min="16147" max="16147" width="12.1796875" style="2" customWidth="1"/>
    <col min="16148" max="16148" width="12.453125" style="2" customWidth="1"/>
    <col min="16149" max="16149" width="11" style="2" customWidth="1"/>
    <col min="16150" max="16150" width="13.1796875" style="2" customWidth="1"/>
    <col min="16151" max="16151" width="9.7265625" style="2" customWidth="1"/>
    <col min="16152" max="16152" width="12.81640625" style="2" customWidth="1"/>
    <col min="16153" max="16153" width="10.54296875" style="2" customWidth="1"/>
    <col min="16154" max="16154" width="13.26953125" style="2" customWidth="1"/>
    <col min="16155" max="16158" width="9.1796875" style="2"/>
    <col min="16159" max="16159" width="27" style="2" customWidth="1"/>
    <col min="16160" max="16160" width="10.1796875" style="2" customWidth="1"/>
    <col min="16161" max="16384" width="9.1796875" style="2"/>
  </cols>
  <sheetData>
    <row r="1" spans="1:9" ht="18" x14ac:dyDescent="0.4">
      <c r="A1" s="1" t="s">
        <v>0</v>
      </c>
      <c r="B1" s="1"/>
    </row>
    <row r="2" spans="1:9" ht="18" x14ac:dyDescent="0.4">
      <c r="A2" s="3" t="s">
        <v>1</v>
      </c>
      <c r="B2" s="3"/>
    </row>
    <row r="3" spans="1:9" ht="13" x14ac:dyDescent="0.3">
      <c r="D3" s="4"/>
      <c r="E3" s="5"/>
    </row>
    <row r="4" spans="1:9" ht="14" x14ac:dyDescent="0.3">
      <c r="A4" s="6" t="s">
        <v>2</v>
      </c>
      <c r="B4" s="6"/>
      <c r="E4" s="7"/>
    </row>
    <row r="5" spans="1:9" ht="13" x14ac:dyDescent="0.3">
      <c r="A5" s="8" t="s">
        <v>3</v>
      </c>
      <c r="B5" s="8"/>
      <c r="C5" s="9"/>
      <c r="D5" s="5"/>
    </row>
    <row r="6" spans="1:9" ht="15" x14ac:dyDescent="0.3">
      <c r="A6" s="8" t="s">
        <v>4</v>
      </c>
      <c r="B6" s="8"/>
      <c r="C6" s="10" t="s">
        <v>5</v>
      </c>
    </row>
    <row r="7" spans="1:9" ht="15" x14ac:dyDescent="0.3">
      <c r="A7" s="8" t="s">
        <v>6</v>
      </c>
      <c r="B7" s="8"/>
      <c r="C7" s="10" t="str">
        <f>A1</f>
        <v>New Jersey Enhanced Motor Vehicle Inspection/Maintenance Systems</v>
      </c>
    </row>
    <row r="8" spans="1:9" ht="13" x14ac:dyDescent="0.3">
      <c r="A8" s="8" t="s">
        <v>7</v>
      </c>
      <c r="B8" s="8"/>
      <c r="C8" s="11" t="s">
        <v>8</v>
      </c>
    </row>
    <row r="9" spans="1:9" ht="13" x14ac:dyDescent="0.3">
      <c r="A9" s="8" t="s">
        <v>9</v>
      </c>
      <c r="B9" s="8"/>
      <c r="C9" s="8"/>
    </row>
    <row r="10" spans="1:9" ht="13" x14ac:dyDescent="0.3">
      <c r="A10" s="8" t="s">
        <v>10</v>
      </c>
      <c r="B10" s="8"/>
      <c r="C10" s="11" t="s">
        <v>8</v>
      </c>
    </row>
    <row r="11" spans="1:9" ht="13" x14ac:dyDescent="0.3">
      <c r="A11" s="8" t="s">
        <v>11</v>
      </c>
      <c r="B11" s="8"/>
      <c r="C11" s="12">
        <v>44136</v>
      </c>
      <c r="D11" s="13"/>
    </row>
    <row r="12" spans="1:9" ht="13" x14ac:dyDescent="0.3">
      <c r="A12" s="8" t="s">
        <v>12</v>
      </c>
      <c r="B12" s="8"/>
      <c r="C12" s="73">
        <v>42491</v>
      </c>
      <c r="D12" s="14"/>
      <c r="E12" s="15"/>
      <c r="F12" s="16"/>
      <c r="G12" s="16"/>
      <c r="H12" s="16"/>
      <c r="I12" s="16"/>
    </row>
    <row r="13" spans="1:9" ht="13" x14ac:dyDescent="0.3">
      <c r="A13" s="8" t="s">
        <v>13</v>
      </c>
      <c r="B13" s="8"/>
      <c r="C13" s="73">
        <v>46113</v>
      </c>
      <c r="D13" s="11"/>
    </row>
    <row r="14" spans="1:9" ht="13" x14ac:dyDescent="0.3">
      <c r="A14" s="8" t="s">
        <v>14</v>
      </c>
      <c r="B14" s="8"/>
      <c r="C14" s="17" t="s">
        <v>15</v>
      </c>
      <c r="D14" s="17">
        <f>6*12-3</f>
        <v>69</v>
      </c>
    </row>
    <row r="15" spans="1:9" ht="13" x14ac:dyDescent="0.3">
      <c r="A15" s="8" t="s">
        <v>16</v>
      </c>
      <c r="B15" s="8"/>
      <c r="C15" s="17" t="s">
        <v>17</v>
      </c>
      <c r="D15" s="18" t="s">
        <v>18</v>
      </c>
    </row>
    <row r="16" spans="1:9" ht="13" x14ac:dyDescent="0.3">
      <c r="A16" s="8" t="s">
        <v>19</v>
      </c>
      <c r="B16" s="8"/>
      <c r="C16" s="8" t="s">
        <v>20</v>
      </c>
      <c r="D16" s="18" t="s">
        <v>75</v>
      </c>
    </row>
    <row r="17" spans="1:46" ht="13" x14ac:dyDescent="0.3">
      <c r="A17" s="8"/>
      <c r="B17" s="8"/>
      <c r="C17" s="8"/>
    </row>
    <row r="18" spans="1:46" ht="13" x14ac:dyDescent="0.3">
      <c r="A18" s="8" t="s">
        <v>21</v>
      </c>
      <c r="B18" s="8"/>
      <c r="C18" s="8"/>
    </row>
    <row r="19" spans="1:46" ht="13" x14ac:dyDescent="0.3">
      <c r="A19" s="8"/>
      <c r="B19" s="8"/>
      <c r="C19" s="8"/>
    </row>
    <row r="20" spans="1:46" ht="13" x14ac:dyDescent="0.3">
      <c r="A20" s="8"/>
      <c r="B20" s="8"/>
      <c r="C20" s="8"/>
    </row>
    <row r="21" spans="1:46" ht="13" x14ac:dyDescent="0.3">
      <c r="A21" s="8"/>
      <c r="B21" s="8"/>
      <c r="C21" s="8"/>
    </row>
    <row r="22" spans="1:46" ht="13" x14ac:dyDescent="0.3">
      <c r="A22" s="19" t="s">
        <v>22</v>
      </c>
      <c r="B22" s="19"/>
    </row>
    <row r="23" spans="1:46" ht="13" x14ac:dyDescent="0.3">
      <c r="A23" s="20" t="s">
        <v>23</v>
      </c>
      <c r="B23" s="20"/>
    </row>
    <row r="24" spans="1:46" ht="13" x14ac:dyDescent="0.3">
      <c r="A24" s="8" t="s">
        <v>24</v>
      </c>
      <c r="B24" s="8"/>
    </row>
    <row r="25" spans="1:46" ht="13" x14ac:dyDescent="0.3">
      <c r="A25" s="8" t="s">
        <v>25</v>
      </c>
      <c r="B25" s="8"/>
    </row>
    <row r="26" spans="1:46" ht="13" x14ac:dyDescent="0.3">
      <c r="A26" s="8" t="s">
        <v>26</v>
      </c>
      <c r="B26" s="8"/>
    </row>
    <row r="27" spans="1:46" ht="13" x14ac:dyDescent="0.3">
      <c r="A27" s="8"/>
      <c r="B27" s="8"/>
    </row>
    <row r="28" spans="1:46" s="23" customFormat="1" ht="13" x14ac:dyDescent="0.3">
      <c r="A28" s="21" t="s">
        <v>27</v>
      </c>
      <c r="B28" s="21"/>
      <c r="C28" s="21" t="s">
        <v>28</v>
      </c>
      <c r="D28" s="21" t="s">
        <v>28</v>
      </c>
      <c r="E28" s="21" t="s">
        <v>28</v>
      </c>
      <c r="F28" s="21" t="s">
        <v>28</v>
      </c>
      <c r="G28" s="21" t="s">
        <v>28</v>
      </c>
      <c r="H28" s="21" t="s">
        <v>28</v>
      </c>
      <c r="I28" s="21" t="s">
        <v>28</v>
      </c>
      <c r="J28" s="21" t="s">
        <v>28</v>
      </c>
      <c r="K28" s="21"/>
      <c r="L28" s="21"/>
      <c r="M28" s="21"/>
      <c r="N28" s="21" t="s">
        <v>28</v>
      </c>
      <c r="O28" s="21"/>
      <c r="P28" s="21"/>
      <c r="Q28" s="21"/>
      <c r="R28" s="21"/>
      <c r="S28" s="22"/>
    </row>
    <row r="29" spans="1:46" ht="13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7"/>
    </row>
    <row r="30" spans="1:46" ht="13.5" thickBot="1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7"/>
    </row>
    <row r="31" spans="1:46" ht="13" x14ac:dyDescent="0.3">
      <c r="C31" s="369" t="s">
        <v>29</v>
      </c>
      <c r="D31" s="370"/>
      <c r="E31" s="370"/>
      <c r="F31" s="370"/>
      <c r="G31" s="370"/>
      <c r="H31" s="370"/>
      <c r="I31" s="371"/>
      <c r="J31" s="134" t="s">
        <v>30</v>
      </c>
      <c r="K31" s="132" t="s">
        <v>30</v>
      </c>
      <c r="L31" s="132" t="s">
        <v>30</v>
      </c>
      <c r="M31" s="133" t="s">
        <v>30</v>
      </c>
      <c r="N31" s="24"/>
      <c r="O31" s="7"/>
      <c r="P31" s="7"/>
    </row>
    <row r="32" spans="1:46" ht="13" x14ac:dyDescent="0.3">
      <c r="A32" s="9" t="s">
        <v>31</v>
      </c>
      <c r="B32" s="9"/>
      <c r="C32" s="135" t="s">
        <v>32</v>
      </c>
      <c r="D32" s="136" t="s">
        <v>33</v>
      </c>
      <c r="E32" s="136" t="s">
        <v>34</v>
      </c>
      <c r="F32" s="136" t="s">
        <v>35</v>
      </c>
      <c r="G32" s="136" t="s">
        <v>36</v>
      </c>
      <c r="H32" s="136" t="s">
        <v>37</v>
      </c>
      <c r="I32" s="136" t="s">
        <v>38</v>
      </c>
      <c r="J32" s="137" t="s">
        <v>39</v>
      </c>
      <c r="K32" s="137" t="s">
        <v>40</v>
      </c>
      <c r="L32" s="137" t="s">
        <v>41</v>
      </c>
      <c r="M32" s="137" t="s">
        <v>42</v>
      </c>
      <c r="N32" s="26" t="s">
        <v>43</v>
      </c>
      <c r="O32" s="25"/>
      <c r="S32" s="27"/>
      <c r="T32" s="27"/>
      <c r="U32" s="27"/>
      <c r="V32" s="27"/>
      <c r="W32" s="27"/>
      <c r="X32" s="27"/>
      <c r="Y32" s="27"/>
      <c r="Z32" s="27"/>
      <c r="AA32" s="25"/>
      <c r="AB32" s="27"/>
      <c r="AC32" s="27"/>
      <c r="AD32" s="27"/>
      <c r="AE32" s="25"/>
      <c r="AH32" s="27"/>
      <c r="AI32" s="27"/>
      <c r="AJ32" s="27"/>
      <c r="AK32" s="27"/>
      <c r="AL32" s="27"/>
      <c r="AM32" s="27"/>
      <c r="AN32" s="27"/>
      <c r="AO32" s="27"/>
      <c r="AP32" s="25"/>
      <c r="AQ32" s="27"/>
      <c r="AR32" s="27"/>
      <c r="AS32" s="27"/>
      <c r="AT32" s="25"/>
    </row>
    <row r="33" spans="1:46" ht="13" x14ac:dyDescent="0.3">
      <c r="A33" s="9"/>
      <c r="B33" s="9"/>
      <c r="C33" s="138">
        <v>0</v>
      </c>
      <c r="D33" s="139">
        <v>9</v>
      </c>
      <c r="E33" s="139">
        <v>12</v>
      </c>
      <c r="F33" s="139">
        <v>12</v>
      </c>
      <c r="G33" s="139">
        <v>12</v>
      </c>
      <c r="H33" s="139">
        <v>12</v>
      </c>
      <c r="I33" s="139">
        <v>12</v>
      </c>
      <c r="J33" s="139">
        <v>12</v>
      </c>
      <c r="K33" s="140">
        <v>12</v>
      </c>
      <c r="L33" s="140">
        <v>12</v>
      </c>
      <c r="M33" s="140">
        <v>12</v>
      </c>
      <c r="N33" s="28">
        <f>SUM(D33:M33)</f>
        <v>117</v>
      </c>
      <c r="O33" s="25"/>
      <c r="S33" s="27"/>
      <c r="T33" s="27"/>
      <c r="U33" s="27"/>
      <c r="V33" s="27"/>
      <c r="W33" s="27"/>
      <c r="X33" s="27"/>
      <c r="Y33" s="27"/>
      <c r="Z33" s="27"/>
      <c r="AA33" s="25"/>
      <c r="AB33" s="27"/>
      <c r="AC33" s="27"/>
      <c r="AD33" s="27"/>
      <c r="AE33" s="25"/>
      <c r="AH33" s="27"/>
      <c r="AI33" s="27"/>
      <c r="AJ33" s="27"/>
      <c r="AK33" s="27"/>
      <c r="AL33" s="27"/>
      <c r="AM33" s="27"/>
      <c r="AN33" s="27"/>
      <c r="AO33" s="27"/>
      <c r="AP33" s="25"/>
      <c r="AQ33" s="27"/>
      <c r="AR33" s="27"/>
      <c r="AS33" s="27"/>
      <c r="AT33" s="25"/>
    </row>
    <row r="34" spans="1:46" ht="29" x14ac:dyDescent="0.35">
      <c r="C34" s="143" t="s">
        <v>222</v>
      </c>
      <c r="D34" s="141" t="s">
        <v>224</v>
      </c>
      <c r="E34" s="141" t="s">
        <v>225</v>
      </c>
      <c r="F34" s="141" t="s">
        <v>226</v>
      </c>
      <c r="G34" s="141" t="s">
        <v>227</v>
      </c>
      <c r="H34" s="141" t="s">
        <v>228</v>
      </c>
      <c r="I34" s="141" t="s">
        <v>229</v>
      </c>
      <c r="J34" s="141" t="s">
        <v>230</v>
      </c>
      <c r="K34" s="141" t="s">
        <v>231</v>
      </c>
      <c r="L34" s="141" t="s">
        <v>232</v>
      </c>
      <c r="M34" s="141" t="s">
        <v>233</v>
      </c>
      <c r="N34" s="29" t="s">
        <v>44</v>
      </c>
      <c r="O34" s="25"/>
      <c r="S34" s="27"/>
      <c r="T34" s="27"/>
      <c r="U34" s="27"/>
      <c r="V34" s="27"/>
      <c r="W34" s="27"/>
      <c r="X34" s="27"/>
      <c r="Y34" s="27"/>
      <c r="Z34" s="27"/>
      <c r="AA34" s="25"/>
      <c r="AB34" s="27"/>
      <c r="AC34" s="27"/>
      <c r="AD34" s="27"/>
      <c r="AE34" s="25"/>
      <c r="AH34" s="27"/>
      <c r="AI34" s="27"/>
      <c r="AJ34" s="27"/>
      <c r="AK34" s="27"/>
      <c r="AL34" s="27"/>
      <c r="AM34" s="27"/>
      <c r="AN34" s="27"/>
      <c r="AO34" s="27"/>
      <c r="AP34" s="25"/>
      <c r="AQ34" s="27"/>
      <c r="AR34" s="27"/>
      <c r="AS34" s="27"/>
      <c r="AT34" s="25"/>
    </row>
    <row r="35" spans="1:46" ht="13.5" thickBot="1" x14ac:dyDescent="0.35">
      <c r="C35" s="74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30" t="s">
        <v>45</v>
      </c>
      <c r="O35" s="25"/>
      <c r="S35" s="25"/>
      <c r="T35" s="31"/>
      <c r="U35" s="31"/>
      <c r="V35" s="31"/>
      <c r="W35" s="31"/>
      <c r="X35" s="31"/>
      <c r="Y35" s="31"/>
      <c r="Z35" s="31"/>
      <c r="AA35" s="25"/>
      <c r="AB35" s="31"/>
      <c r="AC35" s="31"/>
      <c r="AD35" s="31"/>
      <c r="AE35" s="25"/>
      <c r="AH35" s="25"/>
      <c r="AI35" s="31"/>
      <c r="AJ35" s="31"/>
      <c r="AK35" s="31"/>
      <c r="AL35" s="31"/>
      <c r="AM35" s="31"/>
      <c r="AN35" s="31"/>
      <c r="AO35" s="31"/>
      <c r="AP35" s="25"/>
      <c r="AQ35" s="31"/>
      <c r="AR35" s="31"/>
      <c r="AS35" s="31"/>
      <c r="AT35" s="25"/>
    </row>
    <row r="36" spans="1:46" ht="13.5" thickBot="1" x14ac:dyDescent="0.35">
      <c r="C36" s="7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30"/>
      <c r="O36" s="25"/>
      <c r="S36" s="25"/>
      <c r="T36" s="31"/>
      <c r="U36" s="31"/>
      <c r="V36" s="31"/>
      <c r="W36" s="31"/>
      <c r="X36" s="31"/>
      <c r="Y36" s="31"/>
      <c r="Z36" s="31"/>
      <c r="AA36" s="25"/>
      <c r="AB36" s="31"/>
      <c r="AC36" s="31"/>
      <c r="AD36" s="31"/>
      <c r="AE36" s="25"/>
      <c r="AH36" s="25"/>
      <c r="AI36" s="31"/>
      <c r="AJ36" s="31"/>
      <c r="AK36" s="31"/>
      <c r="AL36" s="31"/>
      <c r="AM36" s="31"/>
      <c r="AN36" s="31"/>
      <c r="AO36" s="31"/>
      <c r="AP36" s="25"/>
      <c r="AQ36" s="31"/>
      <c r="AR36" s="31"/>
      <c r="AS36" s="31"/>
      <c r="AT36" s="25"/>
    </row>
    <row r="37" spans="1:46" ht="13.5" thickBot="1" x14ac:dyDescent="0.35">
      <c r="A37" s="9"/>
      <c r="B37" s="9"/>
      <c r="C37" s="32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0"/>
      <c r="O37" s="25"/>
      <c r="S37" s="27"/>
      <c r="T37" s="27"/>
      <c r="U37" s="27"/>
      <c r="V37" s="27"/>
      <c r="W37" s="27"/>
      <c r="X37" s="27"/>
      <c r="Y37" s="27"/>
      <c r="Z37" s="27"/>
      <c r="AA37" s="25"/>
      <c r="AB37" s="27"/>
      <c r="AC37" s="27"/>
      <c r="AD37" s="27"/>
      <c r="AE37" s="25"/>
      <c r="AH37" s="27"/>
      <c r="AI37" s="27"/>
      <c r="AJ37" s="27"/>
      <c r="AK37" s="27"/>
      <c r="AL37" s="27"/>
      <c r="AM37" s="27"/>
      <c r="AN37" s="27"/>
      <c r="AO37" s="27"/>
      <c r="AP37" s="25"/>
      <c r="AQ37" s="27"/>
      <c r="AR37" s="27"/>
      <c r="AS37" s="27"/>
      <c r="AT37" s="25"/>
    </row>
    <row r="38" spans="1:46" ht="13" x14ac:dyDescent="0.3">
      <c r="A38" s="9" t="s">
        <v>77</v>
      </c>
      <c r="B38" s="9"/>
      <c r="C38" s="78">
        <v>1</v>
      </c>
      <c r="D38" s="78">
        <v>1</v>
      </c>
      <c r="E38" s="78">
        <v>1.03</v>
      </c>
      <c r="F38" s="78">
        <v>1.03</v>
      </c>
      <c r="G38" s="78">
        <v>1.03</v>
      </c>
      <c r="H38" s="78">
        <v>1.03</v>
      </c>
      <c r="I38" s="78">
        <v>1</v>
      </c>
      <c r="J38" s="78">
        <v>1</v>
      </c>
      <c r="K38" s="78">
        <v>1</v>
      </c>
      <c r="L38" s="78">
        <v>1</v>
      </c>
      <c r="M38" s="78">
        <v>1</v>
      </c>
      <c r="N38" s="77"/>
      <c r="O38" s="25"/>
      <c r="S38" s="27"/>
      <c r="T38" s="27"/>
      <c r="U38" s="27"/>
      <c r="V38" s="27"/>
      <c r="W38" s="27"/>
      <c r="X38" s="27"/>
      <c r="Y38" s="27"/>
      <c r="Z38" s="27"/>
      <c r="AA38" s="25"/>
      <c r="AB38" s="27"/>
      <c r="AC38" s="27"/>
      <c r="AD38" s="27"/>
      <c r="AE38" s="25"/>
      <c r="AH38" s="27"/>
      <c r="AI38" s="27"/>
      <c r="AJ38" s="27"/>
      <c r="AK38" s="27"/>
      <c r="AL38" s="27"/>
      <c r="AM38" s="27"/>
      <c r="AN38" s="27"/>
      <c r="AO38" s="27"/>
      <c r="AP38" s="25"/>
      <c r="AQ38" s="27"/>
      <c r="AR38" s="27"/>
      <c r="AS38" s="27"/>
      <c r="AT38" s="25"/>
    </row>
    <row r="39" spans="1:46" ht="13" x14ac:dyDescent="0.3">
      <c r="A39" s="9" t="s">
        <v>78</v>
      </c>
      <c r="B39" s="9"/>
      <c r="C39" s="78">
        <v>1</v>
      </c>
      <c r="D39" s="78">
        <v>1</v>
      </c>
      <c r="E39" s="78">
        <f>E38</f>
        <v>1.03</v>
      </c>
      <c r="F39" s="78">
        <f>E39*F38</f>
        <v>1.0609</v>
      </c>
      <c r="G39" s="78">
        <f t="shared" ref="G39:M39" si="0">F39*G38</f>
        <v>1.092727</v>
      </c>
      <c r="H39" s="78">
        <f t="shared" si="0"/>
        <v>1.1255088100000001</v>
      </c>
      <c r="I39" s="78">
        <f t="shared" si="0"/>
        <v>1.1255088100000001</v>
      </c>
      <c r="J39" s="78">
        <f t="shared" si="0"/>
        <v>1.1255088100000001</v>
      </c>
      <c r="K39" s="78">
        <f t="shared" si="0"/>
        <v>1.1255088100000001</v>
      </c>
      <c r="L39" s="78">
        <f t="shared" si="0"/>
        <v>1.1255088100000001</v>
      </c>
      <c r="M39" s="78">
        <f t="shared" si="0"/>
        <v>1.1255088100000001</v>
      </c>
      <c r="N39" s="77"/>
      <c r="O39" s="25"/>
      <c r="S39" s="27"/>
      <c r="T39" s="27"/>
      <c r="U39" s="27"/>
      <c r="V39" s="27"/>
      <c r="W39" s="27"/>
      <c r="X39" s="27"/>
      <c r="Y39" s="27"/>
      <c r="Z39" s="27"/>
      <c r="AA39" s="25"/>
      <c r="AB39" s="27"/>
      <c r="AC39" s="27"/>
      <c r="AD39" s="27"/>
      <c r="AE39" s="25"/>
      <c r="AH39" s="27"/>
      <c r="AI39" s="27"/>
      <c r="AJ39" s="27"/>
      <c r="AK39" s="27"/>
      <c r="AL39" s="27"/>
      <c r="AM39" s="27"/>
      <c r="AN39" s="27"/>
      <c r="AO39" s="27"/>
      <c r="AP39" s="25"/>
      <c r="AQ39" s="27"/>
      <c r="AR39" s="27"/>
      <c r="AS39" s="27"/>
      <c r="AT39" s="25"/>
    </row>
    <row r="40" spans="1:46" ht="13" x14ac:dyDescent="0.3">
      <c r="A40" s="9" t="s">
        <v>79</v>
      </c>
      <c r="B40" s="9"/>
      <c r="C40" s="78">
        <v>1</v>
      </c>
      <c r="D40" s="78">
        <v>1</v>
      </c>
      <c r="E40" s="78">
        <v>1</v>
      </c>
      <c r="F40" s="78">
        <v>1</v>
      </c>
      <c r="G40" s="78">
        <v>1</v>
      </c>
      <c r="H40" s="78">
        <v>1</v>
      </c>
      <c r="I40" s="78">
        <v>1</v>
      </c>
      <c r="J40" s="78">
        <v>1</v>
      </c>
      <c r="K40" s="78">
        <v>1</v>
      </c>
      <c r="L40" s="78">
        <v>1</v>
      </c>
      <c r="M40" s="78">
        <v>1</v>
      </c>
      <c r="N40" s="77"/>
      <c r="O40" s="25"/>
      <c r="S40" s="27"/>
      <c r="T40" s="27"/>
      <c r="U40" s="27"/>
      <c r="V40" s="27"/>
      <c r="W40" s="27"/>
      <c r="X40" s="27"/>
      <c r="Y40" s="27"/>
      <c r="Z40" s="27"/>
      <c r="AA40" s="25"/>
      <c r="AB40" s="27"/>
      <c r="AC40" s="27"/>
      <c r="AD40" s="27"/>
      <c r="AE40" s="25"/>
      <c r="AH40" s="27"/>
      <c r="AI40" s="27"/>
      <c r="AJ40" s="27"/>
      <c r="AK40" s="27"/>
      <c r="AL40" s="27"/>
      <c r="AM40" s="27"/>
      <c r="AN40" s="27"/>
      <c r="AO40" s="27"/>
      <c r="AP40" s="25"/>
      <c r="AQ40" s="27"/>
      <c r="AR40" s="27"/>
      <c r="AS40" s="27"/>
      <c r="AT40" s="25"/>
    </row>
    <row r="41" spans="1:46" ht="13" x14ac:dyDescent="0.3">
      <c r="A41" s="9" t="s">
        <v>80</v>
      </c>
      <c r="B41" s="9"/>
      <c r="C41" s="78">
        <v>1</v>
      </c>
      <c r="D41" s="78">
        <v>1</v>
      </c>
      <c r="E41" s="78">
        <v>1</v>
      </c>
      <c r="F41" s="78">
        <f>E41*F40</f>
        <v>1</v>
      </c>
      <c r="G41" s="78">
        <f>F41*G40</f>
        <v>1</v>
      </c>
      <c r="H41" s="78">
        <f>G41*H40</f>
        <v>1</v>
      </c>
      <c r="I41" s="78">
        <f t="shared" ref="I41:M41" si="1">H41*I40</f>
        <v>1</v>
      </c>
      <c r="J41" s="78">
        <f t="shared" si="1"/>
        <v>1</v>
      </c>
      <c r="K41" s="78">
        <f t="shared" si="1"/>
        <v>1</v>
      </c>
      <c r="L41" s="78">
        <f t="shared" si="1"/>
        <v>1</v>
      </c>
      <c r="M41" s="78">
        <f t="shared" si="1"/>
        <v>1</v>
      </c>
      <c r="N41" s="77"/>
      <c r="O41" s="25"/>
      <c r="S41" s="27"/>
      <c r="T41" s="27"/>
      <c r="U41" s="27"/>
      <c r="V41" s="27"/>
      <c r="W41" s="27"/>
      <c r="X41" s="27"/>
      <c r="Y41" s="27"/>
      <c r="Z41" s="27"/>
      <c r="AA41" s="25"/>
      <c r="AB41" s="27"/>
      <c r="AC41" s="27"/>
      <c r="AD41" s="27"/>
      <c r="AE41" s="25"/>
      <c r="AH41" s="27"/>
      <c r="AI41" s="27"/>
      <c r="AJ41" s="27"/>
      <c r="AK41" s="27"/>
      <c r="AL41" s="27"/>
      <c r="AM41" s="27"/>
      <c r="AN41" s="27"/>
      <c r="AO41" s="27"/>
      <c r="AP41" s="25"/>
      <c r="AQ41" s="27"/>
      <c r="AR41" s="27"/>
      <c r="AS41" s="27"/>
      <c r="AT41" s="25"/>
    </row>
    <row r="42" spans="1:46" ht="13" x14ac:dyDescent="0.3">
      <c r="A42" s="9" t="s">
        <v>429</v>
      </c>
      <c r="B42" s="9"/>
      <c r="C42" s="78">
        <v>1</v>
      </c>
      <c r="D42" s="78">
        <v>1</v>
      </c>
      <c r="E42" s="78">
        <v>1.03</v>
      </c>
      <c r="F42" s="78">
        <v>1.01</v>
      </c>
      <c r="G42" s="78">
        <v>1.01</v>
      </c>
      <c r="H42" s="78">
        <v>1.01</v>
      </c>
      <c r="I42" s="78">
        <v>1.01</v>
      </c>
      <c r="J42" s="78">
        <v>1.01</v>
      </c>
      <c r="K42" s="78">
        <v>1.01</v>
      </c>
      <c r="L42" s="78">
        <v>1.01</v>
      </c>
      <c r="M42" s="78">
        <v>1.01</v>
      </c>
      <c r="N42" s="77"/>
      <c r="O42" s="25"/>
      <c r="S42" s="27"/>
      <c r="T42" s="27"/>
      <c r="U42" s="27"/>
      <c r="V42" s="27"/>
      <c r="W42" s="27"/>
      <c r="X42" s="27"/>
      <c r="Y42" s="27"/>
      <c r="Z42" s="27"/>
      <c r="AA42" s="25"/>
      <c r="AB42" s="27"/>
      <c r="AC42" s="27"/>
      <c r="AD42" s="27"/>
      <c r="AE42" s="25"/>
      <c r="AH42" s="27"/>
      <c r="AI42" s="27"/>
      <c r="AJ42" s="27"/>
      <c r="AK42" s="27"/>
      <c r="AL42" s="27"/>
      <c r="AM42" s="27"/>
      <c r="AN42" s="27"/>
      <c r="AO42" s="27"/>
      <c r="AP42" s="25"/>
      <c r="AQ42" s="27"/>
      <c r="AR42" s="27"/>
      <c r="AS42" s="27"/>
      <c r="AT42" s="25"/>
    </row>
    <row r="43" spans="1:46" ht="13" x14ac:dyDescent="0.3">
      <c r="A43" s="34"/>
      <c r="B43" s="34"/>
      <c r="C43" s="35"/>
      <c r="D43" s="36"/>
      <c r="E43" s="35"/>
      <c r="F43" s="37"/>
    </row>
    <row r="44" spans="1:46" ht="13.5" thickBot="1" x14ac:dyDescent="0.35">
      <c r="A44" s="9"/>
      <c r="B44" s="9"/>
      <c r="C44" s="9"/>
      <c r="D44" s="38"/>
      <c r="F44" s="39"/>
    </row>
    <row r="45" spans="1:46" ht="13.5" thickBot="1" x14ac:dyDescent="0.35">
      <c r="A45" s="40"/>
      <c r="B45" s="40"/>
      <c r="C45" s="40"/>
      <c r="D45" s="372" t="s">
        <v>46</v>
      </c>
      <c r="E45" s="373"/>
      <c r="F45" s="374"/>
      <c r="I45" s="372" t="s">
        <v>47</v>
      </c>
      <c r="J45" s="373"/>
      <c r="K45" s="374"/>
    </row>
    <row r="46" spans="1:46" ht="13" x14ac:dyDescent="0.3">
      <c r="A46" s="41" t="s">
        <v>48</v>
      </c>
      <c r="B46" s="41"/>
      <c r="C46" s="41"/>
      <c r="D46" s="42" t="s">
        <v>49</v>
      </c>
      <c r="E46" s="5" t="s">
        <v>50</v>
      </c>
      <c r="F46" s="43"/>
      <c r="G46" s="44"/>
      <c r="H46" s="44"/>
      <c r="I46" s="42" t="s">
        <v>49</v>
      </c>
      <c r="J46" s="5" t="s">
        <v>50</v>
      </c>
      <c r="K46" s="43" t="s">
        <v>51</v>
      </c>
    </row>
    <row r="47" spans="1:46" ht="13" x14ac:dyDescent="0.3">
      <c r="A47" s="41" t="s">
        <v>52</v>
      </c>
      <c r="B47" s="41"/>
      <c r="C47" s="41"/>
      <c r="D47" s="45">
        <f>E47/8</f>
        <v>260</v>
      </c>
      <c r="E47" s="45">
        <f>52*40</f>
        <v>2080</v>
      </c>
      <c r="F47" s="38"/>
      <c r="H47" s="2" t="s">
        <v>53</v>
      </c>
      <c r="I47" s="45">
        <f>J47/8</f>
        <v>212</v>
      </c>
      <c r="J47" s="45">
        <f>8*5*42+16</f>
        <v>1696</v>
      </c>
      <c r="K47" s="46">
        <f>J47/12</f>
        <v>141.33333333333334</v>
      </c>
      <c r="L47" s="38" t="s">
        <v>54</v>
      </c>
    </row>
    <row r="48" spans="1:46" ht="13" x14ac:dyDescent="0.3">
      <c r="A48" s="41" t="s">
        <v>55</v>
      </c>
      <c r="B48" s="41"/>
      <c r="C48" s="41"/>
      <c r="D48" s="45">
        <f>E48/8</f>
        <v>8</v>
      </c>
      <c r="E48" s="45">
        <f>8*8</f>
        <v>64</v>
      </c>
      <c r="F48" s="38"/>
      <c r="H48" s="2" t="s">
        <v>56</v>
      </c>
      <c r="I48" s="45">
        <f>J48/8</f>
        <v>133.25</v>
      </c>
      <c r="J48" s="45">
        <f>5*5*42+16</f>
        <v>1066</v>
      </c>
      <c r="K48" s="46">
        <f>J48/12</f>
        <v>88.833333333333329</v>
      </c>
      <c r="L48" s="2" t="s">
        <v>57</v>
      </c>
    </row>
    <row r="49" spans="1:46" ht="13" x14ac:dyDescent="0.3">
      <c r="A49" s="41" t="s">
        <v>58</v>
      </c>
      <c r="B49" s="41"/>
      <c r="C49" s="41"/>
      <c r="D49" s="45">
        <v>15</v>
      </c>
      <c r="E49" s="45">
        <f>15*8</f>
        <v>120</v>
      </c>
      <c r="F49" s="38"/>
      <c r="H49" s="2" t="s">
        <v>59</v>
      </c>
      <c r="I49" s="45">
        <f>J49/8</f>
        <v>240</v>
      </c>
      <c r="J49" s="45">
        <f>8*5*48</f>
        <v>1920</v>
      </c>
      <c r="K49" s="38"/>
    </row>
    <row r="50" spans="1:46" ht="13.5" thickBot="1" x14ac:dyDescent="0.35">
      <c r="A50" s="41" t="s">
        <v>60</v>
      </c>
      <c r="B50" s="41"/>
      <c r="C50" s="41"/>
      <c r="D50" s="47">
        <f>D47-D48-D49</f>
        <v>237</v>
      </c>
      <c r="E50" s="47">
        <f>ROUND(E47-E48-E49,0)</f>
        <v>1896</v>
      </c>
      <c r="F50" s="48"/>
      <c r="I50" s="47">
        <f>SUM(I47:I49)</f>
        <v>585.25</v>
      </c>
      <c r="J50" s="47">
        <f>SUM(J47:J49)</f>
        <v>4682</v>
      </c>
      <c r="K50" s="49"/>
    </row>
    <row r="51" spans="1:46" ht="13.5" thickTop="1" x14ac:dyDescent="0.3">
      <c r="A51" s="34"/>
      <c r="B51" s="34"/>
      <c r="C51" s="35"/>
      <c r="D51" s="36"/>
      <c r="E51" s="35"/>
      <c r="F51" s="37"/>
    </row>
    <row r="52" spans="1:46" ht="13" x14ac:dyDescent="0.3">
      <c r="A52" s="34"/>
      <c r="B52" s="34"/>
      <c r="C52" s="35"/>
      <c r="D52" s="36"/>
      <c r="E52" s="35"/>
      <c r="F52" s="37"/>
      <c r="J52" s="50">
        <f>AVERAGE(J47,J48,J49)</f>
        <v>1560.6666666666667</v>
      </c>
    </row>
    <row r="53" spans="1:46" ht="13" x14ac:dyDescent="0.3">
      <c r="A53" s="34"/>
      <c r="B53" s="34"/>
      <c r="C53" s="35"/>
      <c r="D53" s="36"/>
      <c r="E53" s="35"/>
      <c r="F53" s="37"/>
    </row>
    <row r="54" spans="1:46" s="23" customFormat="1" ht="7.5" customHeight="1" x14ac:dyDescent="0.3">
      <c r="A54" s="21" t="s">
        <v>28</v>
      </c>
      <c r="B54" s="21"/>
      <c r="C54" s="21" t="s">
        <v>28</v>
      </c>
      <c r="D54" s="21" t="s">
        <v>28</v>
      </c>
      <c r="E54" s="21" t="s">
        <v>28</v>
      </c>
      <c r="F54" s="21" t="s">
        <v>28</v>
      </c>
      <c r="G54" s="21" t="s">
        <v>28</v>
      </c>
      <c r="H54" s="21" t="s">
        <v>28</v>
      </c>
      <c r="I54" s="21" t="s">
        <v>28</v>
      </c>
      <c r="J54" s="21" t="s">
        <v>28</v>
      </c>
      <c r="K54" s="21"/>
      <c r="L54" s="21"/>
      <c r="M54" s="21"/>
      <c r="N54" s="21" t="s">
        <v>28</v>
      </c>
      <c r="O54" s="21" t="s">
        <v>28</v>
      </c>
      <c r="P54" s="21" t="s">
        <v>28</v>
      </c>
      <c r="Q54" s="21" t="s">
        <v>28</v>
      </c>
      <c r="R54" s="21" t="s">
        <v>28</v>
      </c>
      <c r="S54" s="21" t="s">
        <v>28</v>
      </c>
      <c r="T54" s="21" t="s">
        <v>28</v>
      </c>
      <c r="U54" s="21" t="s">
        <v>28</v>
      </c>
      <c r="V54" s="21" t="s">
        <v>28</v>
      </c>
      <c r="W54" s="21" t="s">
        <v>28</v>
      </c>
      <c r="X54" s="21" t="s">
        <v>28</v>
      </c>
      <c r="Y54" s="21" t="s">
        <v>28</v>
      </c>
      <c r="Z54" s="21" t="s">
        <v>28</v>
      </c>
      <c r="AA54" s="21" t="s">
        <v>28</v>
      </c>
      <c r="AB54" s="21" t="s">
        <v>28</v>
      </c>
      <c r="AF54" s="51"/>
    </row>
    <row r="55" spans="1:46" ht="17.25" customHeight="1" x14ac:dyDescent="0.3">
      <c r="A55" s="40" t="s">
        <v>61</v>
      </c>
      <c r="B55" s="40"/>
      <c r="E55" s="52"/>
      <c r="AF55" s="53"/>
    </row>
    <row r="56" spans="1:46" x14ac:dyDescent="0.25">
      <c r="AF56" s="53"/>
    </row>
    <row r="57" spans="1:46" ht="13" x14ac:dyDescent="0.3">
      <c r="A57" s="54" t="s">
        <v>62</v>
      </c>
      <c r="B57" s="54"/>
      <c r="AF57" s="53"/>
    </row>
    <row r="58" spans="1:46" ht="24" customHeight="1" x14ac:dyDescent="0.25">
      <c r="C58" s="142" t="str">
        <f t="shared" ref="C58:M58" si="2">C32</f>
        <v>Start-up</v>
      </c>
      <c r="D58" s="142" t="str">
        <f t="shared" si="2"/>
        <v>Year 1</v>
      </c>
      <c r="E58" s="142" t="str">
        <f t="shared" si="2"/>
        <v>Year 2</v>
      </c>
      <c r="F58" s="142" t="str">
        <f t="shared" si="2"/>
        <v>Year 3</v>
      </c>
      <c r="G58" s="142" t="str">
        <f t="shared" si="2"/>
        <v>Year 4</v>
      </c>
      <c r="H58" s="142" t="str">
        <f t="shared" si="2"/>
        <v>Year 5</v>
      </c>
      <c r="I58" s="142" t="str">
        <f t="shared" si="2"/>
        <v>Year 6</v>
      </c>
      <c r="J58" s="142" t="str">
        <f t="shared" si="2"/>
        <v>Year 7</v>
      </c>
      <c r="K58" s="142" t="str">
        <f t="shared" si="2"/>
        <v>Year 8</v>
      </c>
      <c r="L58" s="142" t="str">
        <f t="shared" si="2"/>
        <v>Year 9</v>
      </c>
      <c r="M58" s="142" t="str">
        <f t="shared" si="2"/>
        <v>Year 10</v>
      </c>
      <c r="N58" s="55"/>
    </row>
    <row r="59" spans="1:46" ht="29" x14ac:dyDescent="0.35">
      <c r="A59" s="40" t="s">
        <v>63</v>
      </c>
      <c r="C59" s="143" t="str">
        <f t="shared" ref="C59:M59" si="3">C34</f>
        <v>Nov 2019
apr 2020</v>
      </c>
      <c r="D59" s="144" t="str">
        <f t="shared" si="3"/>
        <v>May 2020
Jan 2021</v>
      </c>
      <c r="E59" s="144" t="str">
        <f t="shared" si="3"/>
        <v>Feb 2021
Jan  2022</v>
      </c>
      <c r="F59" s="144" t="str">
        <f t="shared" si="3"/>
        <v>Feb 2022
Jan  2023</v>
      </c>
      <c r="G59" s="144" t="str">
        <f t="shared" si="3"/>
        <v>Feb 2024
Jan  2024</v>
      </c>
      <c r="H59" s="144" t="str">
        <f t="shared" si="3"/>
        <v>Feb 2024
Jan  2025</v>
      </c>
      <c r="I59" s="144" t="str">
        <f t="shared" si="3"/>
        <v>Feb 2025
Jan  2026</v>
      </c>
      <c r="J59" s="144" t="str">
        <f t="shared" si="3"/>
        <v>Feb 2026
Jan  2027</v>
      </c>
      <c r="K59" s="144" t="str">
        <f t="shared" si="3"/>
        <v>Feb 2027
Jan  2028</v>
      </c>
      <c r="L59" s="144" t="str">
        <f t="shared" si="3"/>
        <v>Feb 2028
Jan  2029</v>
      </c>
      <c r="M59" s="144" t="str">
        <f t="shared" si="3"/>
        <v>Feb 2029
Jan  2030</v>
      </c>
      <c r="N59" s="29"/>
      <c r="O59" s="25"/>
      <c r="S59" s="27"/>
      <c r="T59" s="27"/>
      <c r="U59" s="27"/>
      <c r="V59" s="27"/>
      <c r="W59" s="27"/>
      <c r="X59" s="27"/>
      <c r="Y59" s="27"/>
      <c r="Z59" s="27"/>
      <c r="AA59" s="25"/>
      <c r="AB59" s="27"/>
      <c r="AC59" s="27"/>
      <c r="AD59" s="27"/>
      <c r="AE59" s="25"/>
      <c r="AH59" s="27"/>
      <c r="AI59" s="27"/>
      <c r="AJ59" s="27"/>
      <c r="AK59" s="27"/>
      <c r="AL59" s="27"/>
      <c r="AM59" s="27"/>
      <c r="AN59" s="27"/>
      <c r="AO59" s="27"/>
      <c r="AP59" s="25"/>
      <c r="AQ59" s="27"/>
      <c r="AR59" s="27"/>
      <c r="AS59" s="27"/>
      <c r="AT59" s="25"/>
    </row>
    <row r="60" spans="1:46" x14ac:dyDescent="0.25">
      <c r="A60" s="58" t="s">
        <v>76</v>
      </c>
      <c r="B60" s="76">
        <v>0</v>
      </c>
      <c r="H60" s="57"/>
      <c r="I60" s="57"/>
      <c r="J60" s="57"/>
      <c r="K60" s="57"/>
      <c r="L60" s="57"/>
      <c r="M60" s="57"/>
      <c r="O60" s="57"/>
      <c r="P60" s="57"/>
    </row>
    <row r="61" spans="1:46" x14ac:dyDescent="0.25">
      <c r="A61" s="58" t="s">
        <v>64</v>
      </c>
      <c r="B61" s="58"/>
      <c r="C61" s="59"/>
      <c r="D61" s="59">
        <v>1425000</v>
      </c>
      <c r="E61" s="59">
        <v>1900000</v>
      </c>
      <c r="F61" s="59">
        <f>E61*(1+$B$60)</f>
        <v>1900000</v>
      </c>
      <c r="G61" s="59">
        <f t="shared" ref="G61:M61" si="4">F61*(1+$B$60)</f>
        <v>1900000</v>
      </c>
      <c r="H61" s="59">
        <f t="shared" si="4"/>
        <v>1900000</v>
      </c>
      <c r="I61" s="59">
        <f t="shared" si="4"/>
        <v>1900000</v>
      </c>
      <c r="J61" s="59">
        <f t="shared" si="4"/>
        <v>1900000</v>
      </c>
      <c r="K61" s="59">
        <f t="shared" si="4"/>
        <v>1900000</v>
      </c>
      <c r="L61" s="59">
        <f t="shared" si="4"/>
        <v>1900000</v>
      </c>
      <c r="M61" s="59">
        <f t="shared" si="4"/>
        <v>1900000</v>
      </c>
      <c r="N61" s="50">
        <f>SUM(C61:M61)</f>
        <v>18525000</v>
      </c>
      <c r="O61" s="59"/>
      <c r="P61" s="59"/>
      <c r="S61" s="50"/>
      <c r="T61" s="50"/>
    </row>
    <row r="62" spans="1:46" x14ac:dyDescent="0.25">
      <c r="A62" s="58"/>
      <c r="B62" s="58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0"/>
      <c r="O62" s="59"/>
      <c r="P62" s="59"/>
      <c r="S62" s="50"/>
      <c r="T62" s="50"/>
    </row>
    <row r="63" spans="1:46" x14ac:dyDescent="0.25">
      <c r="A63" s="58"/>
      <c r="B63" s="58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0"/>
      <c r="O63" s="59"/>
      <c r="P63" s="59"/>
      <c r="S63" s="50"/>
      <c r="T63" s="50"/>
    </row>
    <row r="64" spans="1:46" x14ac:dyDescent="0.25">
      <c r="A64" s="58"/>
      <c r="B64" s="58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0"/>
      <c r="O64" s="59"/>
      <c r="P64" s="59"/>
      <c r="S64" s="50"/>
      <c r="T64" s="50"/>
    </row>
    <row r="65" spans="1:28" x14ac:dyDescent="0.25">
      <c r="A65" s="58" t="s">
        <v>65</v>
      </c>
      <c r="B65" s="58"/>
      <c r="C65" s="59"/>
      <c r="D65" s="59">
        <v>205000</v>
      </c>
      <c r="E65" s="59">
        <v>255000</v>
      </c>
      <c r="F65" s="59">
        <f>E65*(1+$B$60)</f>
        <v>255000</v>
      </c>
      <c r="G65" s="59">
        <f t="shared" ref="G65:M65" si="5">F65*(1+$B$60)</f>
        <v>255000</v>
      </c>
      <c r="H65" s="59">
        <f t="shared" si="5"/>
        <v>255000</v>
      </c>
      <c r="I65" s="59">
        <f t="shared" si="5"/>
        <v>255000</v>
      </c>
      <c r="J65" s="59">
        <f t="shared" si="5"/>
        <v>255000</v>
      </c>
      <c r="K65" s="59">
        <f t="shared" si="5"/>
        <v>255000</v>
      </c>
      <c r="L65" s="59">
        <f t="shared" si="5"/>
        <v>255000</v>
      </c>
      <c r="M65" s="59">
        <f t="shared" si="5"/>
        <v>255000</v>
      </c>
      <c r="N65" s="50">
        <f>SUM(C65:M65)</f>
        <v>2500000</v>
      </c>
      <c r="O65" s="59"/>
      <c r="P65" s="59"/>
      <c r="S65" s="50"/>
      <c r="T65" s="50"/>
    </row>
    <row r="66" spans="1:28" x14ac:dyDescent="0.25"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0"/>
      <c r="O66" s="59"/>
      <c r="P66" s="59"/>
      <c r="S66" s="50"/>
      <c r="T66" s="50"/>
    </row>
    <row r="67" spans="1:28" x14ac:dyDescent="0.25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R67" s="7"/>
      <c r="S67" s="7"/>
    </row>
    <row r="68" spans="1:28" x14ac:dyDescent="0.25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R68" s="7"/>
      <c r="S68" s="7"/>
    </row>
    <row r="69" spans="1:28" ht="13" x14ac:dyDescent="0.3">
      <c r="A69" s="2" t="s">
        <v>66</v>
      </c>
      <c r="C69" s="60">
        <f>SUM(C61:C61)</f>
        <v>0</v>
      </c>
      <c r="D69" s="60">
        <f t="shared" ref="D69:M69" si="6">SUM(D61:D65)</f>
        <v>1630000</v>
      </c>
      <c r="E69" s="60">
        <f t="shared" si="6"/>
        <v>2155000</v>
      </c>
      <c r="F69" s="60">
        <f t="shared" si="6"/>
        <v>2155000</v>
      </c>
      <c r="G69" s="60">
        <f t="shared" si="6"/>
        <v>2155000</v>
      </c>
      <c r="H69" s="60">
        <f t="shared" si="6"/>
        <v>2155000</v>
      </c>
      <c r="I69" s="60">
        <f t="shared" si="6"/>
        <v>2155000</v>
      </c>
      <c r="J69" s="60">
        <f t="shared" si="6"/>
        <v>2155000</v>
      </c>
      <c r="K69" s="60">
        <f t="shared" si="6"/>
        <v>2155000</v>
      </c>
      <c r="L69" s="60">
        <f t="shared" si="6"/>
        <v>2155000</v>
      </c>
      <c r="M69" s="60">
        <f t="shared" si="6"/>
        <v>2155000</v>
      </c>
      <c r="N69" s="61">
        <f>SUM(C69:M69)</f>
        <v>21025000</v>
      </c>
      <c r="R69" s="62"/>
      <c r="S69" s="50"/>
      <c r="T69" s="50"/>
    </row>
    <row r="70" spans="1:28" x14ac:dyDescent="0.2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R70" s="7"/>
    </row>
    <row r="71" spans="1:28" x14ac:dyDescent="0.25">
      <c r="A71" s="2" t="s">
        <v>67</v>
      </c>
      <c r="C71" s="63">
        <f>C69</f>
        <v>0</v>
      </c>
      <c r="D71" s="63">
        <f>C71+D69</f>
        <v>1630000</v>
      </c>
      <c r="E71" s="63">
        <f t="shared" ref="E71:J71" si="7">D71+E69</f>
        <v>3785000</v>
      </c>
      <c r="F71" s="63">
        <f t="shared" si="7"/>
        <v>5940000</v>
      </c>
      <c r="G71" s="63">
        <f t="shared" si="7"/>
        <v>8095000</v>
      </c>
      <c r="H71" s="63">
        <f t="shared" si="7"/>
        <v>10250000</v>
      </c>
      <c r="I71" s="63">
        <f t="shared" si="7"/>
        <v>12405000</v>
      </c>
      <c r="J71" s="63">
        <f t="shared" si="7"/>
        <v>14560000</v>
      </c>
      <c r="K71" s="63">
        <f>J71+K69</f>
        <v>16715000</v>
      </c>
      <c r="L71" s="63">
        <f>K71+L69</f>
        <v>18870000</v>
      </c>
      <c r="M71" s="63">
        <f>L71+M69</f>
        <v>21025000</v>
      </c>
      <c r="N71" s="60"/>
      <c r="R71" s="50"/>
      <c r="S71" s="50"/>
    </row>
    <row r="72" spans="1:28" x14ac:dyDescent="0.2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Q72" s="7"/>
    </row>
    <row r="73" spans="1:28" ht="13" x14ac:dyDescent="0.3">
      <c r="C73" s="7"/>
      <c r="D73" s="7"/>
      <c r="E73" s="7"/>
      <c r="F73" s="7"/>
      <c r="G73" s="7"/>
      <c r="H73" s="64"/>
      <c r="I73" s="64"/>
      <c r="J73" s="64"/>
      <c r="K73" s="64"/>
      <c r="L73" s="64"/>
      <c r="M73" s="64"/>
      <c r="N73" s="7"/>
      <c r="O73" s="7"/>
      <c r="P73" s="7"/>
      <c r="Q73" s="7"/>
    </row>
    <row r="74" spans="1:28" s="23" customFormat="1" ht="8.25" customHeight="1" x14ac:dyDescent="0.3">
      <c r="A74" s="21" t="s">
        <v>28</v>
      </c>
      <c r="B74" s="21"/>
      <c r="C74" s="21" t="s">
        <v>28</v>
      </c>
      <c r="D74" s="21" t="s">
        <v>28</v>
      </c>
      <c r="E74" s="21" t="s">
        <v>28</v>
      </c>
      <c r="F74" s="21" t="s">
        <v>28</v>
      </c>
      <c r="G74" s="21" t="s">
        <v>28</v>
      </c>
      <c r="H74" s="21" t="s">
        <v>28</v>
      </c>
      <c r="I74" s="21" t="s">
        <v>28</v>
      </c>
      <c r="J74" s="21" t="s">
        <v>28</v>
      </c>
      <c r="K74" s="21"/>
      <c r="L74" s="21"/>
      <c r="M74" s="21"/>
      <c r="N74" s="21" t="s">
        <v>28</v>
      </c>
      <c r="O74" s="21"/>
      <c r="P74" s="21"/>
      <c r="Q74" s="21"/>
      <c r="R74" s="21"/>
      <c r="S74" s="21" t="s">
        <v>28</v>
      </c>
      <c r="T74" s="21" t="s">
        <v>28</v>
      </c>
      <c r="U74" s="21" t="s">
        <v>28</v>
      </c>
      <c r="V74" s="21" t="s">
        <v>28</v>
      </c>
      <c r="W74" s="21" t="s">
        <v>28</v>
      </c>
      <c r="X74" s="21" t="s">
        <v>28</v>
      </c>
      <c r="Y74" s="21" t="s">
        <v>28</v>
      </c>
      <c r="Z74" s="21" t="s">
        <v>28</v>
      </c>
      <c r="AA74" s="21" t="s">
        <v>28</v>
      </c>
      <c r="AB74" s="21" t="s">
        <v>28</v>
      </c>
    </row>
    <row r="75" spans="1:28" ht="13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13" x14ac:dyDescent="0.3">
      <c r="A76" s="65" t="s">
        <v>68</v>
      </c>
      <c r="B76" s="65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ht="13" x14ac:dyDescent="0.3">
      <c r="A77" s="2" t="s">
        <v>69</v>
      </c>
      <c r="C77" s="145">
        <v>0</v>
      </c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 t="s">
        <v>70</v>
      </c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13" x14ac:dyDescent="0.3">
      <c r="A78" s="9"/>
      <c r="B78" s="9"/>
      <c r="C78" s="9" t="s">
        <v>223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ht="13" x14ac:dyDescent="0.3">
      <c r="A79" s="66" t="s">
        <v>71</v>
      </c>
      <c r="B79" s="66"/>
      <c r="C79" s="67" t="s">
        <v>72</v>
      </c>
      <c r="D79" s="62">
        <v>1250</v>
      </c>
      <c r="E79" s="62">
        <f>D79</f>
        <v>1250</v>
      </c>
      <c r="F79" s="62">
        <f>E81</f>
        <v>1250</v>
      </c>
      <c r="G79" s="62">
        <f t="shared" ref="G79:M79" si="8">F81</f>
        <v>1250</v>
      </c>
      <c r="H79" s="62">
        <f t="shared" si="8"/>
        <v>1250</v>
      </c>
      <c r="I79" s="62">
        <f t="shared" si="8"/>
        <v>1250</v>
      </c>
      <c r="J79" s="62">
        <f t="shared" si="8"/>
        <v>1250</v>
      </c>
      <c r="K79" s="62">
        <f t="shared" si="8"/>
        <v>1250</v>
      </c>
      <c r="L79" s="62">
        <f t="shared" si="8"/>
        <v>1250</v>
      </c>
      <c r="M79" s="62">
        <f t="shared" si="8"/>
        <v>1250</v>
      </c>
      <c r="N79" s="34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13" x14ac:dyDescent="0.3">
      <c r="A80" s="66"/>
      <c r="B80" s="66"/>
      <c r="C80" s="34"/>
      <c r="D80" s="34"/>
      <c r="E80" s="146">
        <f>E79*$C$77</f>
        <v>0</v>
      </c>
      <c r="F80" s="146">
        <f>F79*$C$77</f>
        <v>0</v>
      </c>
      <c r="G80" s="146">
        <f t="shared" ref="G80:M80" si="9">G79*$C$77</f>
        <v>0</v>
      </c>
      <c r="H80" s="146">
        <f t="shared" si="9"/>
        <v>0</v>
      </c>
      <c r="I80" s="146">
        <f t="shared" si="9"/>
        <v>0</v>
      </c>
      <c r="J80" s="146">
        <f t="shared" si="9"/>
        <v>0</v>
      </c>
      <c r="K80" s="146">
        <f t="shared" si="9"/>
        <v>0</v>
      </c>
      <c r="L80" s="146">
        <f t="shared" si="9"/>
        <v>0</v>
      </c>
      <c r="M80" s="146">
        <f t="shared" si="9"/>
        <v>0</v>
      </c>
      <c r="N80" s="34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t="13.5" thickBot="1" x14ac:dyDescent="0.35">
      <c r="A81" s="68" t="s">
        <v>73</v>
      </c>
      <c r="B81" s="68"/>
      <c r="C81" s="69">
        <f t="shared" ref="C81:M81" si="10">SUM(C79:C80)</f>
        <v>0</v>
      </c>
      <c r="D81" s="69">
        <f t="shared" si="10"/>
        <v>1250</v>
      </c>
      <c r="E81" s="70">
        <f t="shared" si="10"/>
        <v>1250</v>
      </c>
      <c r="F81" s="70">
        <f t="shared" si="10"/>
        <v>1250</v>
      </c>
      <c r="G81" s="69">
        <f t="shared" si="10"/>
        <v>1250</v>
      </c>
      <c r="H81" s="69">
        <f t="shared" si="10"/>
        <v>1250</v>
      </c>
      <c r="I81" s="69">
        <f t="shared" si="10"/>
        <v>1250</v>
      </c>
      <c r="J81" s="69">
        <f t="shared" si="10"/>
        <v>1250</v>
      </c>
      <c r="K81" s="69">
        <f t="shared" si="10"/>
        <v>1250</v>
      </c>
      <c r="L81" s="69">
        <f t="shared" si="10"/>
        <v>1250</v>
      </c>
      <c r="M81" s="69">
        <f t="shared" si="10"/>
        <v>1250</v>
      </c>
      <c r="N81" s="6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ht="13.5" thickTop="1" x14ac:dyDescent="0.3">
      <c r="A82" s="9"/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 s="23" customFormat="1" ht="13" x14ac:dyDescent="0.3">
      <c r="A83" s="21"/>
      <c r="B83" s="21"/>
      <c r="C83" s="7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spans="1:28" ht="13" x14ac:dyDescent="0.3">
      <c r="A84" s="72" t="s">
        <v>74</v>
      </c>
      <c r="B84" s="72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8" spans="1:28" x14ac:dyDescent="0.25">
      <c r="E88" s="50">
        <f>E65/1000</f>
        <v>255</v>
      </c>
      <c r="F88" s="296">
        <f>E88/12</f>
        <v>21.25</v>
      </c>
      <c r="G88" s="296">
        <f>F88*5</f>
        <v>106.25</v>
      </c>
      <c r="H88" s="296">
        <f>F88*40</f>
        <v>850</v>
      </c>
    </row>
  </sheetData>
  <mergeCells count="3">
    <mergeCell ref="C31:I31"/>
    <mergeCell ref="D45:F45"/>
    <mergeCell ref="I45:K45"/>
  </mergeCells>
  <phoneticPr fontId="30" type="noConversion"/>
  <printOptions headings="1"/>
  <pageMargins left="0.75" right="0.75" top="1" bottom="1" header="0.5" footer="0.5"/>
  <pageSetup paperSize="5" scale="49" fitToHeight="23" orientation="landscape" verticalDpi="150" r:id="rId1"/>
  <headerFooter alignWithMargins="0">
    <oddHeader>&amp;L&amp;"Franklin Gothic Book"&amp;10&amp;K000000Sensitive&amp;1#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7CA2-F36C-4624-B54D-75A9B05C2EA6}">
  <dimension ref="A1:BC145"/>
  <sheetViews>
    <sheetView workbookViewId="0">
      <selection activeCell="F12" sqref="F12"/>
    </sheetView>
  </sheetViews>
  <sheetFormatPr defaultRowHeight="14.5" x14ac:dyDescent="0.35"/>
  <cols>
    <col min="1" max="1" width="7.26953125" customWidth="1"/>
    <col min="2" max="2" width="26.1796875" bestFit="1" customWidth="1"/>
    <col min="8" max="8" width="13.54296875" customWidth="1"/>
    <col min="9" max="9" width="15.453125" customWidth="1"/>
    <col min="10" max="10" width="38.7265625" customWidth="1"/>
    <col min="11" max="11" width="8.7265625" customWidth="1"/>
    <col min="12" max="12" width="5.26953125" customWidth="1"/>
    <col min="13" max="13" width="12.54296875" bestFit="1" customWidth="1"/>
    <col min="14" max="14" width="8" customWidth="1"/>
    <col min="15" max="15" width="9.54296875" bestFit="1" customWidth="1"/>
    <col min="25" max="25" width="11.81640625" bestFit="1" customWidth="1"/>
    <col min="35" max="35" width="11.81640625" customWidth="1"/>
    <col min="36" max="36" width="10.54296875" bestFit="1" customWidth="1"/>
    <col min="38" max="38" width="12" hidden="1" customWidth="1"/>
    <col min="39" max="39" width="16" customWidth="1"/>
    <col min="40" max="40" width="12.26953125" bestFit="1" customWidth="1"/>
    <col min="41" max="41" width="13.26953125" bestFit="1" customWidth="1"/>
    <col min="42" max="44" width="11.81640625" bestFit="1" customWidth="1"/>
    <col min="45" max="45" width="12.81640625" bestFit="1" customWidth="1"/>
    <col min="46" max="46" width="12.54296875" customWidth="1"/>
    <col min="47" max="50" width="12" bestFit="1" customWidth="1"/>
    <col min="51" max="51" width="16.1796875" customWidth="1"/>
    <col min="52" max="52" width="12.54296875" bestFit="1" customWidth="1"/>
    <col min="53" max="53" width="10.7265625" customWidth="1"/>
    <col min="55" max="55" width="13.81640625" customWidth="1"/>
  </cols>
  <sheetData>
    <row r="1" spans="1:55" s="79" customFormat="1" ht="15" customHeight="1" thickBot="1" x14ac:dyDescent="0.3">
      <c r="G1" s="375" t="s">
        <v>81</v>
      </c>
      <c r="H1" s="376"/>
      <c r="I1" s="376"/>
      <c r="J1" s="376"/>
      <c r="K1" s="376"/>
      <c r="L1" s="376"/>
      <c r="M1" s="377"/>
      <c r="P1" s="80"/>
    </row>
    <row r="2" spans="1:55" s="79" customFormat="1" ht="14.5" customHeight="1" x14ac:dyDescent="0.3">
      <c r="G2" s="378"/>
      <c r="H2" s="379"/>
      <c r="I2" s="379"/>
      <c r="J2" s="379"/>
      <c r="K2" s="379"/>
      <c r="L2" s="379"/>
      <c r="M2" s="380"/>
      <c r="O2" s="384" t="s">
        <v>82</v>
      </c>
      <c r="P2" s="385"/>
      <c r="AQ2" s="79">
        <v>200</v>
      </c>
      <c r="AR2" s="79">
        <v>96</v>
      </c>
      <c r="AU2" s="79">
        <f>AQ2*AR2</f>
        <v>19200</v>
      </c>
      <c r="AV2" s="79">
        <v>1</v>
      </c>
    </row>
    <row r="3" spans="1:55" s="79" customFormat="1" ht="14.5" customHeight="1" x14ac:dyDescent="0.25">
      <c r="G3" s="378"/>
      <c r="H3" s="379"/>
      <c r="I3" s="379"/>
      <c r="J3" s="379"/>
      <c r="K3" s="379"/>
      <c r="L3" s="379"/>
      <c r="M3" s="380"/>
      <c r="N3" s="81" t="s">
        <v>83</v>
      </c>
      <c r="O3" s="82" t="s">
        <v>84</v>
      </c>
      <c r="P3" s="83"/>
      <c r="AL3" s="79">
        <f>18585*18+57390</f>
        <v>391920</v>
      </c>
      <c r="AQ3" s="79">
        <v>1600</v>
      </c>
      <c r="AR3" s="79">
        <v>12</v>
      </c>
      <c r="AU3" s="79">
        <f>AQ3*AR3</f>
        <v>19200</v>
      </c>
    </row>
    <row r="4" spans="1:55" s="79" customFormat="1" ht="15" customHeight="1" thickBot="1" x14ac:dyDescent="0.4">
      <c r="G4" s="378"/>
      <c r="H4" s="379"/>
      <c r="I4" s="379"/>
      <c r="J4" s="379"/>
      <c r="K4" s="379"/>
      <c r="L4" s="379"/>
      <c r="M4" s="380"/>
      <c r="O4" s="82" t="s">
        <v>85</v>
      </c>
      <c r="P4" s="84"/>
      <c r="Q4" s="85"/>
      <c r="R4" s="85"/>
      <c r="S4" s="85"/>
      <c r="T4" s="85"/>
      <c r="AL4" s="79">
        <f>3229/56890</f>
        <v>5.6758657057479345E-2</v>
      </c>
      <c r="AR4" s="86"/>
      <c r="AS4" s="86"/>
      <c r="AT4" s="86"/>
      <c r="AU4" s="86"/>
      <c r="AV4" s="86"/>
      <c r="AW4" s="86"/>
      <c r="AX4" s="86"/>
      <c r="AY4" s="86"/>
    </row>
    <row r="5" spans="1:55" s="79" customFormat="1" ht="15" customHeight="1" thickBot="1" x14ac:dyDescent="0.4">
      <c r="C5" s="79">
        <v>75196</v>
      </c>
      <c r="D5" s="79">
        <v>18</v>
      </c>
      <c r="E5" s="79">
        <f>C5*D5</f>
        <v>1353528</v>
      </c>
      <c r="G5" s="381"/>
      <c r="H5" s="382"/>
      <c r="I5" s="382"/>
      <c r="J5" s="382"/>
      <c r="K5" s="382"/>
      <c r="L5" s="382"/>
      <c r="M5" s="383"/>
      <c r="O5" s="87" t="s">
        <v>86</v>
      </c>
      <c r="P5" s="88"/>
      <c r="Q5" s="386" t="s">
        <v>87</v>
      </c>
      <c r="R5" s="387"/>
      <c r="S5" s="89"/>
      <c r="T5" s="89"/>
      <c r="AR5" s="86"/>
      <c r="AS5" s="86"/>
      <c r="AT5" s="86"/>
      <c r="AU5" s="86"/>
      <c r="AV5" s="86"/>
      <c r="AW5" s="86"/>
      <c r="AX5" s="86"/>
      <c r="AY5" s="86"/>
    </row>
    <row r="6" spans="1:55" s="79" customFormat="1" ht="15.5" x14ac:dyDescent="0.35">
      <c r="E6" s="79">
        <f>199551*18</f>
        <v>3591918</v>
      </c>
      <c r="G6" s="90"/>
      <c r="H6" s="90"/>
      <c r="I6" s="90"/>
      <c r="J6" s="90"/>
      <c r="K6" s="90"/>
      <c r="L6" s="90"/>
      <c r="M6" s="90"/>
      <c r="O6" s="79" t="s">
        <v>88</v>
      </c>
      <c r="P6" s="91"/>
      <c r="Q6" s="92" t="s">
        <v>89</v>
      </c>
      <c r="R6" s="93"/>
      <c r="S6" s="94"/>
      <c r="T6" s="94"/>
      <c r="AR6" s="86"/>
      <c r="AS6" s="86"/>
      <c r="AT6" s="86"/>
      <c r="AU6" s="86"/>
      <c r="AV6" s="86"/>
      <c r="AW6" s="86"/>
      <c r="AX6" s="86"/>
      <c r="AY6" s="86"/>
    </row>
    <row r="7" spans="1:55" s="79" customFormat="1" ht="16" thickBot="1" x14ac:dyDescent="0.4">
      <c r="G7" s="90"/>
      <c r="H7" s="90"/>
      <c r="I7" s="90"/>
      <c r="J7" s="90"/>
      <c r="K7" s="90"/>
      <c r="L7" s="90"/>
      <c r="M7" s="90"/>
      <c r="P7" s="91"/>
      <c r="Q7" s="95" t="s">
        <v>90</v>
      </c>
      <c r="R7" s="96"/>
      <c r="S7" s="94"/>
      <c r="T7" s="94"/>
      <c r="AR7" s="86"/>
      <c r="AS7" s="86"/>
      <c r="AT7" s="86"/>
      <c r="AU7" s="86"/>
      <c r="AV7" s="86"/>
      <c r="AW7" s="86"/>
      <c r="AX7" s="86"/>
      <c r="AY7" s="86"/>
    </row>
    <row r="8" spans="1:55" s="79" customFormat="1" ht="12.5" x14ac:dyDescent="0.25">
      <c r="P8" s="80"/>
    </row>
    <row r="9" spans="1:55" s="79" customFormat="1" ht="48.75" customHeight="1" thickBot="1" x14ac:dyDescent="0.3">
      <c r="C9" s="97" t="s">
        <v>91</v>
      </c>
      <c r="D9" s="97" t="s">
        <v>92</v>
      </c>
      <c r="E9" s="97" t="s">
        <v>93</v>
      </c>
      <c r="F9" s="97" t="s">
        <v>94</v>
      </c>
      <c r="G9" s="97" t="s">
        <v>95</v>
      </c>
      <c r="H9" s="97" t="s">
        <v>408</v>
      </c>
      <c r="I9" s="97" t="s">
        <v>96</v>
      </c>
      <c r="J9" s="97" t="s">
        <v>97</v>
      </c>
      <c r="K9" s="97" t="s">
        <v>215</v>
      </c>
      <c r="L9" s="97" t="s">
        <v>114</v>
      </c>
      <c r="M9" s="97" t="s">
        <v>219</v>
      </c>
      <c r="N9" s="97" t="s">
        <v>98</v>
      </c>
      <c r="O9" s="98" t="s">
        <v>99</v>
      </c>
      <c r="P9" s="99" t="s">
        <v>120</v>
      </c>
      <c r="Q9" s="99" t="s">
        <v>121</v>
      </c>
      <c r="R9" s="99" t="s">
        <v>122</v>
      </c>
      <c r="S9" s="99" t="s">
        <v>123</v>
      </c>
      <c r="T9" s="99" t="s">
        <v>124</v>
      </c>
      <c r="U9" s="99" t="s">
        <v>125</v>
      </c>
      <c r="V9" s="99" t="s">
        <v>126</v>
      </c>
      <c r="W9" s="99" t="s">
        <v>127</v>
      </c>
      <c r="X9" s="127" t="s">
        <v>113</v>
      </c>
      <c r="Y9" s="100" t="s">
        <v>33</v>
      </c>
      <c r="Z9" s="100" t="s">
        <v>34</v>
      </c>
      <c r="AA9" s="100" t="s">
        <v>35</v>
      </c>
      <c r="AB9" s="100" t="s">
        <v>36</v>
      </c>
      <c r="AC9" s="100" t="s">
        <v>37</v>
      </c>
      <c r="AD9" s="100" t="s">
        <v>38</v>
      </c>
      <c r="AE9" s="100" t="s">
        <v>39</v>
      </c>
      <c r="AF9" s="100" t="s">
        <v>40</v>
      </c>
      <c r="AG9" s="100" t="s">
        <v>41</v>
      </c>
      <c r="AH9" s="100" t="s">
        <v>42</v>
      </c>
      <c r="AI9" s="101" t="s">
        <v>100</v>
      </c>
      <c r="AJ9" s="101" t="s">
        <v>101</v>
      </c>
      <c r="AK9" s="102" t="s">
        <v>102</v>
      </c>
      <c r="AL9" s="103" t="s">
        <v>103</v>
      </c>
      <c r="AM9" s="104" t="str">
        <f>CONCATENATE(Y9," Costs")</f>
        <v>Year 1 Costs</v>
      </c>
      <c r="AN9" s="104" t="str">
        <f>CONCATENATE(Z9," Costs")</f>
        <v>Year 2 Costs</v>
      </c>
      <c r="AO9" s="104" t="s">
        <v>104</v>
      </c>
      <c r="AP9" s="104" t="s">
        <v>105</v>
      </c>
      <c r="AQ9" s="104" t="s">
        <v>106</v>
      </c>
      <c r="AR9" s="104" t="s">
        <v>107</v>
      </c>
      <c r="AS9" s="104" t="s">
        <v>116</v>
      </c>
      <c r="AT9" s="104"/>
      <c r="AU9" s="105" t="s">
        <v>108</v>
      </c>
      <c r="AV9" s="105" t="s">
        <v>109</v>
      </c>
      <c r="AW9" s="105" t="s">
        <v>110</v>
      </c>
      <c r="AX9" s="105" t="s">
        <v>111</v>
      </c>
      <c r="AY9" s="105" t="s">
        <v>115</v>
      </c>
      <c r="AZ9" s="106" t="s">
        <v>112</v>
      </c>
    </row>
    <row r="10" spans="1:55" s="79" customFormat="1" ht="48.75" customHeight="1" x14ac:dyDescent="0.25"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8"/>
      <c r="P10" s="149"/>
      <c r="Q10" s="149"/>
      <c r="R10" s="149"/>
      <c r="S10" s="149"/>
      <c r="T10" s="149"/>
      <c r="U10" s="149"/>
      <c r="V10" s="149"/>
      <c r="W10" s="149"/>
      <c r="X10" s="150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02"/>
      <c r="AJ10" s="102"/>
      <c r="AK10" s="102"/>
      <c r="AL10" s="152"/>
      <c r="AM10" s="153"/>
      <c r="AN10" s="153"/>
      <c r="AO10" s="153"/>
      <c r="AP10" s="153"/>
      <c r="AQ10" s="153"/>
      <c r="AR10" s="153"/>
      <c r="AS10" s="153"/>
      <c r="AT10" s="153"/>
      <c r="AU10" s="154"/>
      <c r="AV10" s="154"/>
      <c r="AW10" s="154"/>
      <c r="AX10" s="154"/>
      <c r="AY10" s="154"/>
      <c r="AZ10" s="155"/>
    </row>
    <row r="11" spans="1:55" x14ac:dyDescent="0.35">
      <c r="A11" t="s">
        <v>234</v>
      </c>
    </row>
    <row r="12" spans="1:55" x14ac:dyDescent="0.35">
      <c r="B12" t="s">
        <v>117</v>
      </c>
      <c r="H12" t="str">
        <f>CONCATENATE(K12,I12)</f>
        <v>1Labor</v>
      </c>
      <c r="I12" t="s">
        <v>89</v>
      </c>
      <c r="J12" t="str">
        <f t="shared" ref="J12" si="0">B12</f>
        <v>Development Canada</v>
      </c>
      <c r="K12">
        <v>1</v>
      </c>
      <c r="M12" s="248">
        <f>120000/2080*0.75</f>
        <v>43.269230769230774</v>
      </c>
      <c r="N12" s="107"/>
      <c r="O12" s="126">
        <f>'Application Development'!E163</f>
        <v>1683.8249999999998</v>
      </c>
      <c r="P12" s="125"/>
      <c r="Q12" s="125"/>
      <c r="R12" s="125"/>
      <c r="S12" s="125"/>
      <c r="T12" s="125"/>
      <c r="U12" s="125"/>
      <c r="V12" s="125"/>
      <c r="W12" s="125"/>
      <c r="X12" s="125">
        <f t="shared" ref="X12:X15" si="1">SUM(P12:W12)</f>
        <v>0</v>
      </c>
      <c r="Y12">
        <v>1690</v>
      </c>
      <c r="AI12">
        <f t="shared" ref="AI12:AI13" si="2">SUM(Y12:AH12)</f>
        <v>1690</v>
      </c>
      <c r="AJ12" s="128">
        <f t="shared" ref="AJ12:AJ15" si="3">AI12+X12</f>
        <v>1690</v>
      </c>
      <c r="AL12" s="128">
        <f>$M12*(1+$N12)*X12*Assumpt!C$39</f>
        <v>0</v>
      </c>
      <c r="AM12" s="128">
        <f>$M12*(1+$N12)*Y12*Assumpt!D$39</f>
        <v>73125.000000000015</v>
      </c>
      <c r="AN12" s="128">
        <f>$M12*(1+P12)*Z12*Assumpt!E$39</f>
        <v>0</v>
      </c>
      <c r="AO12" s="128">
        <f>P12*(1+Q12)*AA12*Assumpt!F39</f>
        <v>0</v>
      </c>
      <c r="AP12" s="128">
        <f>Q12*(1+R12)*AB12*Assumpt!G39</f>
        <v>0</v>
      </c>
      <c r="AQ12" s="128">
        <f>R12*(1+S12)*AC12*Assumpt!H39</f>
        <v>0</v>
      </c>
      <c r="AR12" s="128">
        <f>S12*(1+T12)*AD12*Assumpt!I39</f>
        <v>0</v>
      </c>
      <c r="AS12" s="128">
        <f>SUM(AM12:AR12)</f>
        <v>73125.000000000015</v>
      </c>
      <c r="AT12" s="128"/>
      <c r="AU12" s="128">
        <f>T12*(1+U12)*AE12*Assumpt!J39</f>
        <v>0</v>
      </c>
      <c r="AV12" s="128">
        <f>U12*(1+V12)*AF12*Assumpt!K39</f>
        <v>0</v>
      </c>
      <c r="AW12" s="128">
        <f>V12*(1+W12)*AG12*Assumpt!L39</f>
        <v>0</v>
      </c>
      <c r="AX12" s="128">
        <f>W12*(1+X12)*AH12*Assumpt!M39</f>
        <v>0</v>
      </c>
      <c r="AY12" s="128">
        <f t="shared" ref="AY12:AY75" si="4">SUM(AU12:AX12)</f>
        <v>0</v>
      </c>
      <c r="AZ12" s="128">
        <f t="shared" ref="AZ12:AZ75" si="5">AL12+AS12+AY12</f>
        <v>73125.000000000015</v>
      </c>
      <c r="BC12" s="128">
        <f>AV12-AU12</f>
        <v>0</v>
      </c>
    </row>
    <row r="13" spans="1:55" x14ac:dyDescent="0.35">
      <c r="B13" t="s">
        <v>117</v>
      </c>
      <c r="H13" t="str">
        <f t="shared" ref="H13:H77" si="6">CONCATENATE(K13,I13)</f>
        <v>2Labor</v>
      </c>
      <c r="I13" t="s">
        <v>89</v>
      </c>
      <c r="J13" t="str">
        <f t="shared" ref="J13:J15" si="7">B13</f>
        <v>Development Canada</v>
      </c>
      <c r="K13">
        <v>2</v>
      </c>
      <c r="M13" s="248">
        <f>120000/2080*0.75</f>
        <v>43.269230769230774</v>
      </c>
      <c r="N13" s="107"/>
      <c r="O13" s="126">
        <f>'Application Development'!F163</f>
        <v>6735.2999999999993</v>
      </c>
      <c r="P13" s="125"/>
      <c r="Q13" s="125"/>
      <c r="R13" s="125"/>
      <c r="S13" s="125"/>
      <c r="T13" s="125"/>
      <c r="U13" s="125"/>
      <c r="V13" s="125"/>
      <c r="W13" s="125"/>
      <c r="X13" s="125">
        <f t="shared" si="1"/>
        <v>0</v>
      </c>
      <c r="Y13" s="125">
        <v>6735</v>
      </c>
      <c r="AI13">
        <f t="shared" si="2"/>
        <v>6735</v>
      </c>
      <c r="AJ13" s="128">
        <f t="shared" si="3"/>
        <v>6735</v>
      </c>
      <c r="AL13" s="128">
        <f>$M13*(1+$N13)*X13*Assumpt!C$39</f>
        <v>0</v>
      </c>
      <c r="AM13" s="128">
        <f>$M13*(1+$N13)*Y13*Assumpt!D$39</f>
        <v>291418.26923076925</v>
      </c>
      <c r="AN13" s="128">
        <f>$M13*(1+P13)*Z13*Assumpt!E$39</f>
        <v>0</v>
      </c>
      <c r="AO13" s="128">
        <f>P13*(1+Q13)*AA13*Assumpt!F40</f>
        <v>0</v>
      </c>
      <c r="AP13" s="128">
        <f>Q13*(1+R13)*AB13*Assumpt!G40</f>
        <v>0</v>
      </c>
      <c r="AQ13" s="128">
        <f>R13*(1+S13)*AC13*Assumpt!H40</f>
        <v>0</v>
      </c>
      <c r="AR13" s="128">
        <f>S13*(1+T13)*AD13*Assumpt!I40</f>
        <v>0</v>
      </c>
      <c r="AS13" s="128">
        <f t="shared" ref="AS13:AS77" si="8">SUM(AM13:AR13)</f>
        <v>291418.26923076925</v>
      </c>
      <c r="AT13" s="128"/>
      <c r="AU13" s="128">
        <f>T13*(1+U13)*AE13*Assumpt!J40</f>
        <v>0</v>
      </c>
      <c r="AV13" s="128">
        <f>U13*(1+V13)*AF13*Assumpt!K40</f>
        <v>0</v>
      </c>
      <c r="AW13" s="128">
        <f>V13*(1+W13)*AG13*Assumpt!L40</f>
        <v>0</v>
      </c>
      <c r="AX13" s="128">
        <f>W13*(1+X13)*AH13*Assumpt!M40</f>
        <v>0</v>
      </c>
      <c r="AY13" s="128">
        <f t="shared" si="4"/>
        <v>0</v>
      </c>
      <c r="AZ13" s="128">
        <f t="shared" si="5"/>
        <v>291418.26923076925</v>
      </c>
      <c r="BC13" s="128">
        <f t="shared" ref="BC13:BC76" si="9">AV13-AU13</f>
        <v>0</v>
      </c>
    </row>
    <row r="14" spans="1:55" x14ac:dyDescent="0.35">
      <c r="B14" t="s">
        <v>118</v>
      </c>
      <c r="H14" t="str">
        <f t="shared" si="6"/>
        <v>11Labor</v>
      </c>
      <c r="I14" t="s">
        <v>89</v>
      </c>
      <c r="J14" t="str">
        <f t="shared" ref="J14" si="10">B14</f>
        <v>Support Canada</v>
      </c>
      <c r="K14">
        <v>11</v>
      </c>
      <c r="M14" s="248">
        <f>120000/2080*0.75</f>
        <v>43.269230769230774</v>
      </c>
      <c r="N14" s="107"/>
      <c r="O14" s="126">
        <v>0</v>
      </c>
      <c r="P14" s="125"/>
      <c r="Q14" s="125"/>
      <c r="R14" s="125"/>
      <c r="S14" s="125"/>
      <c r="T14" s="125"/>
      <c r="U14" s="125"/>
      <c r="V14" s="125"/>
      <c r="W14" s="125"/>
      <c r="X14" s="125">
        <f t="shared" si="1"/>
        <v>0</v>
      </c>
      <c r="Y14">
        <f>$O$14*Assumpt!$E$50</f>
        <v>0</v>
      </c>
      <c r="Z14">
        <f>$O$14*Assumpt!$E$50</f>
        <v>0</v>
      </c>
      <c r="AA14">
        <f>$O$14*Assumpt!$E$50</f>
        <v>0</v>
      </c>
      <c r="AB14">
        <f>$O$14*Assumpt!$E$50</f>
        <v>0</v>
      </c>
      <c r="AC14">
        <f>$O$14*Assumpt!$E$50</f>
        <v>0</v>
      </c>
      <c r="AD14">
        <f>$O$14*Assumpt!$E$50</f>
        <v>0</v>
      </c>
      <c r="AE14">
        <f>$O$14*Assumpt!$E$50</f>
        <v>0</v>
      </c>
      <c r="AF14">
        <f>$O$14*Assumpt!$E$50</f>
        <v>0</v>
      </c>
      <c r="AG14">
        <f>$O$14*Assumpt!$E$50</f>
        <v>0</v>
      </c>
      <c r="AH14">
        <f>$O$14*Assumpt!$E$50</f>
        <v>0</v>
      </c>
      <c r="AI14">
        <f t="shared" ref="AI14" si="11">SUM(Y14:AH14)</f>
        <v>0</v>
      </c>
      <c r="AJ14" s="128">
        <f t="shared" si="3"/>
        <v>0</v>
      </c>
      <c r="AL14" s="128">
        <f>$M14*(1+$N14)*X14*Assumpt!C$39</f>
        <v>0</v>
      </c>
      <c r="AM14" s="128">
        <f>$M14*(1+$N14)*Y14*Assumpt!D$39</f>
        <v>0</v>
      </c>
      <c r="AN14" s="128"/>
      <c r="AO14" s="128"/>
      <c r="AP14" s="128"/>
      <c r="AQ14" s="128"/>
      <c r="AR14" s="128"/>
      <c r="AS14" s="128">
        <f t="shared" si="8"/>
        <v>0</v>
      </c>
      <c r="AT14" s="128"/>
      <c r="AU14" s="128"/>
      <c r="AV14" s="128"/>
      <c r="AW14" s="128"/>
      <c r="AX14" s="128"/>
      <c r="AY14" s="128">
        <f t="shared" si="4"/>
        <v>0</v>
      </c>
      <c r="AZ14" s="128">
        <f t="shared" si="5"/>
        <v>0</v>
      </c>
      <c r="BC14" s="128">
        <f t="shared" si="9"/>
        <v>0</v>
      </c>
    </row>
    <row r="15" spans="1:55" x14ac:dyDescent="0.35">
      <c r="B15" t="s">
        <v>118</v>
      </c>
      <c r="H15" t="str">
        <f t="shared" si="6"/>
        <v>11Labor</v>
      </c>
      <c r="I15" t="s">
        <v>89</v>
      </c>
      <c r="J15" t="str">
        <f t="shared" si="7"/>
        <v>Support Canada</v>
      </c>
      <c r="K15">
        <v>11</v>
      </c>
      <c r="M15" s="248">
        <f>120000/2080*0.75</f>
        <v>43.269230769230774</v>
      </c>
      <c r="N15" s="107"/>
      <c r="O15" s="126">
        <v>1.5</v>
      </c>
      <c r="P15" s="125"/>
      <c r="Q15" s="125"/>
      <c r="R15" s="125"/>
      <c r="S15" s="125"/>
      <c r="T15" s="125"/>
      <c r="U15" s="125"/>
      <c r="V15" s="125"/>
      <c r="W15" s="125"/>
      <c r="X15" s="125">
        <f t="shared" si="1"/>
        <v>0</v>
      </c>
      <c r="Y15">
        <f>$O$15*Assumpt!$E$50</f>
        <v>2844</v>
      </c>
      <c r="Z15">
        <f>$O$15*Assumpt!$E$50</f>
        <v>2844</v>
      </c>
      <c r="AA15">
        <f>$O$15*Assumpt!$E$50</f>
        <v>2844</v>
      </c>
      <c r="AB15">
        <f>$O$15*Assumpt!$E$50</f>
        <v>2844</v>
      </c>
      <c r="AC15">
        <f>$O$15*Assumpt!$E$50</f>
        <v>2844</v>
      </c>
      <c r="AD15">
        <f>$O$15*Assumpt!$E$50</f>
        <v>2844</v>
      </c>
      <c r="AE15">
        <f>$O$15*Assumpt!$E$50</f>
        <v>2844</v>
      </c>
      <c r="AF15">
        <f>$O$15*Assumpt!$E$50</f>
        <v>2844</v>
      </c>
      <c r="AG15">
        <f>$O$15*Assumpt!$E$50</f>
        <v>2844</v>
      </c>
      <c r="AH15">
        <f>$O$15*Assumpt!$E$50</f>
        <v>2844</v>
      </c>
      <c r="AI15">
        <f>SUM(Y15:AH15)</f>
        <v>28440</v>
      </c>
      <c r="AJ15" s="128">
        <f t="shared" si="3"/>
        <v>28440</v>
      </c>
      <c r="AL15" s="128">
        <f>$M15*(1+$N15)*X15*Assumpt!C$39</f>
        <v>0</v>
      </c>
      <c r="AM15" s="128">
        <f>$M15*(1+$N15)*Y15*Assumpt!D$39</f>
        <v>123057.69230769233</v>
      </c>
      <c r="AN15" s="128">
        <f>$M15*(1+$N15)*Z15*Assumpt!E$39</f>
        <v>126749.42307692309</v>
      </c>
      <c r="AO15" s="128">
        <f>$M15*(1+$N15)*AA15*Assumpt!F$39</f>
        <v>130551.90576923078</v>
      </c>
      <c r="AP15" s="128">
        <f>$M15*(1+$N15)*AB15*Assumpt!G$39</f>
        <v>134468.46294230773</v>
      </c>
      <c r="AQ15" s="128">
        <f>$M15*(1+$N15)*AC15*Assumpt!H$39</f>
        <v>138502.51683057696</v>
      </c>
      <c r="AR15" s="128">
        <f>$M15*(1+$N15)*AD15*Assumpt!I$39</f>
        <v>138502.51683057696</v>
      </c>
      <c r="AS15" s="128">
        <f t="shared" si="8"/>
        <v>791832.51775730785</v>
      </c>
      <c r="AT15" s="128"/>
      <c r="AU15" s="128">
        <f>$M15*(1+$N15)*AE15*Assumpt!J$39</f>
        <v>138502.51683057696</v>
      </c>
      <c r="AV15" s="128">
        <f>$M15*(1+$N15)*AF15*Assumpt!K$39</f>
        <v>138502.51683057696</v>
      </c>
      <c r="AW15" s="128">
        <f>$M15*(1+$N15)*AG15*Assumpt!L$39</f>
        <v>138502.51683057696</v>
      </c>
      <c r="AX15" s="128">
        <f>SUM(AU15:AW15)</f>
        <v>415507.55049173092</v>
      </c>
      <c r="AY15" s="128">
        <f t="shared" si="4"/>
        <v>831015.10098346183</v>
      </c>
      <c r="AZ15" s="128">
        <f t="shared" si="5"/>
        <v>1622847.6187407696</v>
      </c>
      <c r="BC15" s="128">
        <f t="shared" si="9"/>
        <v>0</v>
      </c>
    </row>
    <row r="16" spans="1:55" x14ac:dyDescent="0.35">
      <c r="B16" t="s">
        <v>82</v>
      </c>
      <c r="H16" t="str">
        <f t="shared" si="6"/>
        <v>11Labor</v>
      </c>
      <c r="I16" t="s">
        <v>89</v>
      </c>
      <c r="J16" t="s">
        <v>434</v>
      </c>
      <c r="K16">
        <v>11</v>
      </c>
      <c r="M16" s="248">
        <f>120000/2080*0.75</f>
        <v>43.269230769230774</v>
      </c>
      <c r="N16" s="107">
        <v>0.3</v>
      </c>
      <c r="O16" s="126"/>
      <c r="P16" s="125"/>
      <c r="Q16" s="125"/>
      <c r="R16" s="125"/>
      <c r="S16" s="125"/>
      <c r="T16" s="125"/>
      <c r="U16" s="125"/>
      <c r="V16" s="125"/>
      <c r="W16" s="125"/>
      <c r="X16" s="125"/>
      <c r="AJ16" s="128"/>
      <c r="AL16" s="128">
        <f>SUM(AL12:AL15)*$N$16</f>
        <v>0</v>
      </c>
      <c r="AM16" s="128">
        <f>SUM(AM12:AM15)*$N$16</f>
        <v>146280.28846153847</v>
      </c>
      <c r="AN16" s="128">
        <f t="shared" ref="AN16:AR16" si="12">SUM(AN12:AN15)*$N$16</f>
        <v>38024.826923076929</v>
      </c>
      <c r="AO16" s="128">
        <f t="shared" si="12"/>
        <v>39165.571730769232</v>
      </c>
      <c r="AP16" s="128">
        <f t="shared" si="12"/>
        <v>40340.538882692315</v>
      </c>
      <c r="AQ16" s="128">
        <f t="shared" si="12"/>
        <v>41550.755049173087</v>
      </c>
      <c r="AR16" s="128">
        <f t="shared" si="12"/>
        <v>41550.755049173087</v>
      </c>
      <c r="AS16" s="128">
        <f t="shared" si="8"/>
        <v>346912.73609642312</v>
      </c>
      <c r="AT16" s="128"/>
      <c r="AU16" s="128">
        <f>SUM(AU12:AU15)*$N$16</f>
        <v>41550.755049173087</v>
      </c>
      <c r="AV16" s="128">
        <f>SUM(AV12:AV15)*$N$16</f>
        <v>41550.755049173087</v>
      </c>
      <c r="AW16" s="128">
        <f>SUM(AW12:AW15)*$N$16</f>
        <v>41550.755049173087</v>
      </c>
      <c r="AX16" s="128">
        <f>SUM(AX12:AX15)*$N$16</f>
        <v>124652.26514751927</v>
      </c>
      <c r="AY16" s="128">
        <f t="shared" si="4"/>
        <v>249304.53029503854</v>
      </c>
      <c r="AZ16" s="128">
        <f t="shared" si="5"/>
        <v>596217.26639146172</v>
      </c>
      <c r="BC16" s="128">
        <f t="shared" si="9"/>
        <v>0</v>
      </c>
    </row>
    <row r="17" spans="1:55" x14ac:dyDescent="0.35">
      <c r="A17" t="s">
        <v>235</v>
      </c>
      <c r="H17" t="str">
        <f t="shared" si="6"/>
        <v/>
      </c>
      <c r="AS17" s="128">
        <f t="shared" si="8"/>
        <v>0</v>
      </c>
      <c r="AT17" s="128"/>
      <c r="AY17" s="128">
        <f t="shared" si="4"/>
        <v>0</v>
      </c>
      <c r="AZ17" s="128">
        <f t="shared" si="5"/>
        <v>0</v>
      </c>
      <c r="BC17" s="128">
        <f t="shared" si="9"/>
        <v>0</v>
      </c>
    </row>
    <row r="18" spans="1:55" x14ac:dyDescent="0.35">
      <c r="B18" t="s">
        <v>236</v>
      </c>
      <c r="H18" t="str">
        <f t="shared" si="6"/>
        <v>11Labor</v>
      </c>
      <c r="I18" t="s">
        <v>89</v>
      </c>
      <c r="J18" t="s">
        <v>236</v>
      </c>
      <c r="K18">
        <v>11</v>
      </c>
      <c r="Y18" s="165">
        <v>100360.00090000001</v>
      </c>
      <c r="Z18">
        <v>133640.00120000003</v>
      </c>
      <c r="AA18" s="165">
        <f>Z18</f>
        <v>133640.00120000003</v>
      </c>
      <c r="AB18" s="165">
        <f t="shared" ref="AB18:AH18" si="13">AA18</f>
        <v>133640.00120000003</v>
      </c>
      <c r="AC18" s="165">
        <f t="shared" si="13"/>
        <v>133640.00120000003</v>
      </c>
      <c r="AD18" s="165">
        <f t="shared" si="13"/>
        <v>133640.00120000003</v>
      </c>
      <c r="AE18" s="165">
        <f t="shared" si="13"/>
        <v>133640.00120000003</v>
      </c>
      <c r="AF18" s="165">
        <f t="shared" si="13"/>
        <v>133640.00120000003</v>
      </c>
      <c r="AG18" s="165">
        <f t="shared" si="13"/>
        <v>133640.00120000003</v>
      </c>
      <c r="AH18" s="165">
        <f t="shared" si="13"/>
        <v>133640.00120000003</v>
      </c>
      <c r="AI18" s="165">
        <f>SUM(Y18:AH18)</f>
        <v>1303120.0117000004</v>
      </c>
      <c r="AJ18" s="128">
        <f t="shared" ref="AJ18:AJ19" si="14">AI18+X18</f>
        <v>1303120.0117000004</v>
      </c>
      <c r="AM18" s="128">
        <f>3734738.36177112*0.9</f>
        <v>3361264.5255940082</v>
      </c>
      <c r="AN18" s="128">
        <f>5070844.87466104*0.8</f>
        <v>4056675.8997288318</v>
      </c>
      <c r="AO18" s="128">
        <f>AN18*Assumpt!F38</f>
        <v>4178376.176720697</v>
      </c>
      <c r="AP18" s="128">
        <f>AO18*Assumpt!G38</f>
        <v>4303727.4620223176</v>
      </c>
      <c r="AQ18" s="128">
        <f>AP18*Assumpt!H38</f>
        <v>4432839.2858829871</v>
      </c>
      <c r="AR18" s="128">
        <f>AQ18*Assumpt!I38</f>
        <v>4432839.2858829871</v>
      </c>
      <c r="AS18" s="128">
        <f t="shared" si="8"/>
        <v>24765722.635831829</v>
      </c>
      <c r="AT18" s="128"/>
      <c r="AU18" s="128">
        <f>AR18*Assumpt!J38</f>
        <v>4432839.2858829871</v>
      </c>
      <c r="AV18" s="128">
        <f>AU18*Assumpt!K38</f>
        <v>4432839.2858829871</v>
      </c>
      <c r="AW18" s="128">
        <f>AV18*Assumpt!L38</f>
        <v>4432839.2858829871</v>
      </c>
      <c r="AX18" s="128">
        <f>AW18*Assumpt!M38</f>
        <v>4432839.2858829871</v>
      </c>
      <c r="AY18" s="128">
        <f t="shared" si="4"/>
        <v>17731357.143531948</v>
      </c>
      <c r="AZ18" s="128">
        <f t="shared" si="5"/>
        <v>42497079.779363781</v>
      </c>
      <c r="BC18" s="128">
        <f t="shared" si="9"/>
        <v>0</v>
      </c>
    </row>
    <row r="19" spans="1:55" x14ac:dyDescent="0.35">
      <c r="B19" t="s">
        <v>238</v>
      </c>
      <c r="H19" t="str">
        <f t="shared" si="6"/>
        <v>11Labor</v>
      </c>
      <c r="I19" t="s">
        <v>89</v>
      </c>
      <c r="J19" t="s">
        <v>238</v>
      </c>
      <c r="K19">
        <v>11</v>
      </c>
      <c r="Y19" s="165">
        <v>315380.77600000001</v>
      </c>
      <c r="Z19" s="165">
        <v>424064</v>
      </c>
      <c r="AA19" s="165">
        <f>Z19</f>
        <v>424064</v>
      </c>
      <c r="AB19" s="165">
        <f t="shared" ref="AB19:AH19" si="15">AA19</f>
        <v>424064</v>
      </c>
      <c r="AC19" s="165">
        <f t="shared" si="15"/>
        <v>424064</v>
      </c>
      <c r="AD19" s="165">
        <f t="shared" si="15"/>
        <v>424064</v>
      </c>
      <c r="AE19" s="165">
        <f t="shared" si="15"/>
        <v>424064</v>
      </c>
      <c r="AF19" s="165">
        <f t="shared" si="15"/>
        <v>424064</v>
      </c>
      <c r="AG19" s="165">
        <f t="shared" si="15"/>
        <v>424064</v>
      </c>
      <c r="AH19" s="165">
        <f t="shared" si="15"/>
        <v>424064</v>
      </c>
      <c r="AI19" s="165">
        <f>SUM(Y19:AH19)</f>
        <v>4131956.7760000001</v>
      </c>
      <c r="AJ19" s="128">
        <f t="shared" si="14"/>
        <v>4131956.7760000001</v>
      </c>
      <c r="AM19" s="128">
        <f>AN19*0.75</f>
        <v>6789354</v>
      </c>
      <c r="AN19" s="128">
        <v>9052472</v>
      </c>
      <c r="AO19" s="128">
        <f>AN19*Assumpt!F42</f>
        <v>9142996.7200000007</v>
      </c>
      <c r="AP19" s="128">
        <f>AO19*Assumpt!G42</f>
        <v>9234426.6872000005</v>
      </c>
      <c r="AQ19" s="128">
        <f>AP19*Assumpt!H42</f>
        <v>9326770.9540720005</v>
      </c>
      <c r="AR19" s="128">
        <f>AQ19*Assumpt!I42</f>
        <v>9420038.6636127196</v>
      </c>
      <c r="AS19" s="128">
        <f t="shared" si="8"/>
        <v>52966059.024884716</v>
      </c>
      <c r="AT19" s="128"/>
      <c r="AU19" s="128">
        <f>AR19*Assumpt!J42</f>
        <v>9514239.0502488464</v>
      </c>
      <c r="AV19" s="128">
        <f>AU19*Assumpt!K42</f>
        <v>9609381.4407513347</v>
      </c>
      <c r="AW19" s="128">
        <f>AV19*Assumpt!L42</f>
        <v>9705475.2551588472</v>
      </c>
      <c r="AX19" s="128">
        <f>AW19*Assumpt!M42</f>
        <v>9802530.0077104364</v>
      </c>
      <c r="AY19" s="128">
        <f t="shared" si="4"/>
        <v>38631625.753869466</v>
      </c>
      <c r="AZ19" s="128">
        <f t="shared" si="5"/>
        <v>91597684.778754175</v>
      </c>
      <c r="BC19" s="128">
        <f t="shared" si="9"/>
        <v>95142.390502488241</v>
      </c>
    </row>
    <row r="20" spans="1:55" x14ac:dyDescent="0.35">
      <c r="B20" t="s">
        <v>237</v>
      </c>
      <c r="H20" t="str">
        <f t="shared" ref="H20" si="16">CONCATENATE(K20,I20)</f>
        <v>11Labor</v>
      </c>
      <c r="I20" t="s">
        <v>89</v>
      </c>
      <c r="J20" t="s">
        <v>494</v>
      </c>
      <c r="K20">
        <v>11</v>
      </c>
      <c r="N20" s="221">
        <v>0.40250000000000002</v>
      </c>
      <c r="AM20" s="128">
        <f t="shared" ref="AM20:AR20" si="17">$N$20*AM18</f>
        <v>1352908.9715515883</v>
      </c>
      <c r="AN20" s="128">
        <f t="shared" si="17"/>
        <v>1632812.0496408548</v>
      </c>
      <c r="AO20" s="128">
        <f t="shared" si="17"/>
        <v>1681796.4111300807</v>
      </c>
      <c r="AP20" s="128">
        <f t="shared" si="17"/>
        <v>1732250.3034639829</v>
      </c>
      <c r="AQ20" s="128">
        <f t="shared" si="17"/>
        <v>1784217.8125679025</v>
      </c>
      <c r="AR20" s="128">
        <f t="shared" si="17"/>
        <v>1784217.8125679025</v>
      </c>
      <c r="AS20" s="128">
        <f t="shared" ref="AS20" si="18">SUM(AM20:AR20)</f>
        <v>9968203.3609223124</v>
      </c>
      <c r="AT20" s="128"/>
      <c r="AU20" s="128">
        <f>$N$20*AU18</f>
        <v>1784217.8125679025</v>
      </c>
      <c r="AV20" s="128">
        <f>$N$20*AV18</f>
        <v>1784217.8125679025</v>
      </c>
      <c r="AW20" s="128">
        <f>$N$20*AW18</f>
        <v>1784217.8125679025</v>
      </c>
      <c r="AX20" s="128">
        <f>$N$20*AX18</f>
        <v>1784217.8125679025</v>
      </c>
      <c r="AY20" s="128">
        <f t="shared" si="4"/>
        <v>7136871.25027161</v>
      </c>
      <c r="AZ20" s="128">
        <f t="shared" si="5"/>
        <v>17105074.611193921</v>
      </c>
      <c r="BC20" s="128">
        <f t="shared" si="9"/>
        <v>0</v>
      </c>
    </row>
    <row r="21" spans="1:55" x14ac:dyDescent="0.35">
      <c r="B21" t="s">
        <v>237</v>
      </c>
      <c r="H21" t="str">
        <f t="shared" si="6"/>
        <v>11Labor</v>
      </c>
      <c r="I21" t="s">
        <v>89</v>
      </c>
      <c r="J21" t="s">
        <v>237</v>
      </c>
      <c r="K21">
        <v>11</v>
      </c>
      <c r="N21" s="221">
        <v>0.63</v>
      </c>
      <c r="AM21" s="128">
        <f t="shared" ref="AM21:AR21" si="19">$N$21*AM19</f>
        <v>4277293.0200000005</v>
      </c>
      <c r="AN21" s="128">
        <f t="shared" si="19"/>
        <v>5703057.3600000003</v>
      </c>
      <c r="AO21" s="128">
        <f t="shared" si="19"/>
        <v>5760087.9336000001</v>
      </c>
      <c r="AP21" s="128">
        <f t="shared" si="19"/>
        <v>5817688.8129360005</v>
      </c>
      <c r="AQ21" s="128">
        <f t="shared" si="19"/>
        <v>5875865.7010653606</v>
      </c>
      <c r="AR21" s="128">
        <f t="shared" si="19"/>
        <v>5934624.3580760136</v>
      </c>
      <c r="AS21" s="128">
        <f t="shared" si="8"/>
        <v>33368617.185677376</v>
      </c>
      <c r="AT21" s="128"/>
      <c r="AU21" s="128">
        <f>$N$21*AU19</f>
        <v>5993970.6016567731</v>
      </c>
      <c r="AV21" s="128">
        <f>$N$21*AV19</f>
        <v>6053910.3076733407</v>
      </c>
      <c r="AW21" s="128">
        <f>$N$21*AW19</f>
        <v>6114449.4107500734</v>
      </c>
      <c r="AX21" s="128">
        <f>$N$21*AX19</f>
        <v>6175593.904857575</v>
      </c>
      <c r="AY21" s="128">
        <f t="shared" si="4"/>
        <v>24337924.224937763</v>
      </c>
      <c r="AZ21" s="128">
        <f t="shared" si="5"/>
        <v>57706541.410615139</v>
      </c>
      <c r="BC21" s="128">
        <f t="shared" si="9"/>
        <v>59939.706016567536</v>
      </c>
    </row>
    <row r="22" spans="1:55" x14ac:dyDescent="0.35">
      <c r="H22" t="str">
        <f t="shared" si="6"/>
        <v/>
      </c>
      <c r="AM22" s="128"/>
      <c r="AO22" s="130"/>
      <c r="AS22" s="128">
        <f t="shared" si="8"/>
        <v>0</v>
      </c>
      <c r="AT22" s="128"/>
      <c r="AY22" s="128">
        <f t="shared" si="4"/>
        <v>0</v>
      </c>
      <c r="AZ22" s="128">
        <f t="shared" si="5"/>
        <v>0</v>
      </c>
      <c r="BC22" s="128">
        <f t="shared" si="9"/>
        <v>0</v>
      </c>
    </row>
    <row r="23" spans="1:55" x14ac:dyDescent="0.35">
      <c r="H23" t="str">
        <f t="shared" si="6"/>
        <v/>
      </c>
      <c r="AM23" s="128"/>
      <c r="AS23" s="128">
        <f t="shared" si="8"/>
        <v>0</v>
      </c>
      <c r="AT23" s="128"/>
      <c r="AY23" s="128">
        <f t="shared" si="4"/>
        <v>0</v>
      </c>
      <c r="AZ23" s="128">
        <f t="shared" si="5"/>
        <v>0</v>
      </c>
      <c r="BC23" s="128">
        <f t="shared" si="9"/>
        <v>0</v>
      </c>
    </row>
    <row r="24" spans="1:55" x14ac:dyDescent="0.35">
      <c r="A24" t="s">
        <v>119</v>
      </c>
      <c r="H24" t="str">
        <f t="shared" si="6"/>
        <v/>
      </c>
      <c r="AS24" s="128">
        <f t="shared" si="8"/>
        <v>0</v>
      </c>
      <c r="AT24" s="128"/>
      <c r="AY24" s="128">
        <f t="shared" si="4"/>
        <v>0</v>
      </c>
      <c r="AZ24" s="128">
        <f t="shared" si="5"/>
        <v>0</v>
      </c>
      <c r="BC24" s="128">
        <f t="shared" si="9"/>
        <v>0</v>
      </c>
    </row>
    <row r="25" spans="1:55" x14ac:dyDescent="0.35">
      <c r="H25" t="str">
        <f t="shared" si="6"/>
        <v>9Capital</v>
      </c>
      <c r="I25" t="s">
        <v>218</v>
      </c>
      <c r="J25" t="s">
        <v>392</v>
      </c>
      <c r="K25">
        <v>9</v>
      </c>
      <c r="M25" s="128">
        <f>infrastructure!P86*0.6</f>
        <v>658723.94999999995</v>
      </c>
      <c r="Y25">
        <v>1</v>
      </c>
      <c r="AL25" s="128">
        <f>$M25*(1+$N25)*X25*Assumpt!C$39</f>
        <v>0</v>
      </c>
      <c r="AM25" s="128">
        <f>$M25*(1+$N25)*Y25*Assumpt!D$41</f>
        <v>658723.94999999995</v>
      </c>
      <c r="AN25" s="128"/>
      <c r="AS25" s="128">
        <f t="shared" si="8"/>
        <v>658723.94999999995</v>
      </c>
      <c r="AT25" s="128"/>
      <c r="AY25" s="128">
        <f t="shared" si="4"/>
        <v>0</v>
      </c>
      <c r="AZ25" s="128">
        <f t="shared" si="5"/>
        <v>658723.94999999995</v>
      </c>
      <c r="BC25" s="128">
        <f t="shared" si="9"/>
        <v>0</v>
      </c>
    </row>
    <row r="26" spans="1:55" x14ac:dyDescent="0.35">
      <c r="H26" t="str">
        <f t="shared" si="6"/>
        <v>11ODCS</v>
      </c>
      <c r="I26" t="s">
        <v>119</v>
      </c>
      <c r="J26" t="s">
        <v>393</v>
      </c>
      <c r="K26">
        <v>11</v>
      </c>
      <c r="M26" s="314">
        <f>infrastructure!T86</f>
        <v>610708.4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L26" s="128">
        <f>$M26*(1+$N26)*X26*Assumpt!C$39</f>
        <v>0</v>
      </c>
      <c r="AM26" s="314">
        <f>$M26*(1+$N26)*Y26*Assumpt!D$41</f>
        <v>610708.4</v>
      </c>
      <c r="AN26" s="128">
        <f>infrastructure!W86</f>
        <v>568790.9</v>
      </c>
      <c r="AO26" s="128">
        <f>infrastructure!X86</f>
        <v>574315.9</v>
      </c>
      <c r="AP26" s="128">
        <f>infrastructure!Y86</f>
        <v>574315.9</v>
      </c>
      <c r="AQ26" s="128">
        <f>$M26*(1+$N26)*AC26*Assumpt!H$41</f>
        <v>610708.4</v>
      </c>
      <c r="AR26" s="128">
        <f>$M26*(1+$N26)*AD26*Assumpt!I$41</f>
        <v>610708.4</v>
      </c>
      <c r="AS26" s="128">
        <f t="shared" si="8"/>
        <v>3549547.9</v>
      </c>
      <c r="AT26" s="128"/>
      <c r="AU26" s="128">
        <f>$M26*(1+$N26)*AE26*Assumpt!J$41</f>
        <v>610708.4</v>
      </c>
      <c r="AV26" s="128">
        <f>$M26*(1+$N26)*AF26*Assumpt!K$41</f>
        <v>610708.4</v>
      </c>
      <c r="AW26" s="128">
        <f>$M26*(1+$N26)*AG26*Assumpt!L$41</f>
        <v>610708.4</v>
      </c>
      <c r="AX26" s="128">
        <f>$M26*(1+$N26)*AH26*Assumpt!M$41</f>
        <v>610708.4</v>
      </c>
      <c r="AY26" s="128">
        <f t="shared" si="4"/>
        <v>2442833.6</v>
      </c>
      <c r="AZ26" s="128">
        <f t="shared" si="5"/>
        <v>5992381.5</v>
      </c>
      <c r="BC26" s="128">
        <f t="shared" si="9"/>
        <v>0</v>
      </c>
    </row>
    <row r="27" spans="1:55" x14ac:dyDescent="0.35">
      <c r="H27" t="str">
        <f t="shared" si="6"/>
        <v>11Capital</v>
      </c>
      <c r="I27" t="s">
        <v>218</v>
      </c>
      <c r="J27" t="s">
        <v>394</v>
      </c>
      <c r="K27">
        <v>11</v>
      </c>
      <c r="M27" s="128">
        <f>infrastructure!AB81</f>
        <v>434200</v>
      </c>
      <c r="AE27">
        <v>1</v>
      </c>
      <c r="AL27" s="128">
        <f>$M27*(1+$N27)*X27*Assumpt!C$39</f>
        <v>0</v>
      </c>
      <c r="AS27" s="128">
        <f t="shared" si="8"/>
        <v>0</v>
      </c>
      <c r="AT27" s="128"/>
      <c r="AU27" s="128">
        <f>$M27*(1+$N27)*AE27</f>
        <v>434200</v>
      </c>
      <c r="AY27" s="128">
        <f t="shared" si="4"/>
        <v>434200</v>
      </c>
      <c r="AZ27" s="128">
        <f t="shared" si="5"/>
        <v>434200</v>
      </c>
      <c r="BC27" s="128">
        <f t="shared" si="9"/>
        <v>-434200</v>
      </c>
    </row>
    <row r="28" spans="1:55" x14ac:dyDescent="0.35">
      <c r="A28" t="s">
        <v>396</v>
      </c>
      <c r="H28" t="str">
        <f t="shared" si="6"/>
        <v/>
      </c>
      <c r="M28" s="128"/>
      <c r="AL28" s="128"/>
      <c r="AS28" s="128">
        <f t="shared" si="8"/>
        <v>0</v>
      </c>
      <c r="AT28" s="128"/>
      <c r="AU28" s="128"/>
      <c r="AY28" s="128">
        <f t="shared" si="4"/>
        <v>0</v>
      </c>
      <c r="AZ28" s="128">
        <f t="shared" si="5"/>
        <v>0</v>
      </c>
      <c r="BC28" s="128">
        <f t="shared" si="9"/>
        <v>0</v>
      </c>
    </row>
    <row r="29" spans="1:55" x14ac:dyDescent="0.35">
      <c r="H29" t="str">
        <f t="shared" si="6"/>
        <v/>
      </c>
      <c r="M29" s="128"/>
      <c r="AL29" s="128"/>
      <c r="AS29" s="128">
        <f t="shared" si="8"/>
        <v>0</v>
      </c>
      <c r="AT29" s="128"/>
      <c r="AU29" s="128"/>
      <c r="AY29" s="128">
        <f t="shared" si="4"/>
        <v>0</v>
      </c>
      <c r="AZ29" s="128">
        <f t="shared" si="5"/>
        <v>0</v>
      </c>
      <c r="BC29" s="128">
        <f t="shared" si="9"/>
        <v>0</v>
      </c>
    </row>
    <row r="30" spans="1:55" x14ac:dyDescent="0.35">
      <c r="H30" t="str">
        <f t="shared" si="6"/>
        <v/>
      </c>
      <c r="M30" s="128"/>
      <c r="AL30" s="128"/>
      <c r="AS30" s="128">
        <f t="shared" si="8"/>
        <v>0</v>
      </c>
      <c r="AT30" s="128"/>
      <c r="AU30" s="128"/>
      <c r="AY30" s="128">
        <f t="shared" si="4"/>
        <v>0</v>
      </c>
      <c r="AZ30" s="128">
        <f t="shared" si="5"/>
        <v>0</v>
      </c>
      <c r="BC30" s="128">
        <f t="shared" si="9"/>
        <v>0</v>
      </c>
    </row>
    <row r="31" spans="1:55" x14ac:dyDescent="0.35">
      <c r="H31" t="str">
        <f t="shared" si="6"/>
        <v/>
      </c>
      <c r="M31" s="128"/>
      <c r="AL31" s="128"/>
      <c r="AS31" s="128">
        <f t="shared" si="8"/>
        <v>0</v>
      </c>
      <c r="AT31" s="128"/>
      <c r="AU31" s="128"/>
      <c r="AY31" s="128">
        <f t="shared" si="4"/>
        <v>0</v>
      </c>
      <c r="AZ31" s="128">
        <f t="shared" si="5"/>
        <v>0</v>
      </c>
      <c r="BC31" s="128">
        <f t="shared" si="9"/>
        <v>0</v>
      </c>
    </row>
    <row r="32" spans="1:55" x14ac:dyDescent="0.35">
      <c r="H32" t="str">
        <f t="shared" si="6"/>
        <v>11ODCS</v>
      </c>
      <c r="I32" t="s">
        <v>119</v>
      </c>
      <c r="J32" t="s">
        <v>395</v>
      </c>
      <c r="K32">
        <v>11</v>
      </c>
      <c r="M32" s="128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L32" s="128">
        <f>$M32*(1+$N32)*X32*Assumpt!C$39</f>
        <v>0</v>
      </c>
      <c r="AM32" s="128"/>
      <c r="AN32" s="128">
        <f>$M32*(1+$N32)*Z32*Assumpt!E$41</f>
        <v>0</v>
      </c>
      <c r="AO32" s="128">
        <f>$M32*(1+$N32)*AA32*Assumpt!F$41</f>
        <v>0</v>
      </c>
      <c r="AP32" s="128">
        <f>$M32*(1+$N32)*AB32*Assumpt!G$41</f>
        <v>0</v>
      </c>
      <c r="AQ32" s="128">
        <f>$M32*(1+$N32)*AC32*Assumpt!H$41</f>
        <v>0</v>
      </c>
      <c r="AR32" s="128">
        <f>$M32*(1+$N32)*AD32*Assumpt!I$41</f>
        <v>0</v>
      </c>
      <c r="AS32" s="128">
        <f t="shared" si="8"/>
        <v>0</v>
      </c>
      <c r="AT32" s="128"/>
      <c r="AU32" s="128">
        <f>$M32*(1+$N32)*AE32*Assumpt!J$39</f>
        <v>0</v>
      </c>
      <c r="AV32" s="128">
        <f>$M32*(1+$N32)*AF32*Assumpt!K$39</f>
        <v>0</v>
      </c>
      <c r="AW32" s="128">
        <f>$M32*(1+$N32)*AG32*Assumpt!L$39</f>
        <v>0</v>
      </c>
      <c r="AX32" s="128">
        <f>$M32*(1+$N32)*AH32*Assumpt!M$39</f>
        <v>0</v>
      </c>
      <c r="AY32" s="128">
        <f t="shared" si="4"/>
        <v>0</v>
      </c>
      <c r="AZ32" s="128">
        <f t="shared" si="5"/>
        <v>0</v>
      </c>
      <c r="BC32" s="128">
        <f t="shared" si="9"/>
        <v>0</v>
      </c>
    </row>
    <row r="33" spans="1:55" x14ac:dyDescent="0.35">
      <c r="H33" t="str">
        <f t="shared" si="6"/>
        <v>11ODCS</v>
      </c>
      <c r="I33" t="s">
        <v>119</v>
      </c>
      <c r="J33" s="129" t="s">
        <v>220</v>
      </c>
      <c r="K33">
        <v>11</v>
      </c>
      <c r="M33" s="128">
        <v>0</v>
      </c>
      <c r="Y33">
        <v>0.75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L33" s="128">
        <f>$M33*(1+$N33)*X33*Assumpt!C$39</f>
        <v>0</v>
      </c>
      <c r="AM33" s="128"/>
      <c r="AN33" s="128">
        <f>$M33*(1+$N33)*Z33*Assumpt!E$41</f>
        <v>0</v>
      </c>
      <c r="AO33" s="128">
        <f>$M33*(1+$N33)*AA33*Assumpt!F$41</f>
        <v>0</v>
      </c>
      <c r="AP33" s="128">
        <f>$M33*(1+$N33)*AB33*Assumpt!G$41</f>
        <v>0</v>
      </c>
      <c r="AQ33" s="128">
        <f>$M33*(1+$N33)*AC33*Assumpt!H$41</f>
        <v>0</v>
      </c>
      <c r="AR33" s="128">
        <f>$M33*(1+$N33)*AD33*Assumpt!I$41</f>
        <v>0</v>
      </c>
      <c r="AS33" s="128">
        <f t="shared" si="8"/>
        <v>0</v>
      </c>
      <c r="AT33" s="128"/>
      <c r="AU33" s="128">
        <f>$M33*(1+$N33)*AE33*Assumpt!J$39</f>
        <v>0</v>
      </c>
      <c r="AV33" s="128">
        <f>$M33*(1+$N33)*AF33*Assumpt!K$39</f>
        <v>0</v>
      </c>
      <c r="AW33" s="128">
        <f>$M33*(1+$N33)*AG33*Assumpt!L$39</f>
        <v>0</v>
      </c>
      <c r="AX33" s="128">
        <f>$M33*(1+$N33)*AH33*Assumpt!M$39</f>
        <v>0</v>
      </c>
      <c r="AY33" s="128">
        <f t="shared" si="4"/>
        <v>0</v>
      </c>
      <c r="AZ33" s="128">
        <f t="shared" si="5"/>
        <v>0</v>
      </c>
      <c r="BC33" s="128">
        <f t="shared" si="9"/>
        <v>0</v>
      </c>
    </row>
    <row r="34" spans="1:55" x14ac:dyDescent="0.35">
      <c r="H34" t="str">
        <f t="shared" si="6"/>
        <v>11ODCS</v>
      </c>
      <c r="I34" t="s">
        <v>119</v>
      </c>
      <c r="J34" s="129" t="s">
        <v>221</v>
      </c>
      <c r="K34">
        <v>11</v>
      </c>
      <c r="M34" s="128">
        <v>0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L34" s="128">
        <f>$M34*(1+$N34)*X34*Assumpt!C$39</f>
        <v>0</v>
      </c>
      <c r="AM34" s="128"/>
      <c r="AN34" s="128">
        <f>$M34*(1+$N34)*Z34*Assumpt!E$41</f>
        <v>0</v>
      </c>
      <c r="AO34" s="128">
        <f>$M34*(1+$N34)*AA34*Assumpt!F$41</f>
        <v>0</v>
      </c>
      <c r="AP34" s="128">
        <f>$M34*(1+$N34)*AB34*Assumpt!G$41</f>
        <v>0</v>
      </c>
      <c r="AQ34" s="128">
        <f>$M34*(1+$N34)*AC34*Assumpt!H$41</f>
        <v>0</v>
      </c>
      <c r="AR34" s="128">
        <f>$M34*(1+$N34)*AD34*Assumpt!I$41</f>
        <v>0</v>
      </c>
      <c r="AS34" s="128">
        <f t="shared" si="8"/>
        <v>0</v>
      </c>
      <c r="AT34" s="128"/>
      <c r="AU34" s="128">
        <f>$M34*(1+$N34)*AE34*Assumpt!J$39</f>
        <v>0</v>
      </c>
      <c r="AV34" s="128">
        <f>$M34*(1+$N34)*AF34*Assumpt!K$39</f>
        <v>0</v>
      </c>
      <c r="AW34" s="128">
        <f>$M34*(1+$N34)*AG34*Assumpt!L$39</f>
        <v>0</v>
      </c>
      <c r="AX34" s="128">
        <f>$M34*(1+$N34)*AH34*Assumpt!M$39</f>
        <v>0</v>
      </c>
      <c r="AY34" s="128">
        <f t="shared" si="4"/>
        <v>0</v>
      </c>
      <c r="AZ34" s="128">
        <f t="shared" si="5"/>
        <v>0</v>
      </c>
      <c r="BC34" s="128">
        <f t="shared" si="9"/>
        <v>0</v>
      </c>
    </row>
    <row r="35" spans="1:55" x14ac:dyDescent="0.35">
      <c r="H35" t="str">
        <f t="shared" si="6"/>
        <v>11ODCS</v>
      </c>
      <c r="I35" t="s">
        <v>119</v>
      </c>
      <c r="J35" t="s">
        <v>213</v>
      </c>
      <c r="K35">
        <v>11</v>
      </c>
      <c r="M35" s="128">
        <v>250000</v>
      </c>
      <c r="Y35">
        <v>0.75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M35" s="128"/>
      <c r="AN35" s="128">
        <f>$M35*(1+$N35)*Z35*Assumpt!E$41</f>
        <v>250000</v>
      </c>
      <c r="AO35" s="128">
        <f>$M35*(1+$N35)*AA35*Assumpt!F$41</f>
        <v>250000</v>
      </c>
      <c r="AP35" s="128">
        <f>$M35*(1+$N35)*AB35*Assumpt!G$41</f>
        <v>250000</v>
      </c>
      <c r="AQ35" s="128">
        <f>$M35*(1+$N35)*AC35*Assumpt!H$41</f>
        <v>250000</v>
      </c>
      <c r="AR35" s="128">
        <f>$M35*(1+$N35)*AD35*Assumpt!I$41</f>
        <v>250000</v>
      </c>
      <c r="AS35" s="128">
        <f t="shared" si="8"/>
        <v>1250000</v>
      </c>
      <c r="AT35" s="128"/>
      <c r="AU35" s="128">
        <f>$M35*(1+$N35)*AE35*Assumpt!J$39</f>
        <v>281377.20250000001</v>
      </c>
      <c r="AV35" s="128">
        <f>$M35*(1+$N35)*AF35*Assumpt!K$39</f>
        <v>281377.20250000001</v>
      </c>
      <c r="AW35" s="128">
        <f>$M35*(1+$N35)*AG35*Assumpt!L$39</f>
        <v>281377.20250000001</v>
      </c>
      <c r="AX35" s="128">
        <f>$M35*(1+$N35)*AH35*Assumpt!M$39</f>
        <v>281377.20250000001</v>
      </c>
      <c r="AY35" s="128">
        <f t="shared" si="4"/>
        <v>1125508.81</v>
      </c>
      <c r="AZ35" s="128">
        <f t="shared" si="5"/>
        <v>2375508.81</v>
      </c>
      <c r="BC35" s="128">
        <f t="shared" si="9"/>
        <v>0</v>
      </c>
    </row>
    <row r="36" spans="1:55" x14ac:dyDescent="0.35">
      <c r="A36" t="s">
        <v>244</v>
      </c>
      <c r="H36" t="str">
        <f t="shared" si="6"/>
        <v/>
      </c>
      <c r="AM36" s="128"/>
      <c r="AN36" s="128"/>
      <c r="AO36" s="128"/>
      <c r="AP36" s="128"/>
      <c r="AQ36" s="128"/>
      <c r="AR36" s="128"/>
      <c r="AS36" s="128">
        <f t="shared" si="8"/>
        <v>0</v>
      </c>
      <c r="AT36" s="128"/>
      <c r="AU36" s="128"/>
      <c r="AV36" s="128"/>
      <c r="AW36" s="128"/>
      <c r="AX36" s="128"/>
      <c r="AY36" s="128">
        <f t="shared" si="4"/>
        <v>0</v>
      </c>
      <c r="AZ36" s="128">
        <f t="shared" si="5"/>
        <v>0</v>
      </c>
      <c r="BC36" s="128">
        <f t="shared" si="9"/>
        <v>0</v>
      </c>
    </row>
    <row r="37" spans="1:55" x14ac:dyDescent="0.35">
      <c r="H37" t="str">
        <f t="shared" si="6"/>
        <v/>
      </c>
      <c r="AM37" s="128"/>
      <c r="AN37" s="128"/>
      <c r="AO37" s="128"/>
      <c r="AP37" s="128"/>
      <c r="AQ37" s="128"/>
      <c r="AR37" s="128"/>
      <c r="AS37" s="128">
        <f t="shared" si="8"/>
        <v>0</v>
      </c>
      <c r="AT37" s="128"/>
      <c r="AU37" s="128"/>
      <c r="AV37" s="128"/>
      <c r="AW37" s="128"/>
      <c r="AX37" s="128"/>
      <c r="AY37" s="128">
        <f t="shared" si="4"/>
        <v>0</v>
      </c>
      <c r="AZ37" s="128">
        <f t="shared" si="5"/>
        <v>0</v>
      </c>
      <c r="BC37" s="128">
        <f t="shared" si="9"/>
        <v>0</v>
      </c>
    </row>
    <row r="38" spans="1:55" x14ac:dyDescent="0.35">
      <c r="H38" t="str">
        <f t="shared" si="6"/>
        <v/>
      </c>
      <c r="AM38" s="128"/>
      <c r="AN38" s="128"/>
      <c r="AO38" s="128"/>
      <c r="AP38" s="128"/>
      <c r="AQ38" s="128"/>
      <c r="AR38" s="128"/>
      <c r="AS38" s="128">
        <f t="shared" si="8"/>
        <v>0</v>
      </c>
      <c r="AT38" s="128"/>
      <c r="AU38" s="128"/>
      <c r="AV38" s="128"/>
      <c r="AW38" s="128"/>
      <c r="AX38" s="128"/>
      <c r="AY38" s="128">
        <f t="shared" si="4"/>
        <v>0</v>
      </c>
      <c r="AZ38" s="128">
        <f t="shared" si="5"/>
        <v>0</v>
      </c>
      <c r="BC38" s="128">
        <f t="shared" si="9"/>
        <v>0</v>
      </c>
    </row>
    <row r="39" spans="1:55" x14ac:dyDescent="0.35">
      <c r="H39" t="str">
        <f t="shared" si="6"/>
        <v>11ODCS</v>
      </c>
      <c r="I39" t="s">
        <v>119</v>
      </c>
      <c r="J39" t="s">
        <v>245</v>
      </c>
      <c r="K39">
        <v>11</v>
      </c>
      <c r="AM39" s="128"/>
      <c r="AN39" s="128"/>
      <c r="AO39" s="128"/>
      <c r="AP39" s="128"/>
      <c r="AQ39" s="128"/>
      <c r="AR39" s="128"/>
      <c r="AS39" s="128">
        <f t="shared" si="8"/>
        <v>0</v>
      </c>
      <c r="AT39" s="128"/>
      <c r="AU39" s="128">
        <f>AR39*Assumpt!$E$40</f>
        <v>0</v>
      </c>
      <c r="AV39" s="128">
        <f>AU39*Assumpt!$E$40</f>
        <v>0</v>
      </c>
      <c r="AW39" s="128">
        <f>AV39*Assumpt!$E$40</f>
        <v>0</v>
      </c>
      <c r="AX39" s="128">
        <f>AW39*Assumpt!$E$40</f>
        <v>0</v>
      </c>
      <c r="AY39" s="128">
        <f t="shared" si="4"/>
        <v>0</v>
      </c>
      <c r="AZ39" s="128">
        <f t="shared" si="5"/>
        <v>0</v>
      </c>
      <c r="BC39" s="128">
        <f t="shared" si="9"/>
        <v>0</v>
      </c>
    </row>
    <row r="40" spans="1:55" x14ac:dyDescent="0.35">
      <c r="H40" t="str">
        <f t="shared" si="6"/>
        <v>11ODCS</v>
      </c>
      <c r="I40" t="s">
        <v>119</v>
      </c>
      <c r="J40" t="s">
        <v>246</v>
      </c>
      <c r="K40">
        <v>11</v>
      </c>
      <c r="AM40" s="128">
        <v>0</v>
      </c>
      <c r="AN40" s="128">
        <v>0</v>
      </c>
      <c r="AO40" s="128">
        <f>AN40*Assumpt!$E$40</f>
        <v>0</v>
      </c>
      <c r="AP40" s="128">
        <f>AO40*Assumpt!$E$40</f>
        <v>0</v>
      </c>
      <c r="AQ40" s="128">
        <f>AP40*Assumpt!$E$40</f>
        <v>0</v>
      </c>
      <c r="AR40" s="128">
        <f>AQ40*Assumpt!$E$40</f>
        <v>0</v>
      </c>
      <c r="AS40" s="128">
        <f t="shared" si="8"/>
        <v>0</v>
      </c>
      <c r="AT40" s="128"/>
      <c r="AU40" s="128">
        <f>AR40*Assumpt!$E$40</f>
        <v>0</v>
      </c>
      <c r="AV40" s="128">
        <f>AU40*Assumpt!$E$40</f>
        <v>0</v>
      </c>
      <c r="AW40" s="128">
        <f>AV40*Assumpt!$E$40</f>
        <v>0</v>
      </c>
      <c r="AX40" s="128">
        <f>AW40*Assumpt!$E$40</f>
        <v>0</v>
      </c>
      <c r="AY40" s="128">
        <f t="shared" si="4"/>
        <v>0</v>
      </c>
      <c r="AZ40" s="128">
        <f t="shared" si="5"/>
        <v>0</v>
      </c>
      <c r="BC40" s="128">
        <f t="shared" si="9"/>
        <v>0</v>
      </c>
    </row>
    <row r="41" spans="1:55" x14ac:dyDescent="0.35">
      <c r="H41" t="str">
        <f t="shared" si="6"/>
        <v>11ODCS</v>
      </c>
      <c r="I41" t="s">
        <v>119</v>
      </c>
      <c r="J41" t="s">
        <v>247</v>
      </c>
      <c r="K41">
        <v>11</v>
      </c>
      <c r="AM41" s="128">
        <v>0</v>
      </c>
      <c r="AN41" s="128">
        <v>0</v>
      </c>
      <c r="AO41" s="128">
        <f>AN41*Assumpt!$E$40</f>
        <v>0</v>
      </c>
      <c r="AP41" s="128">
        <f>AO41*Assumpt!$E$40</f>
        <v>0</v>
      </c>
      <c r="AQ41" s="128">
        <f>AP41*Assumpt!$E$40</f>
        <v>0</v>
      </c>
      <c r="AR41" s="128">
        <f>AQ41*Assumpt!$E$40</f>
        <v>0</v>
      </c>
      <c r="AS41" s="128">
        <f t="shared" si="8"/>
        <v>0</v>
      </c>
      <c r="AT41" s="128"/>
      <c r="AU41" s="128">
        <f>AR41*Assumpt!$E$40</f>
        <v>0</v>
      </c>
      <c r="AV41" s="128">
        <f>AU41*Assumpt!$E$40</f>
        <v>0</v>
      </c>
      <c r="AW41" s="128">
        <f>AV41*Assumpt!$E$40</f>
        <v>0</v>
      </c>
      <c r="AX41" s="128">
        <f>AW41*Assumpt!$E$40</f>
        <v>0</v>
      </c>
      <c r="AY41" s="128">
        <f t="shared" si="4"/>
        <v>0</v>
      </c>
      <c r="AZ41" s="128">
        <f t="shared" si="5"/>
        <v>0</v>
      </c>
      <c r="BC41" s="128">
        <f t="shared" si="9"/>
        <v>0</v>
      </c>
    </row>
    <row r="42" spans="1:55" x14ac:dyDescent="0.35">
      <c r="H42" t="str">
        <f t="shared" si="6"/>
        <v>11ODCS</v>
      </c>
      <c r="I42" t="s">
        <v>119</v>
      </c>
      <c r="J42" t="s">
        <v>248</v>
      </c>
      <c r="K42">
        <v>11</v>
      </c>
      <c r="AM42" s="128">
        <v>0</v>
      </c>
      <c r="AN42" s="128">
        <v>0</v>
      </c>
      <c r="AO42" s="128">
        <f>AN42*Assumpt!$E$40</f>
        <v>0</v>
      </c>
      <c r="AP42" s="128">
        <f>AO42*Assumpt!$E$40</f>
        <v>0</v>
      </c>
      <c r="AQ42" s="128">
        <f>AP42*Assumpt!$E$40</f>
        <v>0</v>
      </c>
      <c r="AR42" s="128">
        <f>AQ42*Assumpt!$E$40</f>
        <v>0</v>
      </c>
      <c r="AS42" s="128">
        <f t="shared" si="8"/>
        <v>0</v>
      </c>
      <c r="AT42" s="128"/>
      <c r="AU42" s="128">
        <f>AR42*Assumpt!$E$40</f>
        <v>0</v>
      </c>
      <c r="AV42" s="128">
        <f>AU42*Assumpt!$E$40</f>
        <v>0</v>
      </c>
      <c r="AW42" s="128">
        <f>AV42*Assumpt!$E$40</f>
        <v>0</v>
      </c>
      <c r="AX42" s="128">
        <f>AW42*Assumpt!$E$40</f>
        <v>0</v>
      </c>
      <c r="AY42" s="128">
        <f t="shared" si="4"/>
        <v>0</v>
      </c>
      <c r="AZ42" s="128">
        <f t="shared" si="5"/>
        <v>0</v>
      </c>
      <c r="BC42" s="128">
        <f t="shared" si="9"/>
        <v>0</v>
      </c>
    </row>
    <row r="43" spans="1:55" x14ac:dyDescent="0.35">
      <c r="H43" t="str">
        <f t="shared" si="6"/>
        <v>11ODCS</v>
      </c>
      <c r="I43" t="s">
        <v>119</v>
      </c>
      <c r="J43" t="s">
        <v>249</v>
      </c>
      <c r="K43">
        <v>11</v>
      </c>
      <c r="AM43" s="128">
        <v>0</v>
      </c>
      <c r="AN43" s="128">
        <v>0</v>
      </c>
      <c r="AO43" s="128">
        <f>AN43*Assumpt!$E$40</f>
        <v>0</v>
      </c>
      <c r="AP43" s="128">
        <f>AO43*Assumpt!$E$40</f>
        <v>0</v>
      </c>
      <c r="AQ43" s="128">
        <f>AP43*Assumpt!$E$40</f>
        <v>0</v>
      </c>
      <c r="AR43" s="128">
        <f>AQ43*Assumpt!$E$40</f>
        <v>0</v>
      </c>
      <c r="AS43" s="128">
        <f t="shared" si="8"/>
        <v>0</v>
      </c>
      <c r="AT43" s="128"/>
      <c r="AU43" s="128">
        <f>AR43*Assumpt!$E$40</f>
        <v>0</v>
      </c>
      <c r="AV43" s="128">
        <f>AU43*Assumpt!$E$40</f>
        <v>0</v>
      </c>
      <c r="AW43" s="128">
        <f>AV43*Assumpt!$E$40</f>
        <v>0</v>
      </c>
      <c r="AX43" s="128">
        <f>AW43*Assumpt!$E$40</f>
        <v>0</v>
      </c>
      <c r="AY43" s="128">
        <f t="shared" si="4"/>
        <v>0</v>
      </c>
      <c r="AZ43" s="128">
        <f t="shared" si="5"/>
        <v>0</v>
      </c>
      <c r="BC43" s="128">
        <f t="shared" si="9"/>
        <v>0</v>
      </c>
    </row>
    <row r="44" spans="1:55" x14ac:dyDescent="0.35">
      <c r="H44" t="str">
        <f t="shared" si="6"/>
        <v>11ODCS</v>
      </c>
      <c r="I44" t="s">
        <v>119</v>
      </c>
      <c r="J44" t="s">
        <v>250</v>
      </c>
      <c r="K44">
        <v>11</v>
      </c>
      <c r="AM44" s="128">
        <v>0</v>
      </c>
      <c r="AN44" s="128">
        <v>0</v>
      </c>
      <c r="AO44" s="128">
        <f>AN44*Assumpt!$E$40</f>
        <v>0</v>
      </c>
      <c r="AP44" s="128">
        <f>AO44*Assumpt!$E$40</f>
        <v>0</v>
      </c>
      <c r="AQ44" s="128">
        <f>AP44*Assumpt!$E$40</f>
        <v>0</v>
      </c>
      <c r="AR44" s="128">
        <f>AQ44*Assumpt!$E$40</f>
        <v>0</v>
      </c>
      <c r="AS44" s="128">
        <f t="shared" si="8"/>
        <v>0</v>
      </c>
      <c r="AT44" s="128"/>
      <c r="AU44" s="128">
        <f>AR44*Assumpt!$E$40</f>
        <v>0</v>
      </c>
      <c r="AV44" s="128">
        <f>AU44*Assumpt!$E$40</f>
        <v>0</v>
      </c>
      <c r="AW44" s="128">
        <f>AV44*Assumpt!$E$40</f>
        <v>0</v>
      </c>
      <c r="AX44" s="128">
        <f>AW44*Assumpt!$E$40</f>
        <v>0</v>
      </c>
      <c r="AY44" s="128">
        <f t="shared" si="4"/>
        <v>0</v>
      </c>
      <c r="AZ44" s="128">
        <f t="shared" si="5"/>
        <v>0</v>
      </c>
      <c r="BC44" s="128">
        <f t="shared" si="9"/>
        <v>0</v>
      </c>
    </row>
    <row r="45" spans="1:55" x14ac:dyDescent="0.35">
      <c r="H45" t="str">
        <f t="shared" si="6"/>
        <v>11ODCS</v>
      </c>
      <c r="I45" t="s">
        <v>119</v>
      </c>
      <c r="J45" t="s">
        <v>251</v>
      </c>
      <c r="K45">
        <v>11</v>
      </c>
      <c r="AM45" s="128">
        <v>42780.745599112444</v>
      </c>
      <c r="AN45" s="128">
        <v>57069.408076923108</v>
      </c>
      <c r="AO45" s="128">
        <f>AN45*Assumpt!F$40</f>
        <v>57069.408076923108</v>
      </c>
      <c r="AP45" s="128">
        <f>AO45*Assumpt!G$40</f>
        <v>57069.408076923108</v>
      </c>
      <c r="AQ45" s="128">
        <f>AP45*Assumpt!H$40</f>
        <v>57069.408076923108</v>
      </c>
      <c r="AR45" s="128">
        <f>AQ45*Assumpt!I$40</f>
        <v>57069.408076923108</v>
      </c>
      <c r="AS45" s="128">
        <f t="shared" si="8"/>
        <v>328127.78598372801</v>
      </c>
      <c r="AT45" s="128"/>
      <c r="AU45" s="128">
        <f>AR45*Assumpt!J40</f>
        <v>57069.408076923108</v>
      </c>
      <c r="AV45" s="128">
        <f>AU45*Assumpt!$E$40</f>
        <v>57069.408076923108</v>
      </c>
      <c r="AW45" s="128">
        <f>AV45*Assumpt!$E$40</f>
        <v>57069.408076923108</v>
      </c>
      <c r="AX45" s="128">
        <f>AW45*Assumpt!$E$40</f>
        <v>57069.408076923108</v>
      </c>
      <c r="AY45" s="128">
        <f t="shared" si="4"/>
        <v>228277.63230769243</v>
      </c>
      <c r="AZ45" s="128">
        <f t="shared" si="5"/>
        <v>556405.41829142044</v>
      </c>
      <c r="BC45" s="128">
        <f t="shared" si="9"/>
        <v>0</v>
      </c>
    </row>
    <row r="46" spans="1:55" x14ac:dyDescent="0.35">
      <c r="H46" t="str">
        <f t="shared" si="6"/>
        <v>11ODCS</v>
      </c>
      <c r="I46" t="s">
        <v>119</v>
      </c>
      <c r="J46" t="s">
        <v>252</v>
      </c>
      <c r="K46">
        <v>11</v>
      </c>
      <c r="AM46" s="128">
        <v>725000</v>
      </c>
      <c r="AN46" s="128">
        <v>1000000</v>
      </c>
      <c r="AO46" s="128">
        <f>AN46*Assumpt!F$40</f>
        <v>1000000</v>
      </c>
      <c r="AP46" s="128">
        <f>AO46*Assumpt!G$40</f>
        <v>1000000</v>
      </c>
      <c r="AQ46" s="128">
        <f>AP46*Assumpt!H$40</f>
        <v>1000000</v>
      </c>
      <c r="AR46" s="128">
        <f>AQ46*Assumpt!I$40</f>
        <v>1000000</v>
      </c>
      <c r="AS46" s="128">
        <f t="shared" si="8"/>
        <v>5725000</v>
      </c>
      <c r="AT46" s="128"/>
      <c r="AU46" s="128">
        <f>AR46*Assumpt!$E$40</f>
        <v>1000000</v>
      </c>
      <c r="AV46" s="128">
        <f>AU46*Assumpt!$E$40</f>
        <v>1000000</v>
      </c>
      <c r="AW46" s="128">
        <f>AV46*Assumpt!$E$40</f>
        <v>1000000</v>
      </c>
      <c r="AX46" s="128">
        <f>AW46*Assumpt!$E$40</f>
        <v>1000000</v>
      </c>
      <c r="AY46" s="128">
        <f t="shared" si="4"/>
        <v>4000000</v>
      </c>
      <c r="AZ46" s="128">
        <f t="shared" si="5"/>
        <v>9725000</v>
      </c>
      <c r="BC46" s="128">
        <f t="shared" si="9"/>
        <v>0</v>
      </c>
    </row>
    <row r="47" spans="1:55" x14ac:dyDescent="0.35">
      <c r="H47" t="str">
        <f t="shared" si="6"/>
        <v>11ODCS</v>
      </c>
      <c r="I47" t="s">
        <v>119</v>
      </c>
      <c r="J47" t="s">
        <v>253</v>
      </c>
      <c r="K47">
        <v>11</v>
      </c>
      <c r="AM47" s="128">
        <v>22025.927699704145</v>
      </c>
      <c r="AN47" s="128">
        <v>29382.532692307701</v>
      </c>
      <c r="AO47" s="128">
        <f>AN47*Assumpt!F$40</f>
        <v>29382.532692307701</v>
      </c>
      <c r="AP47" s="128">
        <f>AO47*Assumpt!G$40</f>
        <v>29382.532692307701</v>
      </c>
      <c r="AQ47" s="128">
        <f>AP47*Assumpt!H$40</f>
        <v>29382.532692307701</v>
      </c>
      <c r="AR47" s="128">
        <f>AQ47*Assumpt!I$40</f>
        <v>29382.532692307701</v>
      </c>
      <c r="AS47" s="128">
        <f t="shared" si="8"/>
        <v>168938.59116124263</v>
      </c>
      <c r="AT47" s="128"/>
      <c r="AU47" s="128">
        <f>AR47*Assumpt!$E$40</f>
        <v>29382.532692307701</v>
      </c>
      <c r="AV47" s="128">
        <f>AU47*Assumpt!$E$40</f>
        <v>29382.532692307701</v>
      </c>
      <c r="AW47" s="128">
        <f>AV47*Assumpt!$E$40</f>
        <v>29382.532692307701</v>
      </c>
      <c r="AX47" s="128">
        <f>AW47*Assumpt!$E$40</f>
        <v>29382.532692307701</v>
      </c>
      <c r="AY47" s="128">
        <f t="shared" si="4"/>
        <v>117530.1307692308</v>
      </c>
      <c r="AZ47" s="128">
        <f t="shared" si="5"/>
        <v>286468.72193047346</v>
      </c>
      <c r="BC47" s="128">
        <f t="shared" si="9"/>
        <v>0</v>
      </c>
    </row>
    <row r="48" spans="1:55" x14ac:dyDescent="0.35">
      <c r="H48" t="str">
        <f t="shared" si="6"/>
        <v>11ODCS</v>
      </c>
      <c r="I48" t="s">
        <v>119</v>
      </c>
      <c r="J48" t="s">
        <v>254</v>
      </c>
      <c r="K48">
        <v>11</v>
      </c>
      <c r="AM48" s="128">
        <v>86.090865384615384</v>
      </c>
      <c r="AN48" s="128">
        <v>114.84500000000001</v>
      </c>
      <c r="AO48" s="128">
        <f>AN48*Assumpt!F$40</f>
        <v>114.84500000000001</v>
      </c>
      <c r="AP48" s="128">
        <f>AO48*Assumpt!G$40</f>
        <v>114.84500000000001</v>
      </c>
      <c r="AQ48" s="128">
        <f>AP48*Assumpt!H$40</f>
        <v>114.84500000000001</v>
      </c>
      <c r="AR48" s="128">
        <f>AQ48*Assumpt!I$40</f>
        <v>114.84500000000001</v>
      </c>
      <c r="AS48" s="128">
        <f t="shared" si="8"/>
        <v>660.31586538461545</v>
      </c>
      <c r="AT48" s="128"/>
      <c r="AU48" s="128">
        <f>AR48*Assumpt!$E$40</f>
        <v>114.84500000000001</v>
      </c>
      <c r="AV48" s="128">
        <f>AU48*Assumpt!$E$40</f>
        <v>114.84500000000001</v>
      </c>
      <c r="AW48" s="128">
        <f>AV48*Assumpt!$E$40</f>
        <v>114.84500000000001</v>
      </c>
      <c r="AX48" s="128">
        <f>AW48*Assumpt!$E$40</f>
        <v>114.84500000000001</v>
      </c>
      <c r="AY48" s="128">
        <f t="shared" si="4"/>
        <v>459.38000000000005</v>
      </c>
      <c r="AZ48" s="128">
        <f t="shared" si="5"/>
        <v>1119.6958653846154</v>
      </c>
      <c r="BC48" s="128">
        <f t="shared" si="9"/>
        <v>0</v>
      </c>
    </row>
    <row r="49" spans="8:55" x14ac:dyDescent="0.35">
      <c r="H49" t="str">
        <f t="shared" si="6"/>
        <v>11ODCS</v>
      </c>
      <c r="I49" t="s">
        <v>119</v>
      </c>
      <c r="J49" t="s">
        <v>255</v>
      </c>
      <c r="K49">
        <v>11</v>
      </c>
      <c r="AM49" s="128">
        <v>203979.2069796882</v>
      </c>
      <c r="AN49" s="128">
        <f>272107.754068047*0.8</f>
        <v>217686.2032544376</v>
      </c>
      <c r="AO49" s="128">
        <f>AN49*Assumpt!F$40</f>
        <v>217686.2032544376</v>
      </c>
      <c r="AP49" s="128">
        <f>AO49*Assumpt!G$40</f>
        <v>217686.2032544376</v>
      </c>
      <c r="AQ49" s="128">
        <f>AP49*Assumpt!H$40</f>
        <v>217686.2032544376</v>
      </c>
      <c r="AR49" s="128">
        <f>AQ49*Assumpt!I$40</f>
        <v>217686.2032544376</v>
      </c>
      <c r="AS49" s="128">
        <f t="shared" si="8"/>
        <v>1292410.223251876</v>
      </c>
      <c r="AT49" s="128"/>
      <c r="AU49" s="128">
        <f>AR49*Assumpt!$E$40</f>
        <v>217686.2032544376</v>
      </c>
      <c r="AV49" s="128">
        <f>AU49*Assumpt!$E$40</f>
        <v>217686.2032544376</v>
      </c>
      <c r="AW49" s="128">
        <f>AV49*Assumpt!$E$40</f>
        <v>217686.2032544376</v>
      </c>
      <c r="AX49" s="128">
        <f>AW49*Assumpt!$E$40</f>
        <v>217686.2032544376</v>
      </c>
      <c r="AY49" s="128">
        <f t="shared" si="4"/>
        <v>870744.81301775039</v>
      </c>
      <c r="AZ49" s="128">
        <f t="shared" si="5"/>
        <v>2163155.0362696266</v>
      </c>
      <c r="BC49" s="128">
        <f t="shared" si="9"/>
        <v>0</v>
      </c>
    </row>
    <row r="50" spans="8:55" x14ac:dyDescent="0.35">
      <c r="H50" t="str">
        <f t="shared" si="6"/>
        <v>11ODCS</v>
      </c>
      <c r="I50" t="s">
        <v>119</v>
      </c>
      <c r="J50" t="s">
        <v>256</v>
      </c>
      <c r="K50">
        <v>11</v>
      </c>
      <c r="AM50" s="128">
        <f>276000*0.75</f>
        <v>207000</v>
      </c>
      <c r="AN50" s="128">
        <v>276000</v>
      </c>
      <c r="AO50" s="128">
        <f>AN50*Assumpt!F$40</f>
        <v>276000</v>
      </c>
      <c r="AP50" s="128">
        <f>AO50*Assumpt!G$40</f>
        <v>276000</v>
      </c>
      <c r="AQ50" s="128">
        <f>AP50*Assumpt!H$40</f>
        <v>276000</v>
      </c>
      <c r="AR50" s="128">
        <f>AQ50*Assumpt!I$40</f>
        <v>276000</v>
      </c>
      <c r="AS50" s="128">
        <f t="shared" si="8"/>
        <v>1587000</v>
      </c>
      <c r="AT50" s="128"/>
      <c r="AU50" s="128">
        <f>AR50*Assumpt!$E$40</f>
        <v>276000</v>
      </c>
      <c r="AV50" s="128">
        <f>AU50*Assumpt!$E$40</f>
        <v>276000</v>
      </c>
      <c r="AW50" s="128">
        <f>AV50*Assumpt!$E$40</f>
        <v>276000</v>
      </c>
      <c r="AX50" s="128">
        <f>AW50*Assumpt!$E$40</f>
        <v>276000</v>
      </c>
      <c r="AY50" s="128">
        <f t="shared" si="4"/>
        <v>1104000</v>
      </c>
      <c r="AZ50" s="128">
        <f t="shared" si="5"/>
        <v>2691000</v>
      </c>
      <c r="BC50" s="128">
        <f t="shared" si="9"/>
        <v>0</v>
      </c>
    </row>
    <row r="51" spans="8:55" x14ac:dyDescent="0.35">
      <c r="H51" t="str">
        <f t="shared" si="6"/>
        <v>11ODCS</v>
      </c>
      <c r="I51" t="s">
        <v>119</v>
      </c>
      <c r="J51" t="s">
        <v>257</v>
      </c>
      <c r="K51">
        <v>11</v>
      </c>
      <c r="AM51" s="128">
        <v>11433.247041420116</v>
      </c>
      <c r="AN51" s="128">
        <v>15251.923076923073</v>
      </c>
      <c r="AO51" s="128">
        <f>AN51*Assumpt!F$40</f>
        <v>15251.923076923073</v>
      </c>
      <c r="AP51" s="128">
        <f>AO51*Assumpt!G$40</f>
        <v>15251.923076923073</v>
      </c>
      <c r="AQ51" s="128">
        <f>AP51*Assumpt!H$40</f>
        <v>15251.923076923073</v>
      </c>
      <c r="AR51" s="128">
        <f>AQ51*Assumpt!I$40</f>
        <v>15251.923076923073</v>
      </c>
      <c r="AS51" s="128">
        <f t="shared" si="8"/>
        <v>87692.862426035485</v>
      </c>
      <c r="AT51" s="128"/>
      <c r="AU51" s="128">
        <f>AR51*Assumpt!$E$40</f>
        <v>15251.923076923073</v>
      </c>
      <c r="AV51" s="128">
        <f>AU51*Assumpt!$E$40</f>
        <v>15251.923076923073</v>
      </c>
      <c r="AW51" s="128">
        <f>AV51*Assumpt!$E$40</f>
        <v>15251.923076923073</v>
      </c>
      <c r="AX51" s="128">
        <f>AW51*Assumpt!$E$40</f>
        <v>15251.923076923073</v>
      </c>
      <c r="AY51" s="128">
        <f t="shared" si="4"/>
        <v>61007.69230769229</v>
      </c>
      <c r="AZ51" s="128">
        <f t="shared" si="5"/>
        <v>148700.55473372777</v>
      </c>
      <c r="BC51" s="128">
        <f t="shared" si="9"/>
        <v>0</v>
      </c>
    </row>
    <row r="52" spans="8:55" x14ac:dyDescent="0.35">
      <c r="H52" t="str">
        <f t="shared" si="6"/>
        <v>11ODCS</v>
      </c>
      <c r="I52" t="s">
        <v>119</v>
      </c>
      <c r="J52" t="s">
        <v>258</v>
      </c>
      <c r="K52">
        <v>11</v>
      </c>
      <c r="AM52" s="128">
        <v>177063.03176071998</v>
      </c>
      <c r="AN52" s="128">
        <v>236774.67825443778</v>
      </c>
      <c r="AO52" s="128">
        <f>AN52*Assumpt!F$40</f>
        <v>236774.67825443778</v>
      </c>
      <c r="AP52" s="128">
        <f>AO52*Assumpt!G$40</f>
        <v>236774.67825443778</v>
      </c>
      <c r="AQ52" s="128">
        <f>AP52*Assumpt!H$40</f>
        <v>236774.67825443778</v>
      </c>
      <c r="AR52" s="128">
        <f>AQ52*Assumpt!I$40</f>
        <v>236774.67825443778</v>
      </c>
      <c r="AS52" s="128">
        <f t="shared" si="8"/>
        <v>1360936.4230329089</v>
      </c>
      <c r="AT52" s="128"/>
      <c r="AU52" s="128">
        <f>AR52*Assumpt!$E$40</f>
        <v>236774.67825443778</v>
      </c>
      <c r="AV52" s="128">
        <f>AU52*Assumpt!$E$40</f>
        <v>236774.67825443778</v>
      </c>
      <c r="AW52" s="128">
        <f>AV52*Assumpt!$E$40</f>
        <v>236774.67825443778</v>
      </c>
      <c r="AX52" s="128">
        <f>AW52*Assumpt!$E$40</f>
        <v>236774.67825443778</v>
      </c>
      <c r="AY52" s="128">
        <f t="shared" si="4"/>
        <v>947098.71301775111</v>
      </c>
      <c r="AZ52" s="128">
        <f t="shared" si="5"/>
        <v>2308035.1360506602</v>
      </c>
      <c r="BC52" s="128">
        <f t="shared" si="9"/>
        <v>0</v>
      </c>
    </row>
    <row r="53" spans="8:55" x14ac:dyDescent="0.35">
      <c r="H53" t="str">
        <f t="shared" si="6"/>
        <v>11ODCS</v>
      </c>
      <c r="I53" t="s">
        <v>119</v>
      </c>
      <c r="J53" t="s">
        <v>643</v>
      </c>
      <c r="K53">
        <v>11</v>
      </c>
      <c r="AM53" s="128">
        <v>22946.183465446018</v>
      </c>
      <c r="AN53" s="128">
        <v>30684.41307692308</v>
      </c>
      <c r="AO53" s="128">
        <f>AN53*[8]Assumpt!F$40</f>
        <v>30684.41307692308</v>
      </c>
      <c r="AP53" s="128">
        <f>AO53*[8]Assumpt!G$40</f>
        <v>30684.41307692308</v>
      </c>
      <c r="AQ53" s="128">
        <f>AP53*[8]Assumpt!H$40</f>
        <v>30684.41307692308</v>
      </c>
      <c r="AR53" s="128">
        <f>AQ53*[8]Assumpt!I$40</f>
        <v>30684.41307692308</v>
      </c>
      <c r="AS53" s="128">
        <f t="shared" si="8"/>
        <v>176368.24885006141</v>
      </c>
      <c r="AT53" s="128"/>
      <c r="AU53" s="128">
        <f>AR53*Assumpt!$E$40</f>
        <v>30684.41307692308</v>
      </c>
      <c r="AV53" s="128">
        <f>AU53*Assumpt!$E$40</f>
        <v>30684.41307692308</v>
      </c>
      <c r="AW53" s="128">
        <f>AV53*Assumpt!$E$40</f>
        <v>30684.41307692308</v>
      </c>
      <c r="AX53" s="128">
        <f>AW53*Assumpt!$E$40</f>
        <v>30684.41307692308</v>
      </c>
      <c r="AY53" s="128">
        <f t="shared" si="4"/>
        <v>122737.65230769232</v>
      </c>
      <c r="AZ53" s="128">
        <f t="shared" si="5"/>
        <v>299105.90115775372</v>
      </c>
      <c r="BC53" s="128">
        <f t="shared" si="9"/>
        <v>0</v>
      </c>
    </row>
    <row r="54" spans="8:55" x14ac:dyDescent="0.35">
      <c r="H54" t="str">
        <f t="shared" si="6"/>
        <v>11ODCS</v>
      </c>
      <c r="I54" t="s">
        <v>119</v>
      </c>
      <c r="J54" t="s">
        <v>259</v>
      </c>
      <c r="K54">
        <v>11</v>
      </c>
      <c r="AM54" s="128">
        <v>3374.9757396449709</v>
      </c>
      <c r="AN54" s="128">
        <v>4502.2092307692328</v>
      </c>
      <c r="AO54" s="128">
        <f>AN54*Assumpt!F$40</f>
        <v>4502.2092307692328</v>
      </c>
      <c r="AP54" s="128">
        <f>AO54*Assumpt!G$40</f>
        <v>4502.2092307692328</v>
      </c>
      <c r="AQ54" s="128">
        <f>AP54*Assumpt!H$40</f>
        <v>4502.2092307692328</v>
      </c>
      <c r="AR54" s="128">
        <f>AQ54*Assumpt!I$40</f>
        <v>4502.2092307692328</v>
      </c>
      <c r="AS54" s="128">
        <f t="shared" si="8"/>
        <v>25886.021893491135</v>
      </c>
      <c r="AT54" s="128"/>
      <c r="AU54" s="128">
        <f>AR54*Assumpt!$E$40</f>
        <v>4502.2092307692328</v>
      </c>
      <c r="AV54" s="128">
        <f>AU54*Assumpt!$E$40</f>
        <v>4502.2092307692328</v>
      </c>
      <c r="AW54" s="128">
        <f>AV54*Assumpt!$E$40</f>
        <v>4502.2092307692328</v>
      </c>
      <c r="AX54" s="128">
        <f>AW54*Assumpt!$E$40</f>
        <v>4502.2092307692328</v>
      </c>
      <c r="AY54" s="128">
        <f t="shared" si="4"/>
        <v>18008.836923076931</v>
      </c>
      <c r="AZ54" s="128">
        <f t="shared" si="5"/>
        <v>43894.85881656807</v>
      </c>
      <c r="BC54" s="128">
        <f t="shared" si="9"/>
        <v>0</v>
      </c>
    </row>
    <row r="55" spans="8:55" x14ac:dyDescent="0.35">
      <c r="H55" t="str">
        <f t="shared" si="6"/>
        <v>11ODCS</v>
      </c>
      <c r="I55" t="s">
        <v>119</v>
      </c>
      <c r="J55" t="s">
        <v>260</v>
      </c>
      <c r="K55">
        <v>11</v>
      </c>
      <c r="AM55" s="128">
        <v>3870.7400631543023</v>
      </c>
      <c r="AN55" s="128">
        <v>5163.5576035502963</v>
      </c>
      <c r="AO55" s="128">
        <f>AN55*Assumpt!F$40</f>
        <v>5163.5576035502963</v>
      </c>
      <c r="AP55" s="128">
        <f>AO55*Assumpt!G$40</f>
        <v>5163.5576035502963</v>
      </c>
      <c r="AQ55" s="128">
        <f>AP55*Assumpt!H$40</f>
        <v>5163.5576035502963</v>
      </c>
      <c r="AR55" s="128">
        <f>AQ55*Assumpt!I$40</f>
        <v>5163.5576035502963</v>
      </c>
      <c r="AS55" s="128">
        <f t="shared" si="8"/>
        <v>29688.528080905784</v>
      </c>
      <c r="AT55" s="128"/>
      <c r="AU55" s="128">
        <f>AR55*Assumpt!$E$40</f>
        <v>5163.5576035502963</v>
      </c>
      <c r="AV55" s="128">
        <f>AU55*Assumpt!$E$40</f>
        <v>5163.5576035502963</v>
      </c>
      <c r="AW55" s="128">
        <f>AV55*Assumpt!$E$40</f>
        <v>5163.5576035502963</v>
      </c>
      <c r="AX55" s="128">
        <f>AW55*Assumpt!$E$40</f>
        <v>5163.5576035502963</v>
      </c>
      <c r="AY55" s="128">
        <f t="shared" si="4"/>
        <v>20654.230414201185</v>
      </c>
      <c r="AZ55" s="128">
        <f t="shared" si="5"/>
        <v>50342.758495106973</v>
      </c>
      <c r="BC55" s="128">
        <f t="shared" si="9"/>
        <v>0</v>
      </c>
    </row>
    <row r="56" spans="8:55" x14ac:dyDescent="0.35">
      <c r="H56" t="str">
        <f t="shared" si="6"/>
        <v>11ODCS</v>
      </c>
      <c r="I56" t="s">
        <v>119</v>
      </c>
      <c r="J56" t="s">
        <v>261</v>
      </c>
      <c r="K56">
        <v>11</v>
      </c>
      <c r="AM56" s="128">
        <v>0</v>
      </c>
      <c r="AN56" s="128">
        <v>0</v>
      </c>
      <c r="AO56" s="128">
        <f>AN56*Assumpt!F$40</f>
        <v>0</v>
      </c>
      <c r="AP56" s="128">
        <f>AO56*Assumpt!G$40</f>
        <v>0</v>
      </c>
      <c r="AQ56" s="128">
        <f>AP56*Assumpt!H$40</f>
        <v>0</v>
      </c>
      <c r="AR56" s="128">
        <f>AQ56*Assumpt!I$40</f>
        <v>0</v>
      </c>
      <c r="AS56" s="128">
        <f t="shared" si="8"/>
        <v>0</v>
      </c>
      <c r="AT56" s="128"/>
      <c r="AU56" s="128">
        <f>AR56*Assumpt!$E$40</f>
        <v>0</v>
      </c>
      <c r="AV56" s="128">
        <f>AU56*Assumpt!$E$40</f>
        <v>0</v>
      </c>
      <c r="AW56" s="128">
        <f>AV56*Assumpt!$E$40</f>
        <v>0</v>
      </c>
      <c r="AX56" s="128">
        <f>AW56*Assumpt!$E$40</f>
        <v>0</v>
      </c>
      <c r="AY56" s="128">
        <f t="shared" si="4"/>
        <v>0</v>
      </c>
      <c r="AZ56" s="128">
        <f t="shared" si="5"/>
        <v>0</v>
      </c>
      <c r="BC56" s="128">
        <f t="shared" si="9"/>
        <v>0</v>
      </c>
    </row>
    <row r="57" spans="8:55" x14ac:dyDescent="0.35">
      <c r="H57" t="str">
        <f t="shared" si="6"/>
        <v>11ODCS</v>
      </c>
      <c r="I57" t="s">
        <v>119</v>
      </c>
      <c r="J57" t="s">
        <v>262</v>
      </c>
      <c r="K57">
        <v>11</v>
      </c>
      <c r="AM57" s="128">
        <v>69623.620206531632</v>
      </c>
      <c r="AN57" s="128">
        <v>92877.735946745554</v>
      </c>
      <c r="AO57" s="128">
        <f>AN57*Assumpt!F$40</f>
        <v>92877.735946745554</v>
      </c>
      <c r="AP57" s="128">
        <f>AO57*Assumpt!G$40</f>
        <v>92877.735946745554</v>
      </c>
      <c r="AQ57" s="128">
        <f>AP57*Assumpt!H$40</f>
        <v>92877.735946745554</v>
      </c>
      <c r="AR57" s="128">
        <f>AQ57*Assumpt!I$40</f>
        <v>92877.735946745554</v>
      </c>
      <c r="AS57" s="128">
        <f t="shared" si="8"/>
        <v>534012.29994025943</v>
      </c>
      <c r="AT57" s="128"/>
      <c r="AU57" s="128">
        <f>AR57*Assumpt!$E$40</f>
        <v>92877.735946745554</v>
      </c>
      <c r="AV57" s="128">
        <f>AU57*Assumpt!$E$40</f>
        <v>92877.735946745554</v>
      </c>
      <c r="AW57" s="128">
        <f>AV57*Assumpt!$E$40</f>
        <v>92877.735946745554</v>
      </c>
      <c r="AX57" s="128">
        <f>AW57*Assumpt!$E$40</f>
        <v>92877.735946745554</v>
      </c>
      <c r="AY57" s="128">
        <f t="shared" si="4"/>
        <v>371510.94378698221</v>
      </c>
      <c r="AZ57" s="128">
        <f t="shared" si="5"/>
        <v>905523.24372724164</v>
      </c>
      <c r="BC57" s="128">
        <f t="shared" si="9"/>
        <v>0</v>
      </c>
    </row>
    <row r="58" spans="8:55" x14ac:dyDescent="0.35">
      <c r="H58" t="str">
        <f t="shared" si="6"/>
        <v>11ODCS</v>
      </c>
      <c r="I58" t="s">
        <v>119</v>
      </c>
      <c r="J58" t="s">
        <v>263</v>
      </c>
      <c r="K58">
        <v>11</v>
      </c>
      <c r="AM58" s="128">
        <v>0</v>
      </c>
      <c r="AN58" s="128">
        <v>0</v>
      </c>
      <c r="AO58" s="128">
        <f>AN58*Assumpt!F$40</f>
        <v>0</v>
      </c>
      <c r="AP58" s="128">
        <f>AO58*Assumpt!G$40</f>
        <v>0</v>
      </c>
      <c r="AQ58" s="128">
        <f>AP58*Assumpt!H$40</f>
        <v>0</v>
      </c>
      <c r="AR58" s="128">
        <f>AQ58*Assumpt!I$40</f>
        <v>0</v>
      </c>
      <c r="AS58" s="128">
        <f t="shared" si="8"/>
        <v>0</v>
      </c>
      <c r="AT58" s="128"/>
      <c r="AU58" s="128">
        <f>AR58*Assumpt!$E$40</f>
        <v>0</v>
      </c>
      <c r="AV58" s="128">
        <f>AU58*Assumpt!$E$40</f>
        <v>0</v>
      </c>
      <c r="AW58" s="128">
        <f>AV58*Assumpt!$E$40</f>
        <v>0</v>
      </c>
      <c r="AX58" s="128">
        <f>AW58*Assumpt!$E$40</f>
        <v>0</v>
      </c>
      <c r="AY58" s="128">
        <f t="shared" si="4"/>
        <v>0</v>
      </c>
      <c r="AZ58" s="128">
        <f t="shared" si="5"/>
        <v>0</v>
      </c>
      <c r="BC58" s="128">
        <f t="shared" si="9"/>
        <v>0</v>
      </c>
    </row>
    <row r="59" spans="8:55" x14ac:dyDescent="0.35">
      <c r="H59" t="str">
        <f t="shared" si="6"/>
        <v>11ODCS</v>
      </c>
      <c r="I59" t="s">
        <v>119</v>
      </c>
      <c r="J59" t="s">
        <v>264</v>
      </c>
      <c r="K59">
        <v>11</v>
      </c>
      <c r="AM59" s="128">
        <v>8186.7280012517076</v>
      </c>
      <c r="AN59" s="128">
        <v>10921.074763313612</v>
      </c>
      <c r="AO59" s="128">
        <f>AN59*Assumpt!F$40</f>
        <v>10921.074763313612</v>
      </c>
      <c r="AP59" s="128">
        <f>AO59*Assumpt!G$40</f>
        <v>10921.074763313612</v>
      </c>
      <c r="AQ59" s="128">
        <f>AP59*Assumpt!H$40</f>
        <v>10921.074763313612</v>
      </c>
      <c r="AR59" s="128">
        <f>AQ59*Assumpt!I$40</f>
        <v>10921.074763313612</v>
      </c>
      <c r="AS59" s="128">
        <f t="shared" si="8"/>
        <v>62792.10181781977</v>
      </c>
      <c r="AT59" s="128"/>
      <c r="AU59" s="128">
        <f>AR59*Assumpt!$E$40</f>
        <v>10921.074763313612</v>
      </c>
      <c r="AV59" s="128">
        <f>AU59*Assumpt!$E$40</f>
        <v>10921.074763313612</v>
      </c>
      <c r="AW59" s="128">
        <f>AV59*Assumpt!$E$40</f>
        <v>10921.074763313612</v>
      </c>
      <c r="AX59" s="128">
        <f>AW59*Assumpt!$E$40</f>
        <v>10921.074763313612</v>
      </c>
      <c r="AY59" s="128">
        <f t="shared" si="4"/>
        <v>43684.29905325445</v>
      </c>
      <c r="AZ59" s="128">
        <f t="shared" si="5"/>
        <v>106476.40087107422</v>
      </c>
      <c r="BC59" s="128">
        <f t="shared" si="9"/>
        <v>0</v>
      </c>
    </row>
    <row r="60" spans="8:55" x14ac:dyDescent="0.35">
      <c r="H60" t="str">
        <f t="shared" si="6"/>
        <v>11ODCS</v>
      </c>
      <c r="I60" t="s">
        <v>119</v>
      </c>
      <c r="J60" t="s">
        <v>265</v>
      </c>
      <c r="K60">
        <v>11</v>
      </c>
      <c r="AM60" s="128">
        <v>0</v>
      </c>
      <c r="AN60" s="128">
        <v>0</v>
      </c>
      <c r="AO60" s="128">
        <f>AN60*Assumpt!F$40</f>
        <v>0</v>
      </c>
      <c r="AP60" s="128">
        <f>AO60*Assumpt!G$40</f>
        <v>0</v>
      </c>
      <c r="AQ60" s="128">
        <f>AP60*Assumpt!H$40</f>
        <v>0</v>
      </c>
      <c r="AR60" s="128">
        <f>AQ60*Assumpt!I$40</f>
        <v>0</v>
      </c>
      <c r="AS60" s="128">
        <f t="shared" si="8"/>
        <v>0</v>
      </c>
      <c r="AT60" s="128"/>
      <c r="AU60" s="128">
        <f>AR60*Assumpt!$E$40</f>
        <v>0</v>
      </c>
      <c r="AV60" s="128">
        <f>AU60*Assumpt!$E$40</f>
        <v>0</v>
      </c>
      <c r="AW60" s="128">
        <f>AV60*Assumpt!$E$40</f>
        <v>0</v>
      </c>
      <c r="AX60" s="128">
        <f>AW60*Assumpt!$E$40</f>
        <v>0</v>
      </c>
      <c r="AY60" s="128">
        <f t="shared" si="4"/>
        <v>0</v>
      </c>
      <c r="AZ60" s="128">
        <f t="shared" si="5"/>
        <v>0</v>
      </c>
      <c r="BC60" s="128">
        <f t="shared" si="9"/>
        <v>0</v>
      </c>
    </row>
    <row r="61" spans="8:55" x14ac:dyDescent="0.35">
      <c r="H61" t="str">
        <f t="shared" si="6"/>
        <v>11ODCS</v>
      </c>
      <c r="I61" t="s">
        <v>119</v>
      </c>
      <c r="J61" t="s">
        <v>266</v>
      </c>
      <c r="K61">
        <v>11</v>
      </c>
      <c r="AM61" s="128">
        <v>0</v>
      </c>
      <c r="AN61" s="128">
        <v>0</v>
      </c>
      <c r="AO61" s="128">
        <f>AN61*Assumpt!F$40</f>
        <v>0</v>
      </c>
      <c r="AP61" s="128">
        <f>AO61*Assumpt!G$40</f>
        <v>0</v>
      </c>
      <c r="AQ61" s="128">
        <f>AP61*Assumpt!H$40</f>
        <v>0</v>
      </c>
      <c r="AR61" s="128">
        <f>AQ61*Assumpt!I$40</f>
        <v>0</v>
      </c>
      <c r="AS61" s="128">
        <f t="shared" si="8"/>
        <v>0</v>
      </c>
      <c r="AT61" s="128"/>
      <c r="AU61" s="128">
        <f>AR61*Assumpt!$E$40</f>
        <v>0</v>
      </c>
      <c r="AV61" s="128">
        <f>AU61*Assumpt!$E$40</f>
        <v>0</v>
      </c>
      <c r="AW61" s="128">
        <f>AV61*Assumpt!$E$40</f>
        <v>0</v>
      </c>
      <c r="AX61" s="128">
        <f>AW61*Assumpt!$E$40</f>
        <v>0</v>
      </c>
      <c r="AY61" s="128">
        <f t="shared" si="4"/>
        <v>0</v>
      </c>
      <c r="AZ61" s="128">
        <f t="shared" si="5"/>
        <v>0</v>
      </c>
      <c r="BC61" s="128">
        <f t="shared" si="9"/>
        <v>0</v>
      </c>
    </row>
    <row r="62" spans="8:55" x14ac:dyDescent="0.35">
      <c r="H62" t="str">
        <f t="shared" si="6"/>
        <v>11ODCS</v>
      </c>
      <c r="I62" t="s">
        <v>119</v>
      </c>
      <c r="J62" t="s">
        <v>267</v>
      </c>
      <c r="K62">
        <v>11</v>
      </c>
      <c r="AM62" s="128">
        <v>225013.34677493435</v>
      </c>
      <c r="AN62" s="128">
        <v>293208.88118757395</v>
      </c>
      <c r="AO62" s="128">
        <f>AN62*Assumpt!F$40</f>
        <v>293208.88118757395</v>
      </c>
      <c r="AP62" s="128">
        <f>AO62*Assumpt!G$40</f>
        <v>293208.88118757395</v>
      </c>
      <c r="AQ62" s="128">
        <f>AP62*Assumpt!H$40</f>
        <v>293208.88118757395</v>
      </c>
      <c r="AR62" s="128">
        <f>AQ62*Assumpt!I$40</f>
        <v>293208.88118757395</v>
      </c>
      <c r="AS62" s="128">
        <f t="shared" si="8"/>
        <v>1691057.7527128044</v>
      </c>
      <c r="AT62" s="128"/>
      <c r="AU62" s="128">
        <f>AR62*Assumpt!$E$40</f>
        <v>293208.88118757395</v>
      </c>
      <c r="AV62" s="128">
        <f>AU62*Assumpt!$E$40</f>
        <v>293208.88118757395</v>
      </c>
      <c r="AW62" s="128">
        <f>AV62*Assumpt!$E$40</f>
        <v>293208.88118757395</v>
      </c>
      <c r="AX62" s="128">
        <f>AW62*Assumpt!$E$40</f>
        <v>293208.88118757395</v>
      </c>
      <c r="AY62" s="128">
        <f t="shared" si="4"/>
        <v>1172835.5247502958</v>
      </c>
      <c r="AZ62" s="128">
        <f t="shared" si="5"/>
        <v>2863893.2774630999</v>
      </c>
      <c r="BC62" s="128">
        <f t="shared" si="9"/>
        <v>0</v>
      </c>
    </row>
    <row r="63" spans="8:55" x14ac:dyDescent="0.35">
      <c r="H63" t="str">
        <f t="shared" si="6"/>
        <v>11ODCS</v>
      </c>
      <c r="I63" t="s">
        <v>119</v>
      </c>
      <c r="J63" t="s">
        <v>268</v>
      </c>
      <c r="K63">
        <v>11</v>
      </c>
      <c r="AM63" s="128">
        <v>11651.965856850245</v>
      </c>
      <c r="AN63" s="128">
        <v>15543.693431952652</v>
      </c>
      <c r="AO63" s="128">
        <f>AN63*Assumpt!F$40</f>
        <v>15543.693431952652</v>
      </c>
      <c r="AP63" s="128">
        <f>AO63*Assumpt!G$40</f>
        <v>15543.693431952652</v>
      </c>
      <c r="AQ63" s="128">
        <f>AP63*Assumpt!H$40</f>
        <v>15543.693431952652</v>
      </c>
      <c r="AR63" s="128">
        <f>AQ63*Assumpt!I$40</f>
        <v>15543.693431952652</v>
      </c>
      <c r="AS63" s="128">
        <f t="shared" si="8"/>
        <v>89370.43301661349</v>
      </c>
      <c r="AT63" s="128"/>
      <c r="AU63" s="128">
        <f>AR63*Assumpt!$E$40</f>
        <v>15543.693431952652</v>
      </c>
      <c r="AV63" s="128">
        <f>AU63*Assumpt!$E$40</f>
        <v>15543.693431952652</v>
      </c>
      <c r="AW63" s="128">
        <f>AV63*Assumpt!$E$40</f>
        <v>15543.693431952652</v>
      </c>
      <c r="AX63" s="128">
        <f>AW63*Assumpt!$E$40</f>
        <v>15543.693431952652</v>
      </c>
      <c r="AY63" s="128">
        <f t="shared" si="4"/>
        <v>62174.773727810607</v>
      </c>
      <c r="AZ63" s="128">
        <f t="shared" si="5"/>
        <v>151545.2067444241</v>
      </c>
      <c r="BC63" s="128">
        <f t="shared" si="9"/>
        <v>0</v>
      </c>
    </row>
    <row r="64" spans="8:55" x14ac:dyDescent="0.35">
      <c r="H64" t="str">
        <f t="shared" si="6"/>
        <v>11ODCS</v>
      </c>
      <c r="I64" t="s">
        <v>119</v>
      </c>
      <c r="J64" t="s">
        <v>269</v>
      </c>
      <c r="K64">
        <v>11</v>
      </c>
      <c r="AM64" s="128">
        <v>122305.35215065999</v>
      </c>
      <c r="AN64" s="128">
        <v>163155.03514792898</v>
      </c>
      <c r="AO64" s="128">
        <f>AN64*Assumpt!F$40</f>
        <v>163155.03514792898</v>
      </c>
      <c r="AP64" s="128">
        <f>AO64*Assumpt!G$40</f>
        <v>163155.03514792898</v>
      </c>
      <c r="AQ64" s="128">
        <f>AP64*Assumpt!H$40</f>
        <v>163155.03514792898</v>
      </c>
      <c r="AR64" s="128">
        <f>AQ64*Assumpt!I$40</f>
        <v>163155.03514792898</v>
      </c>
      <c r="AS64" s="128">
        <f t="shared" si="8"/>
        <v>938080.52789030492</v>
      </c>
      <c r="AT64" s="128"/>
      <c r="AU64" s="128">
        <f>AR64*Assumpt!$E$40</f>
        <v>163155.03514792898</v>
      </c>
      <c r="AV64" s="128">
        <f>AU64*Assumpt!$E$40</f>
        <v>163155.03514792898</v>
      </c>
      <c r="AW64" s="128">
        <f>AV64*Assumpt!$E$40</f>
        <v>163155.03514792898</v>
      </c>
      <c r="AX64" s="128">
        <f>AW64*Assumpt!$E$40</f>
        <v>163155.03514792898</v>
      </c>
      <c r="AY64" s="128">
        <f t="shared" si="4"/>
        <v>652620.14059171593</v>
      </c>
      <c r="AZ64" s="128">
        <f t="shared" si="5"/>
        <v>1590700.668482021</v>
      </c>
      <c r="BC64" s="128">
        <f t="shared" si="9"/>
        <v>0</v>
      </c>
    </row>
    <row r="65" spans="8:55" ht="14.25" customHeight="1" x14ac:dyDescent="0.35">
      <c r="H65" t="str">
        <f t="shared" si="6"/>
        <v>11ODCS</v>
      </c>
      <c r="I65" t="s">
        <v>119</v>
      </c>
      <c r="J65" t="s">
        <v>270</v>
      </c>
      <c r="K65">
        <v>11</v>
      </c>
      <c r="AM65" s="128">
        <v>0</v>
      </c>
      <c r="AN65" s="128">
        <f>424428.382248521-150000</f>
        <v>274428.38224852103</v>
      </c>
      <c r="AO65" s="128">
        <f>AN65*Assumpt!F$40</f>
        <v>274428.38224852103</v>
      </c>
      <c r="AP65" s="128">
        <f>AO65*Assumpt!G$40</f>
        <v>274428.38224852103</v>
      </c>
      <c r="AQ65" s="128">
        <f>AP65*Assumpt!H$40</f>
        <v>274428.38224852103</v>
      </c>
      <c r="AR65" s="128">
        <f>AQ65*Assumpt!I$40</f>
        <v>274428.38224852103</v>
      </c>
      <c r="AS65" s="128">
        <f t="shared" si="8"/>
        <v>1372141.9112426052</v>
      </c>
      <c r="AT65" s="128"/>
      <c r="AU65" s="128">
        <f>AR65*Assumpt!$E$40</f>
        <v>274428.38224852103</v>
      </c>
      <c r="AV65" s="128">
        <f>AU65*Assumpt!$E$40</f>
        <v>274428.38224852103</v>
      </c>
      <c r="AW65" s="128">
        <f>AV65*Assumpt!$E$40</f>
        <v>274428.38224852103</v>
      </c>
      <c r="AX65" s="128">
        <f>AW65*Assumpt!$E$40</f>
        <v>274428.38224852103</v>
      </c>
      <c r="AY65" s="128">
        <f t="shared" si="4"/>
        <v>1097713.5289940841</v>
      </c>
      <c r="AZ65" s="128">
        <f t="shared" si="5"/>
        <v>2469855.4402366895</v>
      </c>
      <c r="BC65" s="128">
        <f t="shared" si="9"/>
        <v>0</v>
      </c>
    </row>
    <row r="66" spans="8:55" x14ac:dyDescent="0.35">
      <c r="H66" t="str">
        <f t="shared" si="6"/>
        <v>11ODCS</v>
      </c>
      <c r="I66" t="s">
        <v>119</v>
      </c>
      <c r="J66" t="s">
        <v>271</v>
      </c>
      <c r="K66">
        <v>11</v>
      </c>
      <c r="AM66" s="128">
        <v>4798.2813609467457</v>
      </c>
      <c r="AN66" s="128">
        <v>6400.8953846153845</v>
      </c>
      <c r="AO66" s="128">
        <f>AN66*Assumpt!F$40</f>
        <v>6400.8953846153845</v>
      </c>
      <c r="AP66" s="128">
        <f>AO66*Assumpt!G$40</f>
        <v>6400.8953846153845</v>
      </c>
      <c r="AQ66" s="128">
        <f>AP66*Assumpt!H$40</f>
        <v>6400.8953846153845</v>
      </c>
      <c r="AR66" s="128">
        <f>AQ66*Assumpt!I$40</f>
        <v>6400.8953846153845</v>
      </c>
      <c r="AS66" s="128">
        <f t="shared" si="8"/>
        <v>36802.758284023672</v>
      </c>
      <c r="AT66" s="128"/>
      <c r="AU66" s="128">
        <f>AR66*Assumpt!$E$40</f>
        <v>6400.8953846153845</v>
      </c>
      <c r="AV66" s="128">
        <f>AU66*Assumpt!$E$40</f>
        <v>6400.8953846153845</v>
      </c>
      <c r="AW66" s="128">
        <f>AV66*Assumpt!$E$40</f>
        <v>6400.8953846153845</v>
      </c>
      <c r="AX66" s="128">
        <f>AW66*Assumpt!$E$40</f>
        <v>6400.8953846153845</v>
      </c>
      <c r="AY66" s="128">
        <f t="shared" si="4"/>
        <v>25603.581538461538</v>
      </c>
      <c r="AZ66" s="128">
        <f t="shared" si="5"/>
        <v>62406.339822485214</v>
      </c>
      <c r="BC66" s="128">
        <f t="shared" si="9"/>
        <v>0</v>
      </c>
    </row>
    <row r="67" spans="8:55" x14ac:dyDescent="0.35">
      <c r="H67" t="str">
        <f t="shared" si="6"/>
        <v>11ODCS</v>
      </c>
      <c r="I67" t="s">
        <v>119</v>
      </c>
      <c r="J67" t="s">
        <v>272</v>
      </c>
      <c r="K67">
        <v>11</v>
      </c>
      <c r="AM67" s="128">
        <v>0</v>
      </c>
      <c r="AN67" s="128">
        <v>0</v>
      </c>
      <c r="AO67" s="128">
        <f>AN67*Assumpt!F$40</f>
        <v>0</v>
      </c>
      <c r="AP67" s="128">
        <f>AO67*Assumpt!G$40</f>
        <v>0</v>
      </c>
      <c r="AQ67" s="128">
        <f>AP67*Assumpt!H$40</f>
        <v>0</v>
      </c>
      <c r="AR67" s="128">
        <f>AQ67*Assumpt!I$40</f>
        <v>0</v>
      </c>
      <c r="AS67" s="128">
        <f t="shared" si="8"/>
        <v>0</v>
      </c>
      <c r="AT67" s="128"/>
      <c r="AU67" s="128">
        <f>AR67*Assumpt!$E$40</f>
        <v>0</v>
      </c>
      <c r="AV67" s="128">
        <f>AU67*Assumpt!$E$40</f>
        <v>0</v>
      </c>
      <c r="AW67" s="128">
        <f>AV67*Assumpt!$E$40</f>
        <v>0</v>
      </c>
      <c r="AX67" s="128">
        <f>AW67*Assumpt!$E$40</f>
        <v>0</v>
      </c>
      <c r="AY67" s="128">
        <f t="shared" si="4"/>
        <v>0</v>
      </c>
      <c r="AZ67" s="128">
        <f t="shared" si="5"/>
        <v>0</v>
      </c>
      <c r="BC67" s="128">
        <f t="shared" si="9"/>
        <v>0</v>
      </c>
    </row>
    <row r="68" spans="8:55" x14ac:dyDescent="0.35">
      <c r="H68" t="str">
        <f t="shared" si="6"/>
        <v>11ODCS</v>
      </c>
      <c r="I68" t="s">
        <v>119</v>
      </c>
      <c r="J68" t="s">
        <v>273</v>
      </c>
      <c r="K68">
        <v>11</v>
      </c>
      <c r="AM68" s="128">
        <v>9893.1219793715263</v>
      </c>
      <c r="AN68" s="128">
        <v>13229.417514792902</v>
      </c>
      <c r="AO68" s="128">
        <f>AN68*Assumpt!F$40</f>
        <v>13229.417514792902</v>
      </c>
      <c r="AP68" s="128">
        <f>AO68*Assumpt!G$40</f>
        <v>13229.417514792902</v>
      </c>
      <c r="AQ68" s="128">
        <f>AP68*Assumpt!H$40</f>
        <v>13229.417514792902</v>
      </c>
      <c r="AR68" s="128">
        <f>AQ68*Assumpt!I$40</f>
        <v>13229.417514792902</v>
      </c>
      <c r="AS68" s="128">
        <f t="shared" si="8"/>
        <v>76040.209553336041</v>
      </c>
      <c r="AT68" s="128"/>
      <c r="AU68" s="128">
        <f>AR68*Assumpt!$E$40</f>
        <v>13229.417514792902</v>
      </c>
      <c r="AV68" s="128">
        <f>AU68*Assumpt!$E$40</f>
        <v>13229.417514792902</v>
      </c>
      <c r="AW68" s="128">
        <f>AV68*Assumpt!$E$40</f>
        <v>13229.417514792902</v>
      </c>
      <c r="AX68" s="128">
        <f>AW68*Assumpt!$E$40</f>
        <v>13229.417514792902</v>
      </c>
      <c r="AY68" s="128">
        <f t="shared" si="4"/>
        <v>52917.670059171607</v>
      </c>
      <c r="AZ68" s="128">
        <f t="shared" si="5"/>
        <v>128957.87961250765</v>
      </c>
      <c r="BC68" s="128">
        <f t="shared" si="9"/>
        <v>0</v>
      </c>
    </row>
    <row r="69" spans="8:55" x14ac:dyDescent="0.35">
      <c r="H69" t="str">
        <f t="shared" si="6"/>
        <v>11ODCS</v>
      </c>
      <c r="I69" t="s">
        <v>119</v>
      </c>
      <c r="J69" t="s">
        <v>274</v>
      </c>
      <c r="K69">
        <v>11</v>
      </c>
      <c r="AM69" s="128">
        <v>1530.0585685025032</v>
      </c>
      <c r="AN69" s="128">
        <v>2047.8279949931723</v>
      </c>
      <c r="AO69" s="128">
        <f>AN69*Assumpt!F$40</f>
        <v>2047.8279949931723</v>
      </c>
      <c r="AP69" s="128">
        <f>AO69*Assumpt!G$40</f>
        <v>2047.8279949931723</v>
      </c>
      <c r="AQ69" s="128">
        <f>AP69*Assumpt!H$40</f>
        <v>2047.8279949931723</v>
      </c>
      <c r="AR69" s="128">
        <f>AQ69*Assumpt!I$40</f>
        <v>2047.8279949931723</v>
      </c>
      <c r="AS69" s="128">
        <f t="shared" si="8"/>
        <v>11769.198543468365</v>
      </c>
      <c r="AT69" s="128"/>
      <c r="AU69" s="128">
        <f>AR69*Assumpt!$E$40</f>
        <v>2047.8279949931723</v>
      </c>
      <c r="AV69" s="128">
        <f>AU69*Assumpt!$E$40</f>
        <v>2047.8279949931723</v>
      </c>
      <c r="AW69" s="128">
        <f>AV69*Assumpt!$E$40</f>
        <v>2047.8279949931723</v>
      </c>
      <c r="AX69" s="128">
        <f>AW69*Assumpt!$E$40</f>
        <v>2047.8279949931723</v>
      </c>
      <c r="AY69" s="128">
        <f t="shared" si="4"/>
        <v>8191.3119799726892</v>
      </c>
      <c r="AZ69" s="128">
        <f t="shared" si="5"/>
        <v>19960.510523441055</v>
      </c>
      <c r="BC69" s="128">
        <f t="shared" si="9"/>
        <v>0</v>
      </c>
    </row>
    <row r="70" spans="8:55" x14ac:dyDescent="0.35">
      <c r="H70" t="str">
        <f t="shared" si="6"/>
        <v>11ODCS</v>
      </c>
      <c r="I70" t="s">
        <v>119</v>
      </c>
      <c r="J70" t="s">
        <v>275</v>
      </c>
      <c r="K70">
        <v>11</v>
      </c>
      <c r="AM70" s="128">
        <v>1397.6773298816574</v>
      </c>
      <c r="AN70" s="128">
        <v>1864.4980769230779</v>
      </c>
      <c r="AO70" s="128">
        <f>AN70*Assumpt!F$40</f>
        <v>1864.4980769230779</v>
      </c>
      <c r="AP70" s="128">
        <f>AO70*Assumpt!G$40</f>
        <v>1864.4980769230779</v>
      </c>
      <c r="AQ70" s="128">
        <f>AP70*Assumpt!H$40</f>
        <v>1864.4980769230779</v>
      </c>
      <c r="AR70" s="128">
        <f>AQ70*Assumpt!I$40</f>
        <v>1864.4980769230779</v>
      </c>
      <c r="AS70" s="128">
        <f t="shared" si="8"/>
        <v>10720.167714497045</v>
      </c>
      <c r="AT70" s="128"/>
      <c r="AU70" s="128">
        <f>AR70*Assumpt!$E$40</f>
        <v>1864.4980769230779</v>
      </c>
      <c r="AV70" s="128">
        <f>AU70*Assumpt!$E$40</f>
        <v>1864.4980769230779</v>
      </c>
      <c r="AW70" s="128">
        <f>AV70*Assumpt!$E$40</f>
        <v>1864.4980769230779</v>
      </c>
      <c r="AX70" s="128">
        <f>AW70*Assumpt!$E$40</f>
        <v>1864.4980769230779</v>
      </c>
      <c r="AY70" s="128">
        <f t="shared" si="4"/>
        <v>7457.9923076923114</v>
      </c>
      <c r="AZ70" s="128">
        <f t="shared" si="5"/>
        <v>18178.160022189357</v>
      </c>
      <c r="BC70" s="128">
        <f t="shared" si="9"/>
        <v>0</v>
      </c>
    </row>
    <row r="71" spans="8:55" x14ac:dyDescent="0.35">
      <c r="H71" t="str">
        <f t="shared" si="6"/>
        <v>11ODCS</v>
      </c>
      <c r="I71" t="s">
        <v>119</v>
      </c>
      <c r="J71" t="s">
        <v>276</v>
      </c>
      <c r="K71">
        <v>11</v>
      </c>
      <c r="AM71" s="128">
        <v>12374.307211538462</v>
      </c>
      <c r="AN71" s="128">
        <v>16507.295000000002</v>
      </c>
      <c r="AO71" s="128">
        <f>AN71*Assumpt!F$40</f>
        <v>16507.295000000002</v>
      </c>
      <c r="AP71" s="128">
        <f>AO71*Assumpt!G$40</f>
        <v>16507.295000000002</v>
      </c>
      <c r="AQ71" s="128">
        <f>AP71*Assumpt!H$40</f>
        <v>16507.295000000002</v>
      </c>
      <c r="AR71" s="128">
        <f>AQ71*Assumpt!I$40</f>
        <v>16507.295000000002</v>
      </c>
      <c r="AS71" s="128">
        <f t="shared" si="8"/>
        <v>94910.782211538462</v>
      </c>
      <c r="AT71" s="128"/>
      <c r="AU71" s="128">
        <f>AR71*Assumpt!$E$40</f>
        <v>16507.295000000002</v>
      </c>
      <c r="AV71" s="128">
        <f>AU71*Assumpt!$E$40</f>
        <v>16507.295000000002</v>
      </c>
      <c r="AW71" s="128">
        <f>AV71*Assumpt!$E$40</f>
        <v>16507.295000000002</v>
      </c>
      <c r="AX71" s="128">
        <f>AW71*Assumpt!$E$40</f>
        <v>16507.295000000002</v>
      </c>
      <c r="AY71" s="128">
        <f t="shared" si="4"/>
        <v>66029.180000000008</v>
      </c>
      <c r="AZ71" s="128">
        <f t="shared" si="5"/>
        <v>160939.96221153846</v>
      </c>
      <c r="BC71" s="128">
        <f t="shared" si="9"/>
        <v>0</v>
      </c>
    </row>
    <row r="72" spans="8:55" x14ac:dyDescent="0.35">
      <c r="H72" t="str">
        <f t="shared" si="6"/>
        <v>11ODCS</v>
      </c>
      <c r="I72" t="s">
        <v>119</v>
      </c>
      <c r="J72" t="s">
        <v>277</v>
      </c>
      <c r="K72">
        <v>11</v>
      </c>
      <c r="AM72" s="128">
        <v>0</v>
      </c>
      <c r="AN72" s="128">
        <v>0</v>
      </c>
      <c r="AO72" s="128">
        <f>AN72*Assumpt!F$40</f>
        <v>0</v>
      </c>
      <c r="AP72" s="128">
        <f>AO72*Assumpt!G$40</f>
        <v>0</v>
      </c>
      <c r="AQ72" s="128">
        <f>AP72*Assumpt!H$40</f>
        <v>0</v>
      </c>
      <c r="AR72" s="128">
        <f>AQ72*Assumpt!I$40</f>
        <v>0</v>
      </c>
      <c r="AS72" s="128">
        <f t="shared" si="8"/>
        <v>0</v>
      </c>
      <c r="AT72" s="128"/>
      <c r="AU72" s="128">
        <f>AR72*Assumpt!$E$40</f>
        <v>0</v>
      </c>
      <c r="AV72" s="128">
        <f>AU72*Assumpt!$E$40</f>
        <v>0</v>
      </c>
      <c r="AW72" s="128">
        <f>AV72*Assumpt!$E$40</f>
        <v>0</v>
      </c>
      <c r="AX72" s="128">
        <f>AW72*Assumpt!$E$40</f>
        <v>0</v>
      </c>
      <c r="AY72" s="128">
        <f t="shared" si="4"/>
        <v>0</v>
      </c>
      <c r="AZ72" s="128">
        <f t="shared" si="5"/>
        <v>0</v>
      </c>
      <c r="BC72" s="128">
        <f t="shared" si="9"/>
        <v>0</v>
      </c>
    </row>
    <row r="73" spans="8:55" x14ac:dyDescent="0.35">
      <c r="H73" t="str">
        <f t="shared" si="6"/>
        <v>11ODCS</v>
      </c>
      <c r="I73" t="s">
        <v>119</v>
      </c>
      <c r="J73" t="s">
        <v>278</v>
      </c>
      <c r="K73">
        <v>11</v>
      </c>
      <c r="AM73" s="128">
        <v>0</v>
      </c>
      <c r="AN73" s="128">
        <v>0</v>
      </c>
      <c r="AO73" s="128">
        <f>AN73*Assumpt!F$40</f>
        <v>0</v>
      </c>
      <c r="AP73" s="128">
        <f>AO73*Assumpt!G$40</f>
        <v>0</v>
      </c>
      <c r="AQ73" s="128">
        <f>AP73*Assumpt!H$40</f>
        <v>0</v>
      </c>
      <c r="AR73" s="128">
        <f>AQ73*Assumpt!I$40</f>
        <v>0</v>
      </c>
      <c r="AS73" s="128">
        <f t="shared" si="8"/>
        <v>0</v>
      </c>
      <c r="AT73" s="128"/>
      <c r="AU73" s="128">
        <f>AR73*Assumpt!$E$40</f>
        <v>0</v>
      </c>
      <c r="AV73" s="128">
        <f>AU73*Assumpt!$E$40</f>
        <v>0</v>
      </c>
      <c r="AW73" s="128">
        <f>AV73*Assumpt!$E$40</f>
        <v>0</v>
      </c>
      <c r="AX73" s="128">
        <f>AW73*Assumpt!$E$40</f>
        <v>0</v>
      </c>
      <c r="AY73" s="128">
        <f t="shared" si="4"/>
        <v>0</v>
      </c>
      <c r="AZ73" s="128">
        <f t="shared" si="5"/>
        <v>0</v>
      </c>
      <c r="BC73" s="128">
        <f t="shared" si="9"/>
        <v>0</v>
      </c>
    </row>
    <row r="74" spans="8:55" x14ac:dyDescent="0.35">
      <c r="H74" t="str">
        <f t="shared" si="6"/>
        <v>11ODCS</v>
      </c>
      <c r="I74" t="s">
        <v>119</v>
      </c>
      <c r="J74" t="s">
        <v>279</v>
      </c>
      <c r="K74">
        <v>11</v>
      </c>
      <c r="AM74" s="128">
        <v>101036.68232533</v>
      </c>
      <c r="AN74" s="128">
        <v>134782.6825739645</v>
      </c>
      <c r="AO74" s="128">
        <f>AN74*Assumpt!F$40</f>
        <v>134782.6825739645</v>
      </c>
      <c r="AP74" s="128">
        <f>AO74*Assumpt!G$40</f>
        <v>134782.6825739645</v>
      </c>
      <c r="AQ74" s="128">
        <f>AP74*Assumpt!H$40</f>
        <v>134782.6825739645</v>
      </c>
      <c r="AR74" s="128">
        <f>AQ74*Assumpt!I$40</f>
        <v>134782.6825739645</v>
      </c>
      <c r="AS74" s="128">
        <f t="shared" si="8"/>
        <v>774950.09519515245</v>
      </c>
      <c r="AT74" s="128"/>
      <c r="AU74" s="128">
        <f>AR74*Assumpt!J$40</f>
        <v>134782.6825739645</v>
      </c>
      <c r="AV74" s="128">
        <f>AU74*Assumpt!$E$40</f>
        <v>134782.6825739645</v>
      </c>
      <c r="AW74" s="128">
        <f>AV74*Assumpt!$E$40</f>
        <v>134782.6825739645</v>
      </c>
      <c r="AX74" s="128">
        <f>AW74*Assumpt!$E$40</f>
        <v>134782.6825739645</v>
      </c>
      <c r="AY74" s="128">
        <f t="shared" si="4"/>
        <v>539130.730295858</v>
      </c>
      <c r="AZ74" s="128">
        <f t="shared" si="5"/>
        <v>1314080.8254910104</v>
      </c>
      <c r="BC74" s="128">
        <f t="shared" si="9"/>
        <v>0</v>
      </c>
    </row>
    <row r="75" spans="8:55" x14ac:dyDescent="0.35">
      <c r="H75" t="str">
        <f t="shared" si="6"/>
        <v>11ODCS</v>
      </c>
      <c r="I75" t="s">
        <v>119</v>
      </c>
      <c r="J75" t="s">
        <v>280</v>
      </c>
      <c r="K75">
        <v>11</v>
      </c>
      <c r="AM75" s="128">
        <v>161079.83773042788</v>
      </c>
      <c r="AN75" s="128">
        <v>214880.10233727811</v>
      </c>
      <c r="AO75" s="128">
        <f>AN75*Assumpt!F$40</f>
        <v>214880.10233727811</v>
      </c>
      <c r="AP75" s="128">
        <f>AO75*Assumpt!G$40</f>
        <v>214880.10233727811</v>
      </c>
      <c r="AQ75" s="128">
        <f>AP75*Assumpt!H$40</f>
        <v>214880.10233727811</v>
      </c>
      <c r="AR75" s="128">
        <f>AQ75*Assumpt!I$40</f>
        <v>214880.10233727811</v>
      </c>
      <c r="AS75" s="128">
        <f t="shared" si="8"/>
        <v>1235480.3494168185</v>
      </c>
      <c r="AT75" s="128"/>
      <c r="AU75" s="128">
        <f>AR75*Assumpt!$E$40</f>
        <v>214880.10233727811</v>
      </c>
      <c r="AV75" s="128">
        <f>AU75*Assumpt!$E$40</f>
        <v>214880.10233727811</v>
      </c>
      <c r="AW75" s="128">
        <f>AV75*Assumpt!$E$40</f>
        <v>214880.10233727811</v>
      </c>
      <c r="AX75" s="128">
        <f>AW75*Assumpt!$E$40</f>
        <v>214880.10233727811</v>
      </c>
      <c r="AY75" s="128">
        <f t="shared" si="4"/>
        <v>859520.40934911242</v>
      </c>
      <c r="AZ75" s="128">
        <f t="shared" si="5"/>
        <v>2095000.7587659308</v>
      </c>
      <c r="BC75" s="128">
        <f t="shared" si="9"/>
        <v>0</v>
      </c>
    </row>
    <row r="76" spans="8:55" x14ac:dyDescent="0.35">
      <c r="H76" t="str">
        <f t="shared" si="6"/>
        <v>11ODCS</v>
      </c>
      <c r="I76" t="s">
        <v>119</v>
      </c>
      <c r="J76" t="s">
        <v>281</v>
      </c>
      <c r="K76">
        <v>11</v>
      </c>
      <c r="AM76" s="128">
        <v>0</v>
      </c>
      <c r="AN76" s="128">
        <v>0</v>
      </c>
      <c r="AO76" s="128">
        <f>AN76*Assumpt!F$40</f>
        <v>0</v>
      </c>
      <c r="AP76" s="128">
        <f>AO76*Assumpt!G$40</f>
        <v>0</v>
      </c>
      <c r="AQ76" s="128">
        <f>AP76*Assumpt!H$40</f>
        <v>0</v>
      </c>
      <c r="AR76" s="128">
        <f>AQ76*Assumpt!I$40</f>
        <v>0</v>
      </c>
      <c r="AS76" s="128">
        <f t="shared" si="8"/>
        <v>0</v>
      </c>
      <c r="AT76" s="128"/>
      <c r="AU76" s="128">
        <f>AR76*Assumpt!$E$40</f>
        <v>0</v>
      </c>
      <c r="AV76" s="128">
        <f>AU76*Assumpt!$E$40</f>
        <v>0</v>
      </c>
      <c r="AW76" s="128">
        <f>AV76*Assumpt!$E$40</f>
        <v>0</v>
      </c>
      <c r="AX76" s="128">
        <f>AW76*Assumpt!$E$40</f>
        <v>0</v>
      </c>
      <c r="AY76" s="128">
        <f t="shared" ref="AY76:AY121" si="20">SUM(AU76:AX76)</f>
        <v>0</v>
      </c>
      <c r="AZ76" s="128">
        <f t="shared" ref="AZ76:AZ121" si="21">AL76+AS76+AY76</f>
        <v>0</v>
      </c>
      <c r="BC76" s="128">
        <f t="shared" si="9"/>
        <v>0</v>
      </c>
    </row>
    <row r="77" spans="8:55" x14ac:dyDescent="0.35">
      <c r="H77" t="str">
        <f t="shared" si="6"/>
        <v>11ODCS</v>
      </c>
      <c r="I77" t="s">
        <v>119</v>
      </c>
      <c r="J77" t="s">
        <v>282</v>
      </c>
      <c r="K77">
        <v>11</v>
      </c>
      <c r="AM77" s="128">
        <v>22252.246597633137</v>
      </c>
      <c r="AN77" s="128">
        <v>29684.441538461542</v>
      </c>
      <c r="AO77" s="128">
        <f>AN77*Assumpt!F$40</f>
        <v>29684.441538461542</v>
      </c>
      <c r="AP77" s="128">
        <f>AO77*Assumpt!G$40</f>
        <v>29684.441538461542</v>
      </c>
      <c r="AQ77" s="128">
        <f>AP77*Assumpt!H$40</f>
        <v>29684.441538461542</v>
      </c>
      <c r="AR77" s="128">
        <f>AQ77*Assumpt!I$40</f>
        <v>29684.441538461542</v>
      </c>
      <c r="AS77" s="128">
        <f t="shared" si="8"/>
        <v>170674.45428994086</v>
      </c>
      <c r="AT77" s="128"/>
      <c r="AU77" s="128">
        <f>AR77*Assumpt!$E$40</f>
        <v>29684.441538461542</v>
      </c>
      <c r="AV77" s="128">
        <f>AU77*Assumpt!$E$40</f>
        <v>29684.441538461542</v>
      </c>
      <c r="AW77" s="128">
        <f>AV77*Assumpt!$E$40</f>
        <v>29684.441538461542</v>
      </c>
      <c r="AX77" s="128">
        <f>AW77*Assumpt!$E$40</f>
        <v>29684.441538461542</v>
      </c>
      <c r="AY77" s="128">
        <f t="shared" si="20"/>
        <v>118737.76615384617</v>
      </c>
      <c r="AZ77" s="128">
        <f t="shared" si="21"/>
        <v>289412.22044378705</v>
      </c>
      <c r="BC77" s="128">
        <f t="shared" ref="BC77:BC121" si="22">AV77-AU77</f>
        <v>0</v>
      </c>
    </row>
    <row r="78" spans="8:55" x14ac:dyDescent="0.35">
      <c r="H78" t="str">
        <f t="shared" ref="H78:H121" si="23">CONCATENATE(K78,I78)</f>
        <v>11ODCS</v>
      </c>
      <c r="I78" t="s">
        <v>119</v>
      </c>
      <c r="J78" t="s">
        <v>283</v>
      </c>
      <c r="K78">
        <v>11</v>
      </c>
      <c r="AM78" s="128">
        <v>0</v>
      </c>
      <c r="AN78" s="128">
        <v>0</v>
      </c>
      <c r="AO78" s="128">
        <f>AN78*Assumpt!F$40</f>
        <v>0</v>
      </c>
      <c r="AP78" s="128">
        <f>AO78*Assumpt!G$40</f>
        <v>0</v>
      </c>
      <c r="AQ78" s="128">
        <f>AP78*Assumpt!H$40</f>
        <v>0</v>
      </c>
      <c r="AR78" s="128">
        <f>AQ78*Assumpt!I$40</f>
        <v>0</v>
      </c>
      <c r="AS78" s="128">
        <f t="shared" ref="AS78:AS121" si="24">SUM(AM78:AR78)</f>
        <v>0</v>
      </c>
      <c r="AT78" s="128"/>
      <c r="AU78" s="128">
        <f>AR78*Assumpt!$E$40</f>
        <v>0</v>
      </c>
      <c r="AV78" s="128">
        <f>AU78*Assumpt!$E$40</f>
        <v>0</v>
      </c>
      <c r="AW78" s="128">
        <f>AV78*Assumpt!$E$40</f>
        <v>0</v>
      </c>
      <c r="AX78" s="128">
        <f>AW78*Assumpt!$E$40</f>
        <v>0</v>
      </c>
      <c r="AY78" s="128">
        <f t="shared" si="20"/>
        <v>0</v>
      </c>
      <c r="AZ78" s="128">
        <f t="shared" si="21"/>
        <v>0</v>
      </c>
      <c r="BC78" s="128">
        <f t="shared" si="22"/>
        <v>0</v>
      </c>
    </row>
    <row r="79" spans="8:55" x14ac:dyDescent="0.35">
      <c r="H79" t="str">
        <f t="shared" si="23"/>
        <v>11ODCS</v>
      </c>
      <c r="I79" t="s">
        <v>119</v>
      </c>
      <c r="J79" t="s">
        <v>284</v>
      </c>
      <c r="K79">
        <v>11</v>
      </c>
      <c r="AM79" s="128">
        <f>363176.884393491</f>
        <v>363176.88439349103</v>
      </c>
      <c r="AN79" s="128">
        <f>484477.059230769</f>
        <v>484477.05923076899</v>
      </c>
      <c r="AO79" s="128">
        <f>AN79*Assumpt!F$40-230000</f>
        <v>254477.05923076899</v>
      </c>
      <c r="AP79" s="128">
        <f>AO79*Assumpt!G$40</f>
        <v>254477.05923076899</v>
      </c>
      <c r="AQ79" s="128">
        <f>AP79*Assumpt!H$40</f>
        <v>254477.05923076899</v>
      </c>
      <c r="AR79" s="128">
        <f>AQ79*Assumpt!I$40</f>
        <v>254477.05923076899</v>
      </c>
      <c r="AS79" s="128">
        <f t="shared" si="24"/>
        <v>1865562.1805473361</v>
      </c>
      <c r="AT79" s="128"/>
      <c r="AU79" s="128">
        <f>AR79*Assumpt!$E$40</f>
        <v>254477.05923076899</v>
      </c>
      <c r="AV79" s="128">
        <f>AU79*Assumpt!$E$40</f>
        <v>254477.05923076899</v>
      </c>
      <c r="AW79" s="128">
        <f>AV79*Assumpt!$E$40</f>
        <v>254477.05923076899</v>
      </c>
      <c r="AX79" s="128">
        <f>AW79*Assumpt!$E$40</f>
        <v>254477.05923076899</v>
      </c>
      <c r="AY79" s="128">
        <f t="shared" si="20"/>
        <v>1017908.236923076</v>
      </c>
      <c r="AZ79" s="128">
        <f t="shared" si="21"/>
        <v>2883470.4174704123</v>
      </c>
      <c r="BC79" s="128">
        <f t="shared" si="22"/>
        <v>0</v>
      </c>
    </row>
    <row r="80" spans="8:55" x14ac:dyDescent="0.35">
      <c r="H80" t="str">
        <f t="shared" si="23"/>
        <v>11ODCS</v>
      </c>
      <c r="I80" t="s">
        <v>119</v>
      </c>
      <c r="J80" t="s">
        <v>285</v>
      </c>
      <c r="K80">
        <v>11</v>
      </c>
      <c r="AM80" s="128">
        <v>0</v>
      </c>
      <c r="AN80" s="128">
        <v>0</v>
      </c>
      <c r="AO80" s="128">
        <f>AN80*Assumpt!F$40</f>
        <v>0</v>
      </c>
      <c r="AP80" s="128">
        <f>AO80*Assumpt!G$40</f>
        <v>0</v>
      </c>
      <c r="AQ80" s="128">
        <f>AP80*Assumpt!H$40</f>
        <v>0</v>
      </c>
      <c r="AR80" s="128">
        <f>AQ80*Assumpt!I$40</f>
        <v>0</v>
      </c>
      <c r="AS80" s="128">
        <f t="shared" si="24"/>
        <v>0</v>
      </c>
      <c r="AT80" s="128"/>
      <c r="AU80" s="128">
        <f>AR80*Assumpt!$E$40</f>
        <v>0</v>
      </c>
      <c r="AV80" s="128">
        <f>AU80*Assumpt!$E$40</f>
        <v>0</v>
      </c>
      <c r="AW80" s="128">
        <f>AV80*Assumpt!$E$40</f>
        <v>0</v>
      </c>
      <c r="AX80" s="128">
        <f>AW80*Assumpt!$E$40</f>
        <v>0</v>
      </c>
      <c r="AY80" s="128">
        <f t="shared" si="20"/>
        <v>0</v>
      </c>
      <c r="AZ80" s="128">
        <f t="shared" si="21"/>
        <v>0</v>
      </c>
      <c r="BC80" s="128">
        <f t="shared" si="22"/>
        <v>0</v>
      </c>
    </row>
    <row r="81" spans="8:55" x14ac:dyDescent="0.35">
      <c r="H81" t="str">
        <f t="shared" si="23"/>
        <v>11ODCS</v>
      </c>
      <c r="I81" t="s">
        <v>119</v>
      </c>
      <c r="J81" t="s">
        <v>642</v>
      </c>
      <c r="K81">
        <v>11</v>
      </c>
      <c r="AM81" s="128">
        <v>108722.98132965399</v>
      </c>
      <c r="AN81" s="128">
        <v>145000</v>
      </c>
      <c r="AO81" s="128">
        <v>0</v>
      </c>
      <c r="AP81" s="128">
        <f>AO81*Assumpt!G$40</f>
        <v>0</v>
      </c>
      <c r="AQ81" s="128">
        <f>AP81*Assumpt!H$40</f>
        <v>0</v>
      </c>
      <c r="AR81" s="128">
        <f>AQ81*Assumpt!I$40</f>
        <v>0</v>
      </c>
      <c r="AS81" s="128">
        <f t="shared" si="24"/>
        <v>253722.98132965399</v>
      </c>
      <c r="AT81" s="128"/>
      <c r="AU81" s="128">
        <f>AR81*Assumpt!$E$40</f>
        <v>0</v>
      </c>
      <c r="AV81" s="128">
        <f>AU81*Assumpt!$E$40</f>
        <v>0</v>
      </c>
      <c r="AW81" s="128">
        <f>AV81*Assumpt!$E$40</f>
        <v>0</v>
      </c>
      <c r="AX81" s="128">
        <f>AW81*Assumpt!$E$40</f>
        <v>0</v>
      </c>
      <c r="AY81" s="128">
        <f t="shared" si="20"/>
        <v>0</v>
      </c>
      <c r="AZ81" s="128">
        <f t="shared" si="21"/>
        <v>253722.98132965399</v>
      </c>
      <c r="BC81" s="128">
        <f t="shared" si="22"/>
        <v>0</v>
      </c>
    </row>
    <row r="82" spans="8:55" x14ac:dyDescent="0.35">
      <c r="H82" t="str">
        <f t="shared" si="23"/>
        <v>11ODCS</v>
      </c>
      <c r="I82" t="s">
        <v>119</v>
      </c>
      <c r="J82" t="s">
        <v>286</v>
      </c>
      <c r="K82">
        <v>11</v>
      </c>
      <c r="AM82" s="128">
        <v>0</v>
      </c>
      <c r="AN82" s="128">
        <v>0</v>
      </c>
      <c r="AO82" s="128">
        <f>AN82*Assumpt!F$40</f>
        <v>0</v>
      </c>
      <c r="AP82" s="128">
        <f>AO82*Assumpt!G$40</f>
        <v>0</v>
      </c>
      <c r="AQ82" s="128">
        <f>AP82*Assumpt!H$40</f>
        <v>0</v>
      </c>
      <c r="AR82" s="128">
        <f>AQ82*Assumpt!I$40</f>
        <v>0</v>
      </c>
      <c r="AS82" s="128">
        <f t="shared" si="24"/>
        <v>0</v>
      </c>
      <c r="AT82" s="128"/>
      <c r="AU82" s="128">
        <f>AR82*Assumpt!$E$40</f>
        <v>0</v>
      </c>
      <c r="AV82" s="128">
        <f>AU82*Assumpt!$E$40</f>
        <v>0</v>
      </c>
      <c r="AW82" s="128">
        <f>AV82*Assumpt!$E$40</f>
        <v>0</v>
      </c>
      <c r="AX82" s="128">
        <f>AW82*Assumpt!$E$40</f>
        <v>0</v>
      </c>
      <c r="AY82" s="128">
        <f t="shared" si="20"/>
        <v>0</v>
      </c>
      <c r="AZ82" s="128">
        <f t="shared" si="21"/>
        <v>0</v>
      </c>
      <c r="BC82" s="128">
        <f t="shared" si="22"/>
        <v>0</v>
      </c>
    </row>
    <row r="83" spans="8:55" x14ac:dyDescent="0.35">
      <c r="H83" t="str">
        <f t="shared" si="23"/>
        <v>11ODCS</v>
      </c>
      <c r="I83" t="s">
        <v>119</v>
      </c>
      <c r="J83" t="s">
        <v>287</v>
      </c>
      <c r="K83">
        <v>11</v>
      </c>
      <c r="AM83" s="128">
        <v>4995.5271449704142</v>
      </c>
      <c r="AN83" s="128">
        <v>6664.0207692307695</v>
      </c>
      <c r="AO83" s="128">
        <f>AN83*Assumpt!F$40</f>
        <v>6664.0207692307695</v>
      </c>
      <c r="AP83" s="128">
        <f>AO83*Assumpt!G$40</f>
        <v>6664.0207692307695</v>
      </c>
      <c r="AQ83" s="128">
        <f>AP83*Assumpt!H$40</f>
        <v>6664.0207692307695</v>
      </c>
      <c r="AR83" s="128">
        <f>AQ83*Assumpt!I$40</f>
        <v>6664.0207692307695</v>
      </c>
      <c r="AS83" s="128">
        <f t="shared" si="24"/>
        <v>38315.630991124264</v>
      </c>
      <c r="AT83" s="128"/>
      <c r="AU83" s="128">
        <f>AR83*Assumpt!$E$40</f>
        <v>6664.0207692307695</v>
      </c>
      <c r="AV83" s="128">
        <f>AU83*Assumpt!$E$40</f>
        <v>6664.0207692307695</v>
      </c>
      <c r="AW83" s="128">
        <f>AV83*Assumpt!$E$40</f>
        <v>6664.0207692307695</v>
      </c>
      <c r="AX83" s="128">
        <f>AW83*Assumpt!$E$40</f>
        <v>6664.0207692307695</v>
      </c>
      <c r="AY83" s="128">
        <f t="shared" si="20"/>
        <v>26656.083076923078</v>
      </c>
      <c r="AZ83" s="128">
        <f t="shared" si="21"/>
        <v>64971.714068047339</v>
      </c>
      <c r="BC83" s="128">
        <f t="shared" si="22"/>
        <v>0</v>
      </c>
    </row>
    <row r="84" spans="8:55" x14ac:dyDescent="0.35">
      <c r="H84" t="str">
        <f t="shared" si="23"/>
        <v>11ODCS</v>
      </c>
      <c r="I84" t="s">
        <v>119</v>
      </c>
      <c r="J84" t="s">
        <v>288</v>
      </c>
      <c r="K84">
        <v>11</v>
      </c>
      <c r="AM84" s="128">
        <v>470748.61567489128</v>
      </c>
      <c r="AN84" s="128">
        <v>629500.98000000021</v>
      </c>
      <c r="AO84" s="128">
        <f>(AN84-160000)*Assumpt!F$40</f>
        <v>469500.98000000021</v>
      </c>
      <c r="AP84" s="128">
        <f>AO84*Assumpt!G$40</f>
        <v>469500.98000000021</v>
      </c>
      <c r="AQ84" s="128">
        <f>AP84*Assumpt!H$40</f>
        <v>469500.98000000021</v>
      </c>
      <c r="AR84" s="128">
        <f>AQ84*Assumpt!I$40</f>
        <v>469500.98000000021</v>
      </c>
      <c r="AS84" s="128">
        <f t="shared" si="24"/>
        <v>2978253.5156748928</v>
      </c>
      <c r="AT84" s="128"/>
      <c r="AU84" s="128">
        <f>AR84*Assumpt!$E$40</f>
        <v>469500.98000000021</v>
      </c>
      <c r="AV84" s="128">
        <f>AU84*Assumpt!$E$40</f>
        <v>469500.98000000021</v>
      </c>
      <c r="AW84" s="128">
        <f>AV84*Assumpt!$E$40</f>
        <v>469500.98000000021</v>
      </c>
      <c r="AX84" s="128">
        <f>AW84*Assumpt!$E$40</f>
        <v>469500.98000000021</v>
      </c>
      <c r="AY84" s="128">
        <f t="shared" si="20"/>
        <v>1878003.9200000009</v>
      </c>
      <c r="AZ84" s="128">
        <f t="shared" si="21"/>
        <v>4856257.4356748937</v>
      </c>
      <c r="BC84" s="128">
        <f t="shared" si="22"/>
        <v>0</v>
      </c>
    </row>
    <row r="85" spans="8:55" x14ac:dyDescent="0.35">
      <c r="H85" t="str">
        <f t="shared" si="23"/>
        <v>11ODCS</v>
      </c>
      <c r="I85" t="s">
        <v>119</v>
      </c>
      <c r="J85" t="s">
        <v>289</v>
      </c>
      <c r="K85">
        <v>11</v>
      </c>
      <c r="AM85" s="128">
        <v>293821.28594395443</v>
      </c>
      <c r="AN85" s="128">
        <v>394483.22272189346</v>
      </c>
      <c r="AO85" s="128">
        <f>AN85*Assumpt!F$40</f>
        <v>394483.22272189346</v>
      </c>
      <c r="AP85" s="128">
        <f>AO85*Assumpt!G$40</f>
        <v>394483.22272189346</v>
      </c>
      <c r="AQ85" s="128">
        <f>AP85*Assumpt!H$40</f>
        <v>394483.22272189346</v>
      </c>
      <c r="AR85" s="128">
        <f>AQ85*Assumpt!I$40</f>
        <v>394483.22272189346</v>
      </c>
      <c r="AS85" s="128">
        <f t="shared" si="24"/>
        <v>2266237.3995534214</v>
      </c>
      <c r="AT85" s="128"/>
      <c r="AU85" s="128">
        <f>AR85*Assumpt!$E$40</f>
        <v>394483.22272189346</v>
      </c>
      <c r="AV85" s="128">
        <f>AU85*Assumpt!$E$40</f>
        <v>394483.22272189346</v>
      </c>
      <c r="AW85" s="128">
        <f>AV85*Assumpt!$E$40</f>
        <v>394483.22272189346</v>
      </c>
      <c r="AX85" s="128">
        <f>AW85*Assumpt!$E$40</f>
        <v>394483.22272189346</v>
      </c>
      <c r="AY85" s="128">
        <f t="shared" si="20"/>
        <v>1577932.8908875738</v>
      </c>
      <c r="AZ85" s="128">
        <f t="shared" si="21"/>
        <v>3844170.2904409952</v>
      </c>
      <c r="BC85" s="128">
        <f t="shared" si="22"/>
        <v>0</v>
      </c>
    </row>
    <row r="86" spans="8:55" x14ac:dyDescent="0.35">
      <c r="H86" t="str">
        <f t="shared" si="23"/>
        <v>11ODCS</v>
      </c>
      <c r="I86" t="s">
        <v>119</v>
      </c>
      <c r="J86" t="s">
        <v>290</v>
      </c>
      <c r="K86">
        <v>11</v>
      </c>
      <c r="AM86" s="128">
        <v>52436.572165276506</v>
      </c>
      <c r="AN86" s="128">
        <v>69950.256666804722</v>
      </c>
      <c r="AO86" s="128">
        <f>AN86*Assumpt!F$40</f>
        <v>69950.256666804722</v>
      </c>
      <c r="AP86" s="128">
        <f>AO86*Assumpt!G$40</f>
        <v>69950.256666804722</v>
      </c>
      <c r="AQ86" s="128">
        <f>AP86*Assumpt!H$40</f>
        <v>69950.256666804722</v>
      </c>
      <c r="AR86" s="128">
        <f>AQ86*Assumpt!I$40</f>
        <v>69950.256666804722</v>
      </c>
      <c r="AS86" s="128">
        <f t="shared" si="24"/>
        <v>402187.85549930012</v>
      </c>
      <c r="AT86" s="128"/>
      <c r="AU86" s="128">
        <f>AR86*Assumpt!$E$40</f>
        <v>69950.256666804722</v>
      </c>
      <c r="AV86" s="128">
        <f>AU86*Assumpt!$E$40</f>
        <v>69950.256666804722</v>
      </c>
      <c r="AW86" s="128">
        <f>AV86*Assumpt!$E$40</f>
        <v>69950.256666804722</v>
      </c>
      <c r="AX86" s="128">
        <f>AW86*Assumpt!$E$40</f>
        <v>69950.256666804722</v>
      </c>
      <c r="AY86" s="128">
        <f t="shared" si="20"/>
        <v>279801.02666721889</v>
      </c>
      <c r="AZ86" s="128">
        <f t="shared" si="21"/>
        <v>681988.88216651906</v>
      </c>
      <c r="BC86" s="128">
        <f t="shared" si="22"/>
        <v>0</v>
      </c>
    </row>
    <row r="87" spans="8:55" x14ac:dyDescent="0.35">
      <c r="H87" t="str">
        <f t="shared" si="23"/>
        <v>11ODCS</v>
      </c>
      <c r="I87" t="s">
        <v>119</v>
      </c>
      <c r="J87" t="s">
        <v>291</v>
      </c>
      <c r="K87">
        <v>11</v>
      </c>
      <c r="AM87" s="128">
        <v>35165.819581744996</v>
      </c>
      <c r="AN87" s="128">
        <v>46911.11573594674</v>
      </c>
      <c r="AO87" s="128">
        <f>AN87*Assumpt!F$40</f>
        <v>46911.11573594674</v>
      </c>
      <c r="AP87" s="128">
        <f>AO87*Assumpt!G$40</f>
        <v>46911.11573594674</v>
      </c>
      <c r="AQ87" s="128">
        <f>AP87*Assumpt!H$40</f>
        <v>46911.11573594674</v>
      </c>
      <c r="AR87" s="128">
        <f>AQ87*Assumpt!I$40</f>
        <v>46911.11573594674</v>
      </c>
      <c r="AS87" s="128">
        <f t="shared" si="24"/>
        <v>269721.39826147869</v>
      </c>
      <c r="AT87" s="128"/>
      <c r="AU87" s="128">
        <f>AR87*Assumpt!$E$40</f>
        <v>46911.11573594674</v>
      </c>
      <c r="AV87" s="128">
        <f>AU87*Assumpt!$E$40</f>
        <v>46911.11573594674</v>
      </c>
      <c r="AW87" s="128">
        <f>AV87*Assumpt!$E$40</f>
        <v>46911.11573594674</v>
      </c>
      <c r="AX87" s="128">
        <f>AW87*Assumpt!$E$40</f>
        <v>46911.11573594674</v>
      </c>
      <c r="AY87" s="128">
        <f t="shared" si="20"/>
        <v>187644.46294378696</v>
      </c>
      <c r="AZ87" s="128">
        <f t="shared" si="21"/>
        <v>457365.86120526562</v>
      </c>
      <c r="BC87" s="128">
        <f t="shared" si="22"/>
        <v>0</v>
      </c>
    </row>
    <row r="88" spans="8:55" x14ac:dyDescent="0.35">
      <c r="H88" t="str">
        <f t="shared" si="23"/>
        <v>11ODCS</v>
      </c>
      <c r="I88" t="s">
        <v>119</v>
      </c>
      <c r="J88" t="s">
        <v>292</v>
      </c>
      <c r="K88">
        <v>11</v>
      </c>
      <c r="AM88" s="128">
        <v>217237.61538461538</v>
      </c>
      <c r="AN88" s="128">
        <v>270598.95</v>
      </c>
      <c r="AO88" s="128">
        <f>AN88*Assumpt!F$40</f>
        <v>270598.95</v>
      </c>
      <c r="AP88" s="128">
        <f>AO88*Assumpt!G$40</f>
        <v>270598.95</v>
      </c>
      <c r="AQ88" s="128">
        <f>AP88*Assumpt!H$40</f>
        <v>270598.95</v>
      </c>
      <c r="AR88" s="128">
        <f>AQ88*Assumpt!I$40</f>
        <v>270598.95</v>
      </c>
      <c r="AS88" s="128">
        <f t="shared" si="24"/>
        <v>1570232.3653846153</v>
      </c>
      <c r="AT88" s="128"/>
      <c r="AU88" s="128">
        <f>AR88*Assumpt!$E$40</f>
        <v>270598.95</v>
      </c>
      <c r="AV88" s="128">
        <f>AU88*Assumpt!$E$40</f>
        <v>270598.95</v>
      </c>
      <c r="AW88" s="128">
        <f>AV88*Assumpt!$E$40</f>
        <v>270598.95</v>
      </c>
      <c r="AX88" s="128">
        <f>AW88*Assumpt!$E$40</f>
        <v>270598.95</v>
      </c>
      <c r="AY88" s="128">
        <f t="shared" si="20"/>
        <v>1082395.8</v>
      </c>
      <c r="AZ88" s="128">
        <f t="shared" si="21"/>
        <v>2652628.1653846153</v>
      </c>
      <c r="BC88" s="128">
        <f t="shared" si="22"/>
        <v>0</v>
      </c>
    </row>
    <row r="89" spans="8:55" x14ac:dyDescent="0.35">
      <c r="H89" t="str">
        <f t="shared" si="23"/>
        <v>11ODCS</v>
      </c>
      <c r="I89" t="s">
        <v>119</v>
      </c>
      <c r="J89" t="s">
        <v>293</v>
      </c>
      <c r="K89">
        <v>11</v>
      </c>
      <c r="AM89" s="128">
        <v>0</v>
      </c>
      <c r="AN89" s="128">
        <v>0</v>
      </c>
      <c r="AO89" s="128">
        <f>AN89*Assumpt!F$40</f>
        <v>0</v>
      </c>
      <c r="AP89" s="128">
        <f>AO89*Assumpt!G$40</f>
        <v>0</v>
      </c>
      <c r="AQ89" s="128">
        <f>AP89*Assumpt!H$40</f>
        <v>0</v>
      </c>
      <c r="AR89" s="128">
        <f>AQ89*Assumpt!I$40</f>
        <v>0</v>
      </c>
      <c r="AS89" s="128">
        <f t="shared" si="24"/>
        <v>0</v>
      </c>
      <c r="AT89" s="128"/>
      <c r="AU89" s="128">
        <f>AR89*Assumpt!$E$40</f>
        <v>0</v>
      </c>
      <c r="AV89" s="128">
        <f>AU89*Assumpt!$E$40</f>
        <v>0</v>
      </c>
      <c r="AW89" s="128">
        <f>AV89*Assumpt!$E$40</f>
        <v>0</v>
      </c>
      <c r="AX89" s="128">
        <f>AW89*Assumpt!$E$40</f>
        <v>0</v>
      </c>
      <c r="AY89" s="128">
        <f t="shared" si="20"/>
        <v>0</v>
      </c>
      <c r="AZ89" s="128">
        <f t="shared" si="21"/>
        <v>0</v>
      </c>
      <c r="BC89" s="128">
        <f t="shared" si="22"/>
        <v>0</v>
      </c>
    </row>
    <row r="90" spans="8:55" x14ac:dyDescent="0.35">
      <c r="H90" t="str">
        <f t="shared" si="23"/>
        <v>11ODCS</v>
      </c>
      <c r="I90" t="s">
        <v>119</v>
      </c>
      <c r="J90" t="s">
        <v>294</v>
      </c>
      <c r="K90">
        <v>11</v>
      </c>
      <c r="AM90" s="128">
        <v>97431.696153846162</v>
      </c>
      <c r="AN90" s="128">
        <v>129973.64000000001</v>
      </c>
      <c r="AO90" s="128">
        <f>AN90*Assumpt!F$40</f>
        <v>129973.64000000001</v>
      </c>
      <c r="AP90" s="128">
        <f>AO90*Assumpt!G$40</f>
        <v>129973.64000000001</v>
      </c>
      <c r="AQ90" s="128">
        <f>AP90*Assumpt!H$40</f>
        <v>129973.64000000001</v>
      </c>
      <c r="AR90" s="128">
        <f>AQ90*Assumpt!I$40</f>
        <v>129973.64000000001</v>
      </c>
      <c r="AS90" s="128">
        <f t="shared" si="24"/>
        <v>747299.89615384617</v>
      </c>
      <c r="AT90" s="128"/>
      <c r="AU90" s="128">
        <f>AR90*Assumpt!$E$40</f>
        <v>129973.64000000001</v>
      </c>
      <c r="AV90" s="128">
        <f>AU90*Assumpt!$E$40</f>
        <v>129973.64000000001</v>
      </c>
      <c r="AW90" s="128">
        <f>AV90*Assumpt!$E$40</f>
        <v>129973.64000000001</v>
      </c>
      <c r="AX90" s="128">
        <f>AW90*Assumpt!$E$40</f>
        <v>129973.64000000001</v>
      </c>
      <c r="AY90" s="128">
        <f t="shared" si="20"/>
        <v>519894.56000000006</v>
      </c>
      <c r="AZ90" s="128">
        <f t="shared" si="21"/>
        <v>1267194.4561538463</v>
      </c>
      <c r="BC90" s="128">
        <f t="shared" si="22"/>
        <v>0</v>
      </c>
    </row>
    <row r="91" spans="8:55" x14ac:dyDescent="0.35">
      <c r="H91" t="str">
        <f t="shared" si="23"/>
        <v>11ODCS</v>
      </c>
      <c r="I91" t="s">
        <v>119</v>
      </c>
      <c r="J91" t="s">
        <v>295</v>
      </c>
      <c r="K91">
        <v>11</v>
      </c>
      <c r="AM91" s="128">
        <v>12418.982538689117</v>
      </c>
      <c r="AN91" s="128">
        <v>16566.891775147924</v>
      </c>
      <c r="AO91" s="128">
        <f>AN91*Assumpt!F$40</f>
        <v>16566.891775147924</v>
      </c>
      <c r="AP91" s="128">
        <f>AO91*Assumpt!G$40</f>
        <v>16566.891775147924</v>
      </c>
      <c r="AQ91" s="128">
        <f>AP91*Assumpt!H$40</f>
        <v>16566.891775147924</v>
      </c>
      <c r="AR91" s="128">
        <f>AQ91*Assumpt!I$40</f>
        <v>16566.891775147924</v>
      </c>
      <c r="AS91" s="128">
        <f t="shared" si="24"/>
        <v>95253.441414428729</v>
      </c>
      <c r="AT91" s="128"/>
      <c r="AU91" s="128">
        <f>AR91*Assumpt!$E$40</f>
        <v>16566.891775147924</v>
      </c>
      <c r="AV91" s="128">
        <f>AU91*Assumpt!$E$40</f>
        <v>16566.891775147924</v>
      </c>
      <c r="AW91" s="128">
        <f>AV91*Assumpt!$E$40</f>
        <v>16566.891775147924</v>
      </c>
      <c r="AX91" s="128">
        <f>AW91*Assumpt!$E$40</f>
        <v>16566.891775147924</v>
      </c>
      <c r="AY91" s="128">
        <f t="shared" si="20"/>
        <v>66267.567100591696</v>
      </c>
      <c r="AZ91" s="128">
        <f t="shared" si="21"/>
        <v>161521.00851502042</v>
      </c>
      <c r="BC91" s="128">
        <f t="shared" si="22"/>
        <v>0</v>
      </c>
    </row>
    <row r="92" spans="8:55" x14ac:dyDescent="0.35">
      <c r="H92" t="str">
        <f t="shared" si="23"/>
        <v>11ODCS</v>
      </c>
      <c r="I92" t="s">
        <v>119</v>
      </c>
      <c r="J92" t="s">
        <v>296</v>
      </c>
      <c r="K92">
        <v>11</v>
      </c>
      <c r="AM92" s="128">
        <v>370000</v>
      </c>
      <c r="AN92" s="128">
        <v>500000</v>
      </c>
      <c r="AO92" s="128">
        <f>AN92*Assumpt!F$40</f>
        <v>500000</v>
      </c>
      <c r="AP92" s="128">
        <f>AO92*Assumpt!G$40</f>
        <v>500000</v>
      </c>
      <c r="AQ92" s="128">
        <f>AP92*Assumpt!H$40</f>
        <v>500000</v>
      </c>
      <c r="AR92" s="128">
        <f>AQ92*Assumpt!I$40</f>
        <v>500000</v>
      </c>
      <c r="AS92" s="128">
        <f t="shared" si="24"/>
        <v>2870000</v>
      </c>
      <c r="AT92" s="128"/>
      <c r="AU92" s="128">
        <f>AR92*Assumpt!$E$40</f>
        <v>500000</v>
      </c>
      <c r="AV92" s="128">
        <f>AU92*Assumpt!$E$40</f>
        <v>500000</v>
      </c>
      <c r="AW92" s="128">
        <f>AV92*Assumpt!$E$40</f>
        <v>500000</v>
      </c>
      <c r="AX92" s="128">
        <f>AW92*Assumpt!$E$40</f>
        <v>500000</v>
      </c>
      <c r="AY92" s="128">
        <f t="shared" si="20"/>
        <v>2000000</v>
      </c>
      <c r="AZ92" s="128">
        <f t="shared" si="21"/>
        <v>4870000</v>
      </c>
      <c r="BC92" s="128">
        <f t="shared" si="22"/>
        <v>0</v>
      </c>
    </row>
    <row r="93" spans="8:55" x14ac:dyDescent="0.35">
      <c r="H93" t="str">
        <f t="shared" si="23"/>
        <v>11ODCS</v>
      </c>
      <c r="I93" t="s">
        <v>119</v>
      </c>
      <c r="J93" t="s">
        <v>297</v>
      </c>
      <c r="K93">
        <v>11</v>
      </c>
      <c r="AM93" s="128">
        <v>0</v>
      </c>
      <c r="AN93" s="128">
        <v>0</v>
      </c>
      <c r="AO93" s="128">
        <f>AN93*Assumpt!F$40</f>
        <v>0</v>
      </c>
      <c r="AP93" s="128">
        <f>AO93*Assumpt!G$40</f>
        <v>0</v>
      </c>
      <c r="AQ93" s="128">
        <f>AP93*Assumpt!H$40</f>
        <v>0</v>
      </c>
      <c r="AR93" s="128">
        <f>AQ93*Assumpt!I$40</f>
        <v>0</v>
      </c>
      <c r="AS93" s="128">
        <f t="shared" si="24"/>
        <v>0</v>
      </c>
      <c r="AT93" s="128"/>
      <c r="AU93" s="128">
        <f>AR93*Assumpt!$E$40</f>
        <v>0</v>
      </c>
      <c r="AV93" s="128">
        <f>AU93*Assumpt!$E$40</f>
        <v>0</v>
      </c>
      <c r="AW93" s="128">
        <f>AV93*Assumpt!$E$40</f>
        <v>0</v>
      </c>
      <c r="AX93" s="128">
        <f>AW93*Assumpt!$E$40</f>
        <v>0</v>
      </c>
      <c r="AY93" s="128">
        <f t="shared" si="20"/>
        <v>0</v>
      </c>
      <c r="AZ93" s="128">
        <f t="shared" si="21"/>
        <v>0</v>
      </c>
      <c r="BC93" s="128">
        <f t="shared" si="22"/>
        <v>0</v>
      </c>
    </row>
    <row r="94" spans="8:55" x14ac:dyDescent="0.35">
      <c r="H94" t="str">
        <f t="shared" si="23"/>
        <v>11ODCS</v>
      </c>
      <c r="I94" t="s">
        <v>119</v>
      </c>
      <c r="J94" t="s">
        <v>298</v>
      </c>
      <c r="K94">
        <v>11</v>
      </c>
      <c r="AM94" s="128">
        <f>600000</f>
        <v>600000</v>
      </c>
      <c r="AN94" s="128">
        <f>AM94</f>
        <v>600000</v>
      </c>
      <c r="AO94" s="128">
        <f>AN94*Assumpt!F$40</f>
        <v>600000</v>
      </c>
      <c r="AP94" s="128">
        <f>AO94*Assumpt!G$40</f>
        <v>600000</v>
      </c>
      <c r="AQ94" s="128">
        <f>AP94*Assumpt!H$40</f>
        <v>600000</v>
      </c>
      <c r="AR94" s="128">
        <f>AQ94*Assumpt!I$40</f>
        <v>600000</v>
      </c>
      <c r="AS94" s="128">
        <f t="shared" si="24"/>
        <v>3600000</v>
      </c>
      <c r="AT94" s="128"/>
      <c r="AU94" s="128">
        <f>AR94*Assumpt!$E$40</f>
        <v>600000</v>
      </c>
      <c r="AV94" s="128">
        <f>AU94*Assumpt!$E$40</f>
        <v>600000</v>
      </c>
      <c r="AW94" s="128">
        <f>AV94*Assumpt!$E$40</f>
        <v>600000</v>
      </c>
      <c r="AX94" s="128">
        <f>AW94*Assumpt!$E$40</f>
        <v>600000</v>
      </c>
      <c r="AY94" s="128">
        <f t="shared" si="20"/>
        <v>2400000</v>
      </c>
      <c r="AZ94" s="128">
        <f t="shared" si="21"/>
        <v>6000000</v>
      </c>
      <c r="BC94" s="128">
        <f t="shared" si="22"/>
        <v>0</v>
      </c>
    </row>
    <row r="95" spans="8:55" x14ac:dyDescent="0.35">
      <c r="H95" t="str">
        <f t="shared" si="23"/>
        <v>11ODCS</v>
      </c>
      <c r="I95" t="s">
        <v>119</v>
      </c>
      <c r="J95" t="s">
        <v>299</v>
      </c>
      <c r="K95">
        <v>11</v>
      </c>
      <c r="AM95" s="128">
        <v>0</v>
      </c>
      <c r="AN95" s="128">
        <v>0</v>
      </c>
      <c r="AO95" s="128">
        <f>AN95*Assumpt!F$40</f>
        <v>0</v>
      </c>
      <c r="AP95" s="128">
        <f>AO95*Assumpt!G$40</f>
        <v>0</v>
      </c>
      <c r="AQ95" s="128">
        <f>AP95*Assumpt!H$40</f>
        <v>0</v>
      </c>
      <c r="AR95" s="128">
        <f>AQ95*Assumpt!I$40</f>
        <v>0</v>
      </c>
      <c r="AS95" s="128">
        <f t="shared" si="24"/>
        <v>0</v>
      </c>
      <c r="AT95" s="128"/>
      <c r="AU95" s="128">
        <v>0</v>
      </c>
      <c r="AV95" s="128">
        <v>0</v>
      </c>
      <c r="AW95" s="128">
        <v>0</v>
      </c>
      <c r="AX95" s="128">
        <v>0</v>
      </c>
      <c r="AY95" s="128">
        <f t="shared" si="20"/>
        <v>0</v>
      </c>
      <c r="AZ95" s="128">
        <f t="shared" si="21"/>
        <v>0</v>
      </c>
      <c r="BC95" s="128">
        <f t="shared" si="22"/>
        <v>0</v>
      </c>
    </row>
    <row r="96" spans="8:55" x14ac:dyDescent="0.35">
      <c r="H96" t="str">
        <f t="shared" si="23"/>
        <v/>
      </c>
      <c r="AM96" s="128"/>
      <c r="AN96" s="128"/>
      <c r="AO96" s="128">
        <f>AN96*Assumpt!F$40</f>
        <v>0</v>
      </c>
      <c r="AP96" s="128">
        <f>AO96*Assumpt!G$40</f>
        <v>0</v>
      </c>
      <c r="AQ96" s="128">
        <f>AP96*Assumpt!H$40</f>
        <v>0</v>
      </c>
      <c r="AR96" s="128">
        <f>AQ96*Assumpt!I$40</f>
        <v>0</v>
      </c>
      <c r="AS96" s="128">
        <f t="shared" si="24"/>
        <v>0</v>
      </c>
      <c r="AT96" s="128"/>
      <c r="AU96" s="128"/>
      <c r="AV96" s="128"/>
      <c r="AW96" s="128"/>
      <c r="AX96" s="128"/>
      <c r="AY96" s="128">
        <f t="shared" si="20"/>
        <v>0</v>
      </c>
      <c r="AZ96" s="128">
        <f t="shared" si="21"/>
        <v>0</v>
      </c>
      <c r="BC96" s="128">
        <f t="shared" si="22"/>
        <v>0</v>
      </c>
    </row>
    <row r="97" spans="2:55" x14ac:dyDescent="0.35">
      <c r="B97" t="s">
        <v>397</v>
      </c>
      <c r="H97" t="str">
        <f t="shared" si="23"/>
        <v>3Capital</v>
      </c>
      <c r="I97" t="s">
        <v>218</v>
      </c>
      <c r="J97" t="s">
        <v>398</v>
      </c>
      <c r="K97">
        <v>3</v>
      </c>
      <c r="M97" s="161">
        <f>'DESKTOP (PIF)'!E20</f>
        <v>1634</v>
      </c>
      <c r="Y97">
        <f>Assumpt!D79</f>
        <v>1250</v>
      </c>
      <c r="AM97" s="128">
        <f>$M97*(1+$N97)*Y97*Assumpt!D$41</f>
        <v>2042500</v>
      </c>
      <c r="AN97" s="128"/>
      <c r="AO97" s="128">
        <f>AN97*Assumpt!F$40</f>
        <v>0</v>
      </c>
      <c r="AP97" s="128">
        <f>AO97*Assumpt!G$40</f>
        <v>0</v>
      </c>
      <c r="AQ97" s="128">
        <f>AP97*Assumpt!H$40</f>
        <v>0</v>
      </c>
      <c r="AR97" s="128">
        <f>AQ97*Assumpt!I$40</f>
        <v>0</v>
      </c>
      <c r="AS97" s="128">
        <f t="shared" si="24"/>
        <v>2042500</v>
      </c>
      <c r="AT97" s="128"/>
      <c r="AU97" s="128"/>
      <c r="AV97" s="128"/>
      <c r="AW97" s="128"/>
      <c r="AX97" s="128"/>
      <c r="AY97" s="128">
        <f t="shared" si="20"/>
        <v>0</v>
      </c>
      <c r="AZ97" s="128">
        <f t="shared" si="21"/>
        <v>2042500</v>
      </c>
      <c r="BC97" s="128">
        <f t="shared" si="22"/>
        <v>0</v>
      </c>
    </row>
    <row r="98" spans="2:55" x14ac:dyDescent="0.35">
      <c r="H98" t="str">
        <f t="shared" si="23"/>
        <v/>
      </c>
      <c r="M98" s="161"/>
      <c r="AM98" s="128"/>
      <c r="AN98" s="128"/>
      <c r="AO98" s="128">
        <f>AN98*Assumpt!F$40</f>
        <v>0</v>
      </c>
      <c r="AP98" s="128">
        <f>AO98*Assumpt!G$40</f>
        <v>0</v>
      </c>
      <c r="AQ98" s="128">
        <f>AP98*Assumpt!H$40</f>
        <v>0</v>
      </c>
      <c r="AR98" s="128">
        <f>AQ98*Assumpt!I$40</f>
        <v>0</v>
      </c>
      <c r="AS98" s="128">
        <f t="shared" si="24"/>
        <v>0</v>
      </c>
      <c r="AT98" s="128"/>
      <c r="AU98" s="128"/>
      <c r="AV98" s="128"/>
      <c r="AW98" s="128"/>
      <c r="AX98" s="128"/>
      <c r="AY98" s="128">
        <f t="shared" si="20"/>
        <v>0</v>
      </c>
      <c r="AZ98" s="128">
        <f t="shared" si="21"/>
        <v>0</v>
      </c>
      <c r="BC98" s="128">
        <f t="shared" si="22"/>
        <v>0</v>
      </c>
    </row>
    <row r="99" spans="2:55" x14ac:dyDescent="0.35">
      <c r="H99" t="str">
        <f t="shared" si="23"/>
        <v>6Capital</v>
      </c>
      <c r="I99" t="s">
        <v>218</v>
      </c>
      <c r="J99" s="129" t="s">
        <v>415</v>
      </c>
      <c r="K99">
        <v>6</v>
      </c>
      <c r="M99" s="161">
        <f>'DESKTOP (PIF)'!E20</f>
        <v>1634</v>
      </c>
      <c r="Z99">
        <f>Assumpt!E79*5%</f>
        <v>62.5</v>
      </c>
      <c r="AA99">
        <f>Assumpt!F79*5%</f>
        <v>62.5</v>
      </c>
      <c r="AB99">
        <f>Assumpt!G79*5%</f>
        <v>62.5</v>
      </c>
      <c r="AC99">
        <f>Assumpt!H79*5%</f>
        <v>62.5</v>
      </c>
      <c r="AD99">
        <f>Assumpt!I79*5%</f>
        <v>62.5</v>
      </c>
      <c r="AE99">
        <f>Assumpt!J79*5%</f>
        <v>62.5</v>
      </c>
      <c r="AF99">
        <f>Assumpt!K79*5%</f>
        <v>62.5</v>
      </c>
      <c r="AG99">
        <f>Assumpt!L79*5%</f>
        <v>62.5</v>
      </c>
      <c r="AH99">
        <f>Assumpt!M79*5%</f>
        <v>62.5</v>
      </c>
      <c r="AM99" s="128">
        <f>$M99*(1+$N99)*Y99*Assumpt!D$41</f>
        <v>0</v>
      </c>
      <c r="AN99" s="128">
        <f>$M99*(1+$N99)*Z99*Assumpt!E$41-30000</f>
        <v>72125</v>
      </c>
      <c r="AO99" s="128">
        <f>AN99*Assumpt!F$40</f>
        <v>72125</v>
      </c>
      <c r="AP99" s="128">
        <f>AO99*Assumpt!G$40</f>
        <v>72125</v>
      </c>
      <c r="AQ99" s="128">
        <f>AP99*Assumpt!H$40</f>
        <v>72125</v>
      </c>
      <c r="AR99" s="128">
        <f>AQ99*Assumpt!I$40</f>
        <v>72125</v>
      </c>
      <c r="AS99" s="128">
        <f t="shared" si="24"/>
        <v>360625</v>
      </c>
      <c r="AT99" s="128"/>
      <c r="AU99" s="128">
        <f>$M99*(1+$N99)*AE99*Assumpt!J41</f>
        <v>102125</v>
      </c>
      <c r="AV99" s="128">
        <f>$M99*(1+$N99)*AF99*Assumpt!K41</f>
        <v>102125</v>
      </c>
      <c r="AW99" s="128">
        <f>$M99*(1+$N99)*AG99*Assumpt!L41</f>
        <v>102125</v>
      </c>
      <c r="AX99" s="128">
        <f>$M99*(1+$N99)*AH99*Assumpt!M41</f>
        <v>102125</v>
      </c>
      <c r="AY99" s="128">
        <f t="shared" si="20"/>
        <v>408500</v>
      </c>
      <c r="AZ99" s="128">
        <f t="shared" si="21"/>
        <v>769125</v>
      </c>
      <c r="BC99" s="128">
        <f t="shared" si="22"/>
        <v>0</v>
      </c>
    </row>
    <row r="100" spans="2:55" x14ac:dyDescent="0.35">
      <c r="H100" t="str">
        <f t="shared" si="23"/>
        <v>6ODCS</v>
      </c>
      <c r="I100" t="s">
        <v>119</v>
      </c>
      <c r="J100" s="129" t="s">
        <v>417</v>
      </c>
      <c r="K100">
        <v>6</v>
      </c>
      <c r="M100" s="161">
        <v>50</v>
      </c>
      <c r="Z100">
        <f>Assumpt!E79</f>
        <v>1250</v>
      </c>
      <c r="AA100">
        <f>Assumpt!F79</f>
        <v>1250</v>
      </c>
      <c r="AB100">
        <f>Assumpt!G79</f>
        <v>1250</v>
      </c>
      <c r="AC100">
        <f>Assumpt!H79</f>
        <v>1250</v>
      </c>
      <c r="AD100">
        <f>Assumpt!I79</f>
        <v>1250</v>
      </c>
      <c r="AE100">
        <f>Assumpt!J79</f>
        <v>1250</v>
      </c>
      <c r="AF100">
        <f>Assumpt!K79</f>
        <v>1250</v>
      </c>
      <c r="AG100">
        <f>Assumpt!L79</f>
        <v>1250</v>
      </c>
      <c r="AH100">
        <f>Assumpt!M79</f>
        <v>1250</v>
      </c>
      <c r="AM100" s="128">
        <f>$M100*(1+$N100)*Y100*Assumpt!D$41</f>
        <v>0</v>
      </c>
      <c r="AN100" s="128">
        <f>$M100*(1+$N100)*Z100*Assumpt!E$41</f>
        <v>62500</v>
      </c>
      <c r="AO100" s="128">
        <f>AN100*Assumpt!F$40</f>
        <v>62500</v>
      </c>
      <c r="AP100" s="128">
        <f>AO100*Assumpt!G$40</f>
        <v>62500</v>
      </c>
      <c r="AQ100" s="128">
        <f>AP100*Assumpt!H$40</f>
        <v>62500</v>
      </c>
      <c r="AR100" s="128">
        <f>AQ100*Assumpt!I$40</f>
        <v>62500</v>
      </c>
      <c r="AS100" s="128">
        <f t="shared" si="24"/>
        <v>312500</v>
      </c>
      <c r="AT100" s="128"/>
      <c r="AU100" s="128">
        <f>$M100*(1+$N100)*AE100*Assumpt!J$41</f>
        <v>62500</v>
      </c>
      <c r="AV100" s="128">
        <f>$M100*(1+$N100)*AF100*Assumpt!K$41</f>
        <v>62500</v>
      </c>
      <c r="AW100" s="128">
        <f>$M100*(1+$N100)*AG100*Assumpt!L$41</f>
        <v>62500</v>
      </c>
      <c r="AX100" s="128">
        <f>$M100*(1+$N100)*AH100*Assumpt!M$41</f>
        <v>62500</v>
      </c>
      <c r="AY100" s="128">
        <f t="shared" si="20"/>
        <v>250000</v>
      </c>
      <c r="AZ100" s="128">
        <f t="shared" si="21"/>
        <v>562500</v>
      </c>
      <c r="BC100" s="128">
        <f t="shared" si="22"/>
        <v>0</v>
      </c>
    </row>
    <row r="101" spans="2:55" x14ac:dyDescent="0.35">
      <c r="J101" s="215"/>
      <c r="M101" s="161"/>
      <c r="AM101" s="128"/>
      <c r="AN101" s="128"/>
      <c r="AO101" s="128"/>
      <c r="AP101" s="128"/>
      <c r="AQ101" s="128"/>
      <c r="AR101" s="128"/>
      <c r="AS101" s="128">
        <f t="shared" si="24"/>
        <v>0</v>
      </c>
      <c r="AT101" s="128"/>
      <c r="AU101" s="128"/>
      <c r="AV101" s="128"/>
      <c r="AW101" s="128"/>
      <c r="AX101" s="128"/>
      <c r="AY101" s="128">
        <f t="shared" si="20"/>
        <v>0</v>
      </c>
      <c r="AZ101" s="128">
        <f t="shared" si="21"/>
        <v>0</v>
      </c>
      <c r="BC101" s="128">
        <f t="shared" si="22"/>
        <v>0</v>
      </c>
    </row>
    <row r="102" spans="2:55" x14ac:dyDescent="0.35">
      <c r="M102" s="161"/>
      <c r="AM102" s="128"/>
      <c r="AN102" s="128"/>
      <c r="AO102" s="128"/>
      <c r="AP102" s="128"/>
      <c r="AQ102" s="128"/>
      <c r="AR102" s="128"/>
      <c r="AS102" s="128">
        <f t="shared" si="24"/>
        <v>0</v>
      </c>
      <c r="AT102" s="128"/>
      <c r="AU102" s="128"/>
      <c r="AV102" s="128"/>
      <c r="AW102" s="128"/>
      <c r="AX102" s="128"/>
      <c r="AY102" s="128">
        <f t="shared" si="20"/>
        <v>0</v>
      </c>
      <c r="AZ102" s="128">
        <f t="shared" si="21"/>
        <v>0</v>
      </c>
      <c r="BC102" s="128">
        <f t="shared" si="22"/>
        <v>0</v>
      </c>
    </row>
    <row r="103" spans="2:55" x14ac:dyDescent="0.35">
      <c r="M103" s="161"/>
      <c r="AM103" s="128"/>
      <c r="AN103" s="128"/>
      <c r="AO103" s="128"/>
      <c r="AP103" s="128"/>
      <c r="AQ103" s="128"/>
      <c r="AR103" s="128"/>
      <c r="AS103" s="128">
        <f t="shared" si="24"/>
        <v>0</v>
      </c>
      <c r="AT103" s="128"/>
      <c r="AU103" s="128"/>
      <c r="AV103" s="128"/>
      <c r="AW103" s="128"/>
      <c r="AX103" s="128"/>
      <c r="AY103" s="128">
        <f t="shared" si="20"/>
        <v>0</v>
      </c>
      <c r="AZ103" s="128">
        <f t="shared" si="21"/>
        <v>0</v>
      </c>
      <c r="BC103" s="128">
        <f t="shared" si="22"/>
        <v>0</v>
      </c>
    </row>
    <row r="104" spans="2:55" x14ac:dyDescent="0.35">
      <c r="H104" t="str">
        <f t="shared" si="23"/>
        <v>9ODCS</v>
      </c>
      <c r="I104" t="s">
        <v>119</v>
      </c>
      <c r="J104" s="129" t="s">
        <v>411</v>
      </c>
      <c r="K104">
        <v>9</v>
      </c>
      <c r="M104" s="161">
        <v>30000</v>
      </c>
      <c r="Y104">
        <v>1</v>
      </c>
      <c r="AM104" s="128">
        <f>$M104*(1+$N104)*Y104*Assumpt!D$41</f>
        <v>30000</v>
      </c>
      <c r="AN104" s="128"/>
      <c r="AO104" s="128"/>
      <c r="AP104" s="128"/>
      <c r="AQ104" s="128"/>
      <c r="AR104" s="128"/>
      <c r="AS104" s="128">
        <f t="shared" si="24"/>
        <v>30000</v>
      </c>
      <c r="AT104" s="128"/>
      <c r="AU104" s="128"/>
      <c r="AV104" s="128"/>
      <c r="AW104" s="128"/>
      <c r="AX104" s="128"/>
      <c r="AY104" s="128">
        <f t="shared" si="20"/>
        <v>0</v>
      </c>
      <c r="AZ104" s="128">
        <f t="shared" si="21"/>
        <v>30000</v>
      </c>
      <c r="BC104" s="128">
        <f t="shared" si="22"/>
        <v>0</v>
      </c>
    </row>
    <row r="105" spans="2:55" x14ac:dyDescent="0.35">
      <c r="H105" t="str">
        <f t="shared" si="23"/>
        <v>9ODCS</v>
      </c>
      <c r="I105" t="s">
        <v>119</v>
      </c>
      <c r="J105" s="129" t="s">
        <v>412</v>
      </c>
      <c r="K105">
        <v>9</v>
      </c>
      <c r="M105" s="161">
        <v>40000</v>
      </c>
      <c r="Y105">
        <v>1</v>
      </c>
      <c r="AM105" s="128">
        <f>$M105*(1+$N105)*Y105*Assumpt!D$41</f>
        <v>40000</v>
      </c>
      <c r="AN105" s="128"/>
      <c r="AO105" s="128"/>
      <c r="AP105" s="128"/>
      <c r="AQ105" s="128"/>
      <c r="AR105" s="128"/>
      <c r="AS105" s="128">
        <f t="shared" si="24"/>
        <v>40000</v>
      </c>
      <c r="AT105" s="128"/>
      <c r="AU105" s="128"/>
      <c r="AV105" s="128"/>
      <c r="AW105" s="128"/>
      <c r="AX105" s="128"/>
      <c r="AY105" s="128">
        <f t="shared" si="20"/>
        <v>0</v>
      </c>
      <c r="AZ105" s="128">
        <f t="shared" si="21"/>
        <v>40000</v>
      </c>
      <c r="BC105" s="128">
        <f t="shared" si="22"/>
        <v>0</v>
      </c>
    </row>
    <row r="106" spans="2:55" x14ac:dyDescent="0.35">
      <c r="H106" t="str">
        <f t="shared" si="23"/>
        <v>9ODCS</v>
      </c>
      <c r="I106" t="s">
        <v>119</v>
      </c>
      <c r="J106" t="s">
        <v>496</v>
      </c>
      <c r="K106">
        <v>9</v>
      </c>
      <c r="M106" s="161">
        <v>100000</v>
      </c>
      <c r="Y106">
        <v>1</v>
      </c>
      <c r="AM106" s="128">
        <f>$M106*(1+$N106)*Y106*Assumpt!D$41</f>
        <v>100000</v>
      </c>
      <c r="AN106" s="128"/>
      <c r="AO106" s="128"/>
      <c r="AP106" s="128"/>
      <c r="AQ106" s="128"/>
      <c r="AR106" s="128"/>
      <c r="AS106" s="128">
        <f t="shared" si="24"/>
        <v>100000</v>
      </c>
      <c r="AT106" s="128"/>
      <c r="AU106" s="128"/>
      <c r="AV106" s="128"/>
      <c r="AW106" s="128"/>
      <c r="AX106" s="128"/>
      <c r="AY106" s="128">
        <f t="shared" si="20"/>
        <v>0</v>
      </c>
      <c r="AZ106" s="128">
        <f t="shared" si="21"/>
        <v>100000</v>
      </c>
      <c r="BC106" s="128">
        <f t="shared" si="22"/>
        <v>0</v>
      </c>
    </row>
    <row r="107" spans="2:55" x14ac:dyDescent="0.35">
      <c r="H107" t="str">
        <f t="shared" si="23"/>
        <v>9Capital</v>
      </c>
      <c r="I107" t="s">
        <v>218</v>
      </c>
      <c r="J107" t="s">
        <v>413</v>
      </c>
      <c r="K107">
        <v>9</v>
      </c>
      <c r="M107" s="161">
        <f>'DESKTOP (CIF)'!G15</f>
        <v>311307</v>
      </c>
      <c r="Y107">
        <v>1</v>
      </c>
      <c r="AM107" s="128">
        <f>$M107*(1+$N107)*Y107*Assumpt!D$41</f>
        <v>311307</v>
      </c>
      <c r="AN107" s="128"/>
      <c r="AO107" s="128"/>
      <c r="AP107" s="128"/>
      <c r="AQ107" s="128"/>
      <c r="AR107" s="128"/>
      <c r="AS107" s="128">
        <f t="shared" si="24"/>
        <v>311307</v>
      </c>
      <c r="AT107" s="128"/>
      <c r="AU107" s="128"/>
      <c r="AV107" s="128"/>
      <c r="AW107" s="128"/>
      <c r="AX107" s="128"/>
      <c r="AY107" s="128">
        <f t="shared" si="20"/>
        <v>0</v>
      </c>
      <c r="AZ107" s="128">
        <f t="shared" si="21"/>
        <v>311307</v>
      </c>
      <c r="BC107" s="128">
        <f t="shared" si="22"/>
        <v>0</v>
      </c>
    </row>
    <row r="108" spans="2:55" x14ac:dyDescent="0.35">
      <c r="H108" t="str">
        <f t="shared" si="23"/>
        <v>9Capital</v>
      </c>
      <c r="I108" t="s">
        <v>218</v>
      </c>
      <c r="J108" t="s">
        <v>414</v>
      </c>
      <c r="K108">
        <v>9</v>
      </c>
      <c r="M108" s="161">
        <f>'DESKTOP (PIF)'!E20</f>
        <v>1634</v>
      </c>
      <c r="Y108">
        <v>2</v>
      </c>
      <c r="AM108" s="128">
        <f>$M108*(1+$N108)*Y108*Assumpt!D$41</f>
        <v>3268</v>
      </c>
      <c r="AN108" s="128"/>
      <c r="AO108" s="128"/>
      <c r="AP108" s="128"/>
      <c r="AQ108" s="128"/>
      <c r="AR108" s="128"/>
      <c r="AS108" s="128">
        <f t="shared" ref="AS108" si="25">SUM(AM108:AR108)</f>
        <v>3268</v>
      </c>
      <c r="AT108" s="128"/>
      <c r="AU108" s="128"/>
      <c r="AV108" s="128"/>
      <c r="AW108" s="128"/>
      <c r="AX108" s="128"/>
      <c r="AY108" s="128">
        <f t="shared" ref="AY108" si="26">SUM(AU108:AX108)</f>
        <v>0</v>
      </c>
      <c r="AZ108" s="128">
        <f t="shared" ref="AZ108" si="27">AL108+AS108+AY108</f>
        <v>3268</v>
      </c>
      <c r="BC108" s="128">
        <f t="shared" ref="BC108" si="28">AV108-AU108</f>
        <v>0</v>
      </c>
    </row>
    <row r="109" spans="2:55" x14ac:dyDescent="0.35">
      <c r="H109" t="str">
        <f t="shared" ref="H109:H114" si="29">CONCATENATE(K109,I109)</f>
        <v>9Capital</v>
      </c>
      <c r="I109" t="s">
        <v>218</v>
      </c>
      <c r="J109" s="220" t="s">
        <v>569</v>
      </c>
      <c r="K109">
        <v>9</v>
      </c>
      <c r="M109" s="288">
        <f>'DESKTOP (PIF)'!E20</f>
        <v>1634</v>
      </c>
      <c r="Y109">
        <v>2</v>
      </c>
      <c r="AM109" s="128">
        <f>$M109*(1+$N109)*Y109*Assumpt!D$41</f>
        <v>3268</v>
      </c>
      <c r="AN109" s="128"/>
      <c r="AO109" s="128"/>
      <c r="AP109" s="128"/>
      <c r="AQ109" s="128"/>
      <c r="AR109" s="128"/>
      <c r="AS109" s="128">
        <f t="shared" si="24"/>
        <v>3268</v>
      </c>
      <c r="AT109" s="128"/>
      <c r="AU109" s="128"/>
      <c r="AV109" s="128"/>
      <c r="AW109" s="128"/>
      <c r="AX109" s="128"/>
      <c r="AY109" s="128">
        <f t="shared" si="20"/>
        <v>0</v>
      </c>
      <c r="AZ109" s="128">
        <f t="shared" si="21"/>
        <v>3268</v>
      </c>
      <c r="BC109" s="128">
        <f t="shared" si="22"/>
        <v>0</v>
      </c>
    </row>
    <row r="110" spans="2:55" x14ac:dyDescent="0.35">
      <c r="M110" s="161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C110" s="128">
        <f t="shared" si="22"/>
        <v>0</v>
      </c>
    </row>
    <row r="111" spans="2:55" x14ac:dyDescent="0.35">
      <c r="H111" t="str">
        <f t="shared" ref="H111:H112" si="30">CONCATENATE(K111,I111)</f>
        <v>11labor</v>
      </c>
      <c r="I111" t="s">
        <v>506</v>
      </c>
      <c r="J111" s="292" t="s">
        <v>507</v>
      </c>
      <c r="K111">
        <v>11</v>
      </c>
      <c r="M111" s="161">
        <v>-1</v>
      </c>
      <c r="Y111">
        <v>0</v>
      </c>
      <c r="Z111">
        <v>1</v>
      </c>
      <c r="AA111">
        <f>Assumpt!F90*1%</f>
        <v>0</v>
      </c>
      <c r="AB111">
        <f>Assumpt!G90*1%</f>
        <v>0</v>
      </c>
      <c r="AC111">
        <f>Assumpt!H90*1%</f>
        <v>0</v>
      </c>
      <c r="AD111">
        <f>Assumpt!I90*1%</f>
        <v>0</v>
      </c>
      <c r="AE111">
        <f>Assumpt!J90*1%</f>
        <v>0</v>
      </c>
      <c r="AF111">
        <f>Assumpt!K90*1%</f>
        <v>0</v>
      </c>
      <c r="AG111">
        <f>Assumpt!L90*1%</f>
        <v>0</v>
      </c>
      <c r="AH111">
        <f>Assumpt!M90*1%</f>
        <v>0</v>
      </c>
      <c r="AM111" s="128">
        <f>$M111*(1+$N111)*Y111*Assumpt!D$41</f>
        <v>0</v>
      </c>
      <c r="AN111" s="128">
        <f>$M111*(1+$N111)*Z111*Assumpt!E$41</f>
        <v>-1</v>
      </c>
      <c r="AO111" s="128">
        <f>$M111*(1+$N111)*AA111*Assumpt!F$41</f>
        <v>0</v>
      </c>
      <c r="AP111" s="128">
        <f>$M111*(1+$N111)*AB111*Assumpt!G$41</f>
        <v>0</v>
      </c>
      <c r="AQ111" s="128">
        <f>$M111*(1+$N111)*AC111*Assumpt!H$41</f>
        <v>0</v>
      </c>
      <c r="AR111" s="128">
        <f>$M111*(1+$N111)*AD111*Assumpt!I$41</f>
        <v>0</v>
      </c>
      <c r="AS111" s="128">
        <f t="shared" ref="AS111:AS112" si="31">SUM(AM111:AR111)</f>
        <v>-1</v>
      </c>
      <c r="AT111" s="128"/>
      <c r="AU111" s="128">
        <f>$M111*(1+$N111)*AE111*Assumpt!I$41</f>
        <v>0</v>
      </c>
      <c r="AV111" s="128">
        <f>$M111*(1+$N111)*AF111*Assumpt!J$41</f>
        <v>0</v>
      </c>
      <c r="AW111" s="128">
        <f>$M111*(1+$N111)*AG111*Assumpt!K$41</f>
        <v>0</v>
      </c>
      <c r="AX111" s="128">
        <f>$M111*(1+$N111)*AH111*Assumpt!L$41</f>
        <v>0</v>
      </c>
      <c r="AY111" s="128">
        <f>$M111*(1+$N111)*AI111*Assumpt!M$41</f>
        <v>0</v>
      </c>
      <c r="AZ111" s="128">
        <f t="shared" ref="AZ111:AZ112" si="32">AL111+AS111+AY111</f>
        <v>-1</v>
      </c>
      <c r="BC111" s="128">
        <f t="shared" si="22"/>
        <v>0</v>
      </c>
    </row>
    <row r="112" spans="2:55" x14ac:dyDescent="0.35">
      <c r="H112" t="str">
        <f t="shared" si="30"/>
        <v>1Labor</v>
      </c>
      <c r="I112" t="s">
        <v>89</v>
      </c>
      <c r="J112" s="292" t="s">
        <v>508</v>
      </c>
      <c r="K112">
        <v>1</v>
      </c>
      <c r="M112" s="161">
        <v>1</v>
      </c>
      <c r="Y112">
        <v>0</v>
      </c>
      <c r="Z112">
        <v>1</v>
      </c>
      <c r="AA112">
        <f>Assumpt!F90</f>
        <v>0</v>
      </c>
      <c r="AB112">
        <f>Assumpt!G90</f>
        <v>0</v>
      </c>
      <c r="AC112">
        <f>Assumpt!H90</f>
        <v>0</v>
      </c>
      <c r="AD112">
        <f>Assumpt!I90</f>
        <v>0</v>
      </c>
      <c r="AE112">
        <f>Assumpt!J90</f>
        <v>0</v>
      </c>
      <c r="AF112">
        <f>Assumpt!K90</f>
        <v>0</v>
      </c>
      <c r="AG112">
        <f>Assumpt!L90</f>
        <v>0</v>
      </c>
      <c r="AH112">
        <f>Assumpt!M90</f>
        <v>0</v>
      </c>
      <c r="AM112" s="128">
        <f>$M112*(1+$N112)*Y112*Assumpt!D$41</f>
        <v>0</v>
      </c>
      <c r="AN112" s="128">
        <f>$M112*(1+$N112)*Z112*Assumpt!E$41</f>
        <v>1</v>
      </c>
      <c r="AO112" s="128">
        <f>$M112*(1+$N112)*AA112*Assumpt!F$41</f>
        <v>0</v>
      </c>
      <c r="AP112" s="128">
        <f>$M112*(1+$N112)*AB112*Assumpt!G$41</f>
        <v>0</v>
      </c>
      <c r="AQ112" s="128">
        <f>$M112*(1+$N112)*AC112*Assumpt!H$41</f>
        <v>0</v>
      </c>
      <c r="AR112" s="128">
        <f>$M112*(1+$N112)*AD112*Assumpt!I$41</f>
        <v>0</v>
      </c>
      <c r="AS112" s="128">
        <f t="shared" si="31"/>
        <v>1</v>
      </c>
      <c r="AT112" s="128"/>
      <c r="AU112" s="128">
        <f>$M112*(1+$N112)*AE112*Assumpt!I$41</f>
        <v>0</v>
      </c>
      <c r="AV112" s="128">
        <f>$M112*(1+$N112)*AF112*Assumpt!J$41</f>
        <v>0</v>
      </c>
      <c r="AW112" s="128">
        <f>$M112*(1+$N112)*AG112*Assumpt!K$41</f>
        <v>0</v>
      </c>
      <c r="AX112" s="128">
        <f>$M112*(1+$N112)*AH112*Assumpt!L$41</f>
        <v>0</v>
      </c>
      <c r="AY112" s="128">
        <f>$M112*(1+$N112)*AI112*Assumpt!M$41</f>
        <v>0</v>
      </c>
      <c r="AZ112" s="128">
        <f t="shared" si="32"/>
        <v>1</v>
      </c>
      <c r="BC112" s="128">
        <f t="shared" si="22"/>
        <v>0</v>
      </c>
    </row>
    <row r="113" spans="1:55" x14ac:dyDescent="0.35">
      <c r="M113" s="161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>
        <f t="shared" si="20"/>
        <v>0</v>
      </c>
      <c r="AZ113" s="128">
        <f t="shared" si="21"/>
        <v>0</v>
      </c>
      <c r="BC113" s="128">
        <f t="shared" si="22"/>
        <v>0</v>
      </c>
    </row>
    <row r="114" spans="1:55" x14ac:dyDescent="0.35">
      <c r="H114" t="str">
        <f t="shared" si="29"/>
        <v>11Capital</v>
      </c>
      <c r="I114" t="s">
        <v>218</v>
      </c>
      <c r="J114" t="s">
        <v>416</v>
      </c>
      <c r="K114">
        <v>11</v>
      </c>
      <c r="M114" s="161">
        <v>37500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M114" s="128">
        <f>$M114*(1+$N114)*Y114*Assumpt!D$41</f>
        <v>0</v>
      </c>
      <c r="AN114" s="128">
        <f>$M114*(1+$N114)*Z114*Assumpt!E$41</f>
        <v>37500</v>
      </c>
      <c r="AO114" s="128">
        <f>$M114*(1+$N114)*AA114*Assumpt!F$41</f>
        <v>37500</v>
      </c>
      <c r="AP114" s="128">
        <f>$M114*(1+$N114)*AB114*Assumpt!G$41</f>
        <v>37500</v>
      </c>
      <c r="AQ114" s="128">
        <f>$M114*(1+$N114)*AC114*Assumpt!H$41</f>
        <v>37500</v>
      </c>
      <c r="AR114" s="128">
        <f>$M114*(1+$N114)*AD114*Assumpt!I$41</f>
        <v>37500</v>
      </c>
      <c r="AS114" s="128">
        <f t="shared" ref="AS114" si="33">SUM(AM114:AR114)</f>
        <v>187500</v>
      </c>
      <c r="AT114" s="128"/>
      <c r="AU114" s="128">
        <f>$M114*(1+$N114)*AE114*Assumpt!I$41</f>
        <v>37500</v>
      </c>
      <c r="AV114" s="128">
        <f>$M114*(1+$N114)*AF114*Assumpt!J$41</f>
        <v>37500</v>
      </c>
      <c r="AW114" s="128">
        <f>$M114*(1+$N114)*AG114*Assumpt!K$41</f>
        <v>37500</v>
      </c>
      <c r="AX114" s="128">
        <f>$M114*(1+$N114)*AH114*Assumpt!L$41</f>
        <v>37500</v>
      </c>
      <c r="AY114" s="128">
        <f t="shared" si="20"/>
        <v>150000</v>
      </c>
      <c r="AZ114" s="128">
        <f t="shared" si="21"/>
        <v>337500</v>
      </c>
      <c r="BC114" s="128">
        <f t="shared" si="22"/>
        <v>0</v>
      </c>
    </row>
    <row r="115" spans="1:55" x14ac:dyDescent="0.35">
      <c r="H115" t="str">
        <f t="shared" ref="H115" si="34">CONCATENATE(K115,I115)</f>
        <v>9Capital</v>
      </c>
      <c r="I115" t="s">
        <v>218</v>
      </c>
      <c r="J115" s="315" t="s">
        <v>568</v>
      </c>
      <c r="K115">
        <v>9</v>
      </c>
      <c r="M115" s="161">
        <f>'Tablet (PIF - BUS TEAM)'!D18</f>
        <v>1924</v>
      </c>
      <c r="Y115">
        <v>80</v>
      </c>
      <c r="AM115" s="128">
        <f>$M115*(1+$N115)*Y115*Assumpt!D$41</f>
        <v>153920</v>
      </c>
      <c r="AN115" s="128">
        <f>$M115*(1+$N115)*Z115*Assumpt!E$41</f>
        <v>0</v>
      </c>
      <c r="AO115" s="128">
        <f>$M115*(1+$N115)*AA115*Assumpt!F$41</f>
        <v>0</v>
      </c>
      <c r="AP115" s="128">
        <f>$M115*(1+$N115)*AB115*Assumpt!G$41</f>
        <v>0</v>
      </c>
      <c r="AQ115" s="128">
        <f>$M115*(1+$N115)*AC115*Assumpt!H$41</f>
        <v>0</v>
      </c>
      <c r="AR115" s="128">
        <f>$M115*(1+$N115)*AD115*Assumpt!I$41</f>
        <v>0</v>
      </c>
      <c r="AS115" s="128">
        <f t="shared" ref="AS115" si="35">SUM(AM115:AR115)</f>
        <v>153920</v>
      </c>
      <c r="AT115" s="128"/>
      <c r="AU115" s="128"/>
      <c r="AV115" s="128"/>
      <c r="AW115" s="128"/>
      <c r="AX115" s="128"/>
      <c r="AY115" s="128">
        <f t="shared" si="20"/>
        <v>0</v>
      </c>
      <c r="AZ115" s="128">
        <f t="shared" si="21"/>
        <v>153920</v>
      </c>
      <c r="BC115" s="128">
        <f t="shared" si="22"/>
        <v>0</v>
      </c>
    </row>
    <row r="116" spans="1:55" x14ac:dyDescent="0.35">
      <c r="H116" t="str">
        <f t="shared" si="23"/>
        <v/>
      </c>
      <c r="AM116" s="128"/>
      <c r="AN116" s="128"/>
      <c r="AO116" s="128"/>
      <c r="AP116" s="128"/>
      <c r="AQ116" s="128"/>
      <c r="AR116" s="128"/>
      <c r="AS116" s="128">
        <f t="shared" si="24"/>
        <v>0</v>
      </c>
      <c r="AT116" s="128"/>
      <c r="AU116" s="128"/>
      <c r="AV116" s="128"/>
      <c r="AW116" s="128"/>
      <c r="AX116" s="128"/>
      <c r="AY116" s="128">
        <f t="shared" si="20"/>
        <v>0</v>
      </c>
      <c r="AZ116" s="128">
        <f t="shared" si="21"/>
        <v>0</v>
      </c>
      <c r="BC116" s="128">
        <f t="shared" si="22"/>
        <v>0</v>
      </c>
    </row>
    <row r="117" spans="1:55" x14ac:dyDescent="0.35">
      <c r="H117" t="str">
        <f t="shared" si="23"/>
        <v>11</v>
      </c>
      <c r="K117">
        <v>11</v>
      </c>
      <c r="AM117" s="128"/>
      <c r="AN117" s="128"/>
      <c r="AO117" s="128"/>
      <c r="AP117" s="128"/>
      <c r="AQ117" s="128"/>
      <c r="AR117" s="128"/>
      <c r="AS117" s="128">
        <f t="shared" si="24"/>
        <v>0</v>
      </c>
      <c r="AT117" s="128"/>
      <c r="AU117" s="128"/>
      <c r="AV117" s="128"/>
      <c r="AW117" s="128"/>
      <c r="AX117" s="128"/>
      <c r="AY117" s="128">
        <f t="shared" si="20"/>
        <v>0</v>
      </c>
      <c r="AZ117" s="128">
        <f t="shared" si="21"/>
        <v>0</v>
      </c>
      <c r="BC117" s="128">
        <f t="shared" si="22"/>
        <v>0</v>
      </c>
    </row>
    <row r="118" spans="1:55" x14ac:dyDescent="0.35">
      <c r="H118" t="str">
        <f t="shared" si="23"/>
        <v>11</v>
      </c>
      <c r="K118">
        <v>11</v>
      </c>
      <c r="AM118" s="128"/>
      <c r="AN118" s="128"/>
      <c r="AO118" s="128"/>
      <c r="AP118" s="128"/>
      <c r="AQ118" s="128"/>
      <c r="AR118" s="128"/>
      <c r="AS118" s="128">
        <f t="shared" si="24"/>
        <v>0</v>
      </c>
      <c r="AT118" s="128"/>
      <c r="AU118" s="128"/>
      <c r="AV118" s="128"/>
      <c r="AW118" s="128"/>
      <c r="AX118" s="128"/>
      <c r="AY118" s="128">
        <f t="shared" si="20"/>
        <v>0</v>
      </c>
      <c r="AZ118" s="128">
        <f t="shared" si="21"/>
        <v>0</v>
      </c>
      <c r="BC118" s="128">
        <f t="shared" si="22"/>
        <v>0</v>
      </c>
    </row>
    <row r="119" spans="1:55" x14ac:dyDescent="0.35">
      <c r="H119" t="str">
        <f t="shared" si="23"/>
        <v>11</v>
      </c>
      <c r="K119">
        <v>11</v>
      </c>
      <c r="AM119" s="128"/>
      <c r="AN119" s="128"/>
      <c r="AO119" s="128"/>
      <c r="AP119" s="128"/>
      <c r="AQ119" s="128"/>
      <c r="AR119" s="128"/>
      <c r="AS119" s="128">
        <f t="shared" si="24"/>
        <v>0</v>
      </c>
      <c r="AT119" s="128"/>
      <c r="AU119" s="128"/>
      <c r="AV119" s="128"/>
      <c r="AW119" s="128"/>
      <c r="AX119" s="128"/>
      <c r="AY119" s="128">
        <f t="shared" si="20"/>
        <v>0</v>
      </c>
      <c r="AZ119" s="128">
        <f t="shared" si="21"/>
        <v>0</v>
      </c>
      <c r="BC119" s="128">
        <f t="shared" si="22"/>
        <v>0</v>
      </c>
    </row>
    <row r="120" spans="1:55" x14ac:dyDescent="0.35">
      <c r="H120" t="str">
        <f t="shared" si="23"/>
        <v>11</v>
      </c>
      <c r="K120">
        <v>11</v>
      </c>
      <c r="AM120" s="128"/>
      <c r="AN120" s="128"/>
      <c r="AO120" s="128"/>
      <c r="AP120" s="128"/>
      <c r="AQ120" s="128"/>
      <c r="AR120" s="128"/>
      <c r="AS120" s="128">
        <f t="shared" si="24"/>
        <v>0</v>
      </c>
      <c r="AT120" s="128"/>
      <c r="AU120" s="128"/>
      <c r="AV120" s="128"/>
      <c r="AW120" s="128"/>
      <c r="AX120" s="128"/>
      <c r="AY120" s="128">
        <f t="shared" si="20"/>
        <v>0</v>
      </c>
      <c r="AZ120" s="128">
        <f t="shared" si="21"/>
        <v>0</v>
      </c>
      <c r="BC120" s="128">
        <f t="shared" si="22"/>
        <v>0</v>
      </c>
    </row>
    <row r="121" spans="1:55" x14ac:dyDescent="0.35">
      <c r="H121" t="str">
        <f t="shared" si="23"/>
        <v>11</v>
      </c>
      <c r="K121">
        <v>11</v>
      </c>
      <c r="AS121" s="128">
        <f t="shared" si="24"/>
        <v>0</v>
      </c>
      <c r="AT121" s="128"/>
      <c r="AY121" s="128">
        <f t="shared" si="20"/>
        <v>0</v>
      </c>
      <c r="AZ121" s="128">
        <f t="shared" si="21"/>
        <v>0</v>
      </c>
      <c r="BC121" s="128">
        <f t="shared" si="22"/>
        <v>0</v>
      </c>
    </row>
    <row r="122" spans="1:55" s="129" customFormat="1" x14ac:dyDescent="0.35">
      <c r="AL122" s="158">
        <f t="shared" ref="AL122:AS122" si="36">SUM(AL11:AL121)</f>
        <v>0</v>
      </c>
      <c r="AM122" s="158">
        <f t="shared" si="36"/>
        <v>25165256.472764861</v>
      </c>
      <c r="AN122" s="158">
        <f t="shared" si="36"/>
        <v>28036995.329682812</v>
      </c>
      <c r="AO122" s="158">
        <f t="shared" si="36"/>
        <v>27830703.489263903</v>
      </c>
      <c r="AP122" s="158">
        <f t="shared" si="36"/>
        <v>28160631.037760425</v>
      </c>
      <c r="AQ122" s="158">
        <f t="shared" si="36"/>
        <v>28533868.295781124</v>
      </c>
      <c r="AR122" s="158">
        <f t="shared" si="36"/>
        <v>28685894.662332501</v>
      </c>
      <c r="AS122" s="158">
        <f t="shared" si="36"/>
        <v>166413349.28758565</v>
      </c>
      <c r="AT122" s="158"/>
      <c r="AU122" s="158">
        <f t="shared" ref="AU122:AZ122" si="37">SUM(AU11:AU121)</f>
        <v>29335018.495049387</v>
      </c>
      <c r="AV122" s="158">
        <f t="shared" si="37"/>
        <v>29055900.59156844</v>
      </c>
      <c r="AW122" s="158">
        <f t="shared" si="37"/>
        <v>29212533.509052686</v>
      </c>
      <c r="AX122" s="158">
        <f t="shared" si="37"/>
        <v>29730839.299471278</v>
      </c>
      <c r="AY122" s="158">
        <f t="shared" si="37"/>
        <v>117334291.8951418</v>
      </c>
      <c r="AZ122" s="158">
        <f t="shared" si="37"/>
        <v>283747641.18272752</v>
      </c>
      <c r="BC122" s="158">
        <f t="shared" ref="BC122" si="38">SUM(BC11:BC121)</f>
        <v>-279117.90348094422</v>
      </c>
    </row>
    <row r="123" spans="1:55" x14ac:dyDescent="0.35">
      <c r="AO123" s="128"/>
      <c r="AP123" s="128"/>
      <c r="AQ123" s="128"/>
      <c r="AR123" s="128"/>
      <c r="AU123" s="128">
        <f>AU122-AR122</f>
        <v>649123.83271688595</v>
      </c>
      <c r="AV123" s="128">
        <f>AV122-AU122</f>
        <v>-279117.90348094702</v>
      </c>
      <c r="AW123" s="128">
        <f t="shared" ref="AW123:AX123" si="39">AW122-AV122</f>
        <v>156632.91748424619</v>
      </c>
      <c r="AX123" s="128">
        <f t="shared" si="39"/>
        <v>518305.79041859135</v>
      </c>
      <c r="AY123" s="128"/>
    </row>
    <row r="124" spans="1:55" x14ac:dyDescent="0.35">
      <c r="AV124" s="221">
        <f>AV123/AV122</f>
        <v>-9.6062382441500574E-3</v>
      </c>
      <c r="AW124" s="221">
        <f t="shared" ref="AW124:AX124" si="40">AW123/AW122</f>
        <v>5.361839548620702E-3</v>
      </c>
      <c r="AX124" s="221">
        <f t="shared" si="40"/>
        <v>1.7433271398692357E-2</v>
      </c>
    </row>
    <row r="127" spans="1:55" x14ac:dyDescent="0.35">
      <c r="A127" t="s">
        <v>216</v>
      </c>
      <c r="K127">
        <v>1</v>
      </c>
      <c r="AL127" s="128">
        <f t="shared" ref="AL127:AR137" si="41">SUMIF($K$11:$K$121,$K127,AL$11:AL$121)</f>
        <v>0</v>
      </c>
      <c r="AM127" s="128">
        <f t="shared" si="41"/>
        <v>73125.000000000015</v>
      </c>
      <c r="AN127" s="128">
        <f t="shared" si="41"/>
        <v>1</v>
      </c>
      <c r="AO127" s="128">
        <f t="shared" si="41"/>
        <v>0</v>
      </c>
      <c r="AP127" s="128">
        <f t="shared" si="41"/>
        <v>0</v>
      </c>
      <c r="AQ127" s="128">
        <f t="shared" si="41"/>
        <v>0</v>
      </c>
      <c r="AR127" s="128">
        <f t="shared" si="41"/>
        <v>0</v>
      </c>
      <c r="AS127" s="128">
        <f t="shared" ref="AS127:AS137" si="42">SUM(AM127:AR127)</f>
        <v>73126.000000000015</v>
      </c>
      <c r="AT127" s="128"/>
      <c r="AU127" s="128">
        <f t="shared" ref="AU127:AX135" si="43">SUMIF($K$11:$K$121,$K127,AU$11:AU$121)</f>
        <v>0</v>
      </c>
      <c r="AV127" s="128">
        <f t="shared" si="43"/>
        <v>0</v>
      </c>
      <c r="AW127" s="128">
        <f t="shared" si="43"/>
        <v>0</v>
      </c>
      <c r="AX127" s="128">
        <f t="shared" si="43"/>
        <v>0</v>
      </c>
      <c r="AY127" s="128">
        <f t="shared" ref="AY127:AY137" si="44">SUM(AU127:AX127)</f>
        <v>0</v>
      </c>
      <c r="AZ127" s="128">
        <f t="shared" ref="AZ127:AZ137" si="45">AL127+AS127+AY127</f>
        <v>73126.000000000015</v>
      </c>
    </row>
    <row r="128" spans="1:55" x14ac:dyDescent="0.35">
      <c r="K128">
        <v>2</v>
      </c>
      <c r="AL128" s="128">
        <f t="shared" si="41"/>
        <v>0</v>
      </c>
      <c r="AM128" s="128">
        <f t="shared" si="41"/>
        <v>291418.26923076925</v>
      </c>
      <c r="AN128" s="128">
        <f t="shared" si="41"/>
        <v>0</v>
      </c>
      <c r="AO128" s="128">
        <f t="shared" si="41"/>
        <v>0</v>
      </c>
      <c r="AP128" s="128">
        <f t="shared" si="41"/>
        <v>0</v>
      </c>
      <c r="AQ128" s="128">
        <f t="shared" si="41"/>
        <v>0</v>
      </c>
      <c r="AR128" s="128">
        <f t="shared" si="41"/>
        <v>0</v>
      </c>
      <c r="AS128" s="128">
        <f t="shared" si="42"/>
        <v>291418.26923076925</v>
      </c>
      <c r="AT128" s="128"/>
      <c r="AU128" s="128">
        <f t="shared" si="43"/>
        <v>0</v>
      </c>
      <c r="AV128" s="128">
        <f t="shared" si="43"/>
        <v>0</v>
      </c>
      <c r="AW128" s="128">
        <f t="shared" si="43"/>
        <v>0</v>
      </c>
      <c r="AX128" s="128">
        <f t="shared" si="43"/>
        <v>0</v>
      </c>
      <c r="AY128" s="128">
        <f t="shared" si="44"/>
        <v>0</v>
      </c>
      <c r="AZ128" s="128">
        <f t="shared" si="45"/>
        <v>291418.26923076925</v>
      </c>
    </row>
    <row r="129" spans="1:53" x14ac:dyDescent="0.35">
      <c r="K129">
        <v>3</v>
      </c>
      <c r="AL129" s="128">
        <f t="shared" si="41"/>
        <v>0</v>
      </c>
      <c r="AM129" s="128">
        <f t="shared" si="41"/>
        <v>2042500</v>
      </c>
      <c r="AN129" s="128">
        <f t="shared" si="41"/>
        <v>0</v>
      </c>
      <c r="AO129" s="128">
        <f t="shared" si="41"/>
        <v>0</v>
      </c>
      <c r="AP129" s="128">
        <f t="shared" si="41"/>
        <v>0</v>
      </c>
      <c r="AQ129" s="128">
        <f t="shared" si="41"/>
        <v>0</v>
      </c>
      <c r="AR129" s="128">
        <f t="shared" si="41"/>
        <v>0</v>
      </c>
      <c r="AS129" s="128">
        <f t="shared" si="42"/>
        <v>2042500</v>
      </c>
      <c r="AT129" s="128"/>
      <c r="AU129" s="128">
        <f t="shared" si="43"/>
        <v>0</v>
      </c>
      <c r="AV129" s="128">
        <f t="shared" si="43"/>
        <v>0</v>
      </c>
      <c r="AW129" s="128">
        <f t="shared" si="43"/>
        <v>0</v>
      </c>
      <c r="AX129" s="128">
        <f t="shared" si="43"/>
        <v>0</v>
      </c>
      <c r="AY129" s="128">
        <f t="shared" si="44"/>
        <v>0</v>
      </c>
      <c r="AZ129" s="128">
        <f t="shared" si="45"/>
        <v>2042500</v>
      </c>
    </row>
    <row r="130" spans="1:53" x14ac:dyDescent="0.35">
      <c r="K130">
        <v>4</v>
      </c>
      <c r="AL130" s="128">
        <f t="shared" si="41"/>
        <v>0</v>
      </c>
      <c r="AM130" s="128">
        <f t="shared" si="41"/>
        <v>0</v>
      </c>
      <c r="AN130" s="128">
        <f t="shared" si="41"/>
        <v>0</v>
      </c>
      <c r="AO130" s="128">
        <f t="shared" si="41"/>
        <v>0</v>
      </c>
      <c r="AP130" s="128">
        <f t="shared" si="41"/>
        <v>0</v>
      </c>
      <c r="AQ130" s="128">
        <f t="shared" si="41"/>
        <v>0</v>
      </c>
      <c r="AR130" s="128">
        <f t="shared" si="41"/>
        <v>0</v>
      </c>
      <c r="AS130" s="128">
        <f t="shared" si="42"/>
        <v>0</v>
      </c>
      <c r="AT130" s="128"/>
      <c r="AU130" s="128">
        <f t="shared" si="43"/>
        <v>0</v>
      </c>
      <c r="AV130" s="128">
        <f t="shared" si="43"/>
        <v>0</v>
      </c>
      <c r="AW130" s="128">
        <f t="shared" si="43"/>
        <v>0</v>
      </c>
      <c r="AX130" s="128">
        <f t="shared" si="43"/>
        <v>0</v>
      </c>
      <c r="AY130" s="128">
        <f t="shared" si="44"/>
        <v>0</v>
      </c>
      <c r="AZ130" s="128">
        <f t="shared" si="45"/>
        <v>0</v>
      </c>
    </row>
    <row r="131" spans="1:53" x14ac:dyDescent="0.35">
      <c r="K131">
        <v>5</v>
      </c>
      <c r="AL131" s="128">
        <f t="shared" si="41"/>
        <v>0</v>
      </c>
      <c r="AM131" s="128">
        <f t="shared" si="41"/>
        <v>0</v>
      </c>
      <c r="AN131" s="128">
        <f t="shared" si="41"/>
        <v>0</v>
      </c>
      <c r="AO131" s="128">
        <f t="shared" si="41"/>
        <v>0</v>
      </c>
      <c r="AP131" s="128">
        <f t="shared" si="41"/>
        <v>0</v>
      </c>
      <c r="AQ131" s="128">
        <f t="shared" si="41"/>
        <v>0</v>
      </c>
      <c r="AR131" s="128">
        <f t="shared" si="41"/>
        <v>0</v>
      </c>
      <c r="AS131" s="128">
        <f t="shared" si="42"/>
        <v>0</v>
      </c>
      <c r="AT131" s="128"/>
      <c r="AU131" s="128">
        <f t="shared" si="43"/>
        <v>0</v>
      </c>
      <c r="AV131" s="128">
        <f t="shared" si="43"/>
        <v>0</v>
      </c>
      <c r="AW131" s="128">
        <f t="shared" si="43"/>
        <v>0</v>
      </c>
      <c r="AX131" s="128">
        <f t="shared" si="43"/>
        <v>0</v>
      </c>
      <c r="AY131" s="128">
        <f t="shared" si="44"/>
        <v>0</v>
      </c>
      <c r="AZ131" s="128">
        <f t="shared" si="45"/>
        <v>0</v>
      </c>
    </row>
    <row r="132" spans="1:53" x14ac:dyDescent="0.35">
      <c r="K132">
        <v>6</v>
      </c>
      <c r="AL132" s="128">
        <f t="shared" si="41"/>
        <v>0</v>
      </c>
      <c r="AM132" s="128">
        <f t="shared" si="41"/>
        <v>0</v>
      </c>
      <c r="AN132" s="128">
        <f t="shared" si="41"/>
        <v>134625</v>
      </c>
      <c r="AO132" s="128">
        <f t="shared" si="41"/>
        <v>134625</v>
      </c>
      <c r="AP132" s="128">
        <f t="shared" si="41"/>
        <v>134625</v>
      </c>
      <c r="AQ132" s="128">
        <f t="shared" si="41"/>
        <v>134625</v>
      </c>
      <c r="AR132" s="128">
        <f t="shared" si="41"/>
        <v>134625</v>
      </c>
      <c r="AS132" s="128">
        <f t="shared" si="42"/>
        <v>673125</v>
      </c>
      <c r="AT132" s="128"/>
      <c r="AU132" s="128">
        <f t="shared" si="43"/>
        <v>164625</v>
      </c>
      <c r="AV132" s="128">
        <f t="shared" si="43"/>
        <v>164625</v>
      </c>
      <c r="AW132" s="128">
        <f t="shared" si="43"/>
        <v>164625</v>
      </c>
      <c r="AX132" s="128">
        <f t="shared" si="43"/>
        <v>164625</v>
      </c>
      <c r="AY132" s="128">
        <f t="shared" si="44"/>
        <v>658500</v>
      </c>
      <c r="AZ132" s="128">
        <f t="shared" si="45"/>
        <v>1331625</v>
      </c>
    </row>
    <row r="133" spans="1:53" x14ac:dyDescent="0.35">
      <c r="K133">
        <v>7</v>
      </c>
      <c r="AL133" s="128">
        <f t="shared" si="41"/>
        <v>0</v>
      </c>
      <c r="AM133" s="128">
        <f t="shared" si="41"/>
        <v>0</v>
      </c>
      <c r="AN133" s="128">
        <f t="shared" si="41"/>
        <v>0</v>
      </c>
      <c r="AO133" s="128">
        <f t="shared" si="41"/>
        <v>0</v>
      </c>
      <c r="AP133" s="128">
        <f t="shared" si="41"/>
        <v>0</v>
      </c>
      <c r="AQ133" s="128">
        <f t="shared" si="41"/>
        <v>0</v>
      </c>
      <c r="AR133" s="128">
        <f t="shared" si="41"/>
        <v>0</v>
      </c>
      <c r="AS133" s="128">
        <f t="shared" si="42"/>
        <v>0</v>
      </c>
      <c r="AT133" s="128"/>
      <c r="AU133" s="128">
        <f t="shared" si="43"/>
        <v>0</v>
      </c>
      <c r="AV133" s="128">
        <f t="shared" si="43"/>
        <v>0</v>
      </c>
      <c r="AW133" s="128">
        <f t="shared" si="43"/>
        <v>0</v>
      </c>
      <c r="AX133" s="128">
        <f t="shared" si="43"/>
        <v>0</v>
      </c>
      <c r="AY133" s="128">
        <f t="shared" si="44"/>
        <v>0</v>
      </c>
      <c r="AZ133" s="128">
        <f t="shared" si="45"/>
        <v>0</v>
      </c>
    </row>
    <row r="134" spans="1:53" x14ac:dyDescent="0.35">
      <c r="K134">
        <v>8</v>
      </c>
      <c r="AL134" s="128">
        <f t="shared" si="41"/>
        <v>0</v>
      </c>
      <c r="AM134" s="128">
        <f t="shared" si="41"/>
        <v>0</v>
      </c>
      <c r="AN134" s="128">
        <f t="shared" si="41"/>
        <v>0</v>
      </c>
      <c r="AO134" s="128">
        <f t="shared" si="41"/>
        <v>0</v>
      </c>
      <c r="AP134" s="128">
        <f t="shared" si="41"/>
        <v>0</v>
      </c>
      <c r="AQ134" s="128">
        <f t="shared" si="41"/>
        <v>0</v>
      </c>
      <c r="AR134" s="128">
        <f t="shared" si="41"/>
        <v>0</v>
      </c>
      <c r="AS134" s="128">
        <f t="shared" si="42"/>
        <v>0</v>
      </c>
      <c r="AT134" s="128"/>
      <c r="AU134" s="128">
        <f t="shared" si="43"/>
        <v>0</v>
      </c>
      <c r="AV134" s="128">
        <f t="shared" si="43"/>
        <v>0</v>
      </c>
      <c r="AW134" s="128">
        <f t="shared" si="43"/>
        <v>0</v>
      </c>
      <c r="AX134" s="128">
        <f t="shared" si="43"/>
        <v>0</v>
      </c>
      <c r="AY134" s="128">
        <f t="shared" si="44"/>
        <v>0</v>
      </c>
      <c r="AZ134" s="128">
        <f t="shared" si="45"/>
        <v>0</v>
      </c>
    </row>
    <row r="135" spans="1:53" x14ac:dyDescent="0.35">
      <c r="K135">
        <v>9</v>
      </c>
      <c r="AL135" s="128">
        <f t="shared" si="41"/>
        <v>0</v>
      </c>
      <c r="AM135" s="128">
        <f t="shared" si="41"/>
        <v>1300486.95</v>
      </c>
      <c r="AN135" s="128">
        <f t="shared" si="41"/>
        <v>0</v>
      </c>
      <c r="AO135" s="128">
        <f t="shared" si="41"/>
        <v>0</v>
      </c>
      <c r="AP135" s="128">
        <f t="shared" si="41"/>
        <v>0</v>
      </c>
      <c r="AQ135" s="128">
        <f t="shared" si="41"/>
        <v>0</v>
      </c>
      <c r="AR135" s="128">
        <f t="shared" si="41"/>
        <v>0</v>
      </c>
      <c r="AS135" s="128">
        <f t="shared" si="42"/>
        <v>1300486.95</v>
      </c>
      <c r="AT135" s="128"/>
      <c r="AU135" s="128">
        <f t="shared" si="43"/>
        <v>0</v>
      </c>
      <c r="AV135" s="128">
        <f t="shared" si="43"/>
        <v>0</v>
      </c>
      <c r="AW135" s="128">
        <f t="shared" si="43"/>
        <v>0</v>
      </c>
      <c r="AX135" s="128">
        <f t="shared" si="43"/>
        <v>0</v>
      </c>
      <c r="AY135" s="128">
        <f t="shared" si="44"/>
        <v>0</v>
      </c>
      <c r="AZ135" s="128">
        <f t="shared" si="45"/>
        <v>1300486.95</v>
      </c>
    </row>
    <row r="136" spans="1:53" x14ac:dyDescent="0.35">
      <c r="K136">
        <v>10</v>
      </c>
      <c r="AL136" s="128">
        <f t="shared" si="41"/>
        <v>0</v>
      </c>
      <c r="AM136" s="128">
        <f t="shared" si="41"/>
        <v>0</v>
      </c>
      <c r="AN136" s="128">
        <f t="shared" si="41"/>
        <v>0</v>
      </c>
      <c r="AO136" s="128">
        <f t="shared" si="41"/>
        <v>0</v>
      </c>
      <c r="AP136" s="128">
        <f t="shared" si="41"/>
        <v>0</v>
      </c>
      <c r="AQ136" s="128">
        <f t="shared" si="41"/>
        <v>0</v>
      </c>
      <c r="AR136" s="128">
        <f t="shared" si="41"/>
        <v>0</v>
      </c>
      <c r="AS136" s="128">
        <f t="shared" si="42"/>
        <v>0</v>
      </c>
      <c r="AT136" s="128"/>
      <c r="AU136" s="128"/>
      <c r="AV136" s="128"/>
      <c r="AW136" s="128"/>
      <c r="AX136" s="128"/>
      <c r="AY136" s="128">
        <f t="shared" si="44"/>
        <v>0</v>
      </c>
      <c r="AZ136" s="128">
        <f t="shared" si="45"/>
        <v>0</v>
      </c>
    </row>
    <row r="137" spans="1:53" x14ac:dyDescent="0.35">
      <c r="K137">
        <v>11</v>
      </c>
      <c r="AL137" s="128">
        <f t="shared" si="41"/>
        <v>0</v>
      </c>
      <c r="AM137" s="128">
        <f t="shared" si="41"/>
        <v>21457726.253534093</v>
      </c>
      <c r="AN137" s="128">
        <f t="shared" si="41"/>
        <v>27902369.329682812</v>
      </c>
      <c r="AO137" s="128">
        <f t="shared" si="41"/>
        <v>27696078.489263903</v>
      </c>
      <c r="AP137" s="128">
        <f t="shared" si="41"/>
        <v>28026006.037760425</v>
      </c>
      <c r="AQ137" s="128">
        <f t="shared" si="41"/>
        <v>28399243.295781124</v>
      </c>
      <c r="AR137" s="128">
        <f t="shared" si="41"/>
        <v>28551269.662332501</v>
      </c>
      <c r="AS137" s="128">
        <f t="shared" si="42"/>
        <v>162032693.06835485</v>
      </c>
      <c r="AT137" s="128"/>
      <c r="AU137" s="128">
        <f>SUMIF($K$11:$K$121,$K136,AU$11:AU$121)</f>
        <v>0</v>
      </c>
      <c r="AV137" s="128">
        <f>SUMIF($K$11:$K$121,$K136,AV$11:AV$121)</f>
        <v>0</v>
      </c>
      <c r="AW137" s="128">
        <f>SUMIF($K$11:$K$121,$K136,AW$11:AW$121)</f>
        <v>0</v>
      </c>
      <c r="AX137" s="128">
        <f>SUMIF($K$11:$K$121,$K136,AX$11:AX$121)</f>
        <v>0</v>
      </c>
      <c r="AY137" s="128">
        <f t="shared" si="44"/>
        <v>0</v>
      </c>
      <c r="AZ137" s="128">
        <f t="shared" si="45"/>
        <v>162032693.06835485</v>
      </c>
    </row>
    <row r="138" spans="1:53" x14ac:dyDescent="0.35"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</row>
    <row r="139" spans="1:53" x14ac:dyDescent="0.35">
      <c r="AL139" s="157">
        <f t="shared" ref="AL139:AS139" si="46">SUM(AL11:AL118)</f>
        <v>0</v>
      </c>
      <c r="AM139" s="157">
        <f t="shared" si="46"/>
        <v>25165256.472764861</v>
      </c>
      <c r="AN139" s="157">
        <f t="shared" si="46"/>
        <v>28036995.329682812</v>
      </c>
      <c r="AO139" s="157">
        <f t="shared" si="46"/>
        <v>27830703.489263903</v>
      </c>
      <c r="AP139" s="157">
        <f t="shared" si="46"/>
        <v>28160631.037760425</v>
      </c>
      <c r="AQ139" s="157">
        <f t="shared" si="46"/>
        <v>28533868.295781124</v>
      </c>
      <c r="AR139" s="157">
        <f t="shared" si="46"/>
        <v>28685894.662332501</v>
      </c>
      <c r="AS139" s="157">
        <f t="shared" si="46"/>
        <v>166413349.28758565</v>
      </c>
      <c r="AT139" s="157"/>
      <c r="AU139" s="157">
        <f t="shared" ref="AU139:AZ139" si="47">SUM(AU11:AU121)</f>
        <v>29335018.495049387</v>
      </c>
      <c r="AV139" s="157">
        <f t="shared" si="47"/>
        <v>29055900.59156844</v>
      </c>
      <c r="AW139" s="157">
        <f t="shared" si="47"/>
        <v>29212533.509052686</v>
      </c>
      <c r="AX139" s="157">
        <f t="shared" si="47"/>
        <v>29730839.299471278</v>
      </c>
      <c r="AY139" s="157">
        <f t="shared" si="47"/>
        <v>117334291.8951418</v>
      </c>
      <c r="AZ139" s="157">
        <f t="shared" si="47"/>
        <v>283747641.18272752</v>
      </c>
    </row>
    <row r="140" spans="1:53" x14ac:dyDescent="0.35">
      <c r="AK140" t="s">
        <v>217</v>
      </c>
      <c r="AL140" s="131">
        <f>AL139-AL122</f>
        <v>0</v>
      </c>
      <c r="AM140" s="131">
        <f t="shared" ref="AM140:AZ140" si="48">AM139-AM122</f>
        <v>0</v>
      </c>
      <c r="AN140" s="131">
        <f t="shared" si="48"/>
        <v>0</v>
      </c>
      <c r="AO140" s="131">
        <f t="shared" si="48"/>
        <v>0</v>
      </c>
      <c r="AP140" s="131">
        <f t="shared" si="48"/>
        <v>0</v>
      </c>
      <c r="AQ140" s="131">
        <f t="shared" si="48"/>
        <v>0</v>
      </c>
      <c r="AR140" s="131">
        <f t="shared" si="48"/>
        <v>0</v>
      </c>
      <c r="AS140" s="131">
        <f>AS139-AS122</f>
        <v>0</v>
      </c>
      <c r="AT140" s="131"/>
      <c r="AU140" s="131">
        <f t="shared" si="48"/>
        <v>0</v>
      </c>
      <c r="AV140" s="131">
        <f t="shared" si="48"/>
        <v>0</v>
      </c>
      <c r="AW140" s="131">
        <f t="shared" si="48"/>
        <v>0</v>
      </c>
      <c r="AX140" s="131">
        <f t="shared" si="48"/>
        <v>0</v>
      </c>
      <c r="AY140" s="131">
        <f t="shared" si="48"/>
        <v>0</v>
      </c>
      <c r="AZ140" s="131">
        <f t="shared" si="48"/>
        <v>0</v>
      </c>
    </row>
    <row r="141" spans="1:53" x14ac:dyDescent="0.35"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</row>
    <row r="142" spans="1:53" x14ac:dyDescent="0.35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  <c r="AK142" s="162"/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3"/>
      <c r="AX142" s="163"/>
      <c r="AY142" s="163"/>
      <c r="AZ142" s="163"/>
      <c r="BA142" s="162"/>
    </row>
    <row r="143" spans="1:53" x14ac:dyDescent="0.35"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</row>
    <row r="144" spans="1:53" x14ac:dyDescent="0.35"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</row>
    <row r="145" spans="1:1" x14ac:dyDescent="0.35">
      <c r="A145" t="s">
        <v>242</v>
      </c>
    </row>
  </sheetData>
  <mergeCells count="3">
    <mergeCell ref="G1:M5"/>
    <mergeCell ref="O2:P2"/>
    <mergeCell ref="Q5:R5"/>
  </mergeCells>
  <phoneticPr fontId="30" type="noConversion"/>
  <pageMargins left="0.7" right="0.7" top="0.75" bottom="0.75" header="0.3" footer="0.3"/>
  <pageSetup orientation="portrait" r:id="rId1"/>
  <headerFooter>
    <oddHeader>&amp;L&amp;"Franklin Gothic Book"&amp;10&amp;K000000Sensitive&amp;1#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3208-3B83-4928-8AEC-3F7F75898283}">
  <sheetPr>
    <pageSetUpPr fitToPage="1"/>
  </sheetPr>
  <dimension ref="A1:AD171"/>
  <sheetViews>
    <sheetView workbookViewId="0">
      <selection activeCell="E148" sqref="E148"/>
    </sheetView>
  </sheetViews>
  <sheetFormatPr defaultRowHeight="14.5" x14ac:dyDescent="0.35"/>
  <cols>
    <col min="2" max="2" width="49.453125" customWidth="1"/>
    <col min="3" max="3" width="20.7265625" customWidth="1"/>
    <col min="4" max="4" width="14.6328125" customWidth="1"/>
    <col min="5" max="5" width="12.54296875" bestFit="1" customWidth="1"/>
    <col min="6" max="6" width="12" customWidth="1"/>
    <col min="7" max="7" width="15.26953125" bestFit="1" customWidth="1"/>
    <col min="8" max="9" width="15" bestFit="1" customWidth="1"/>
    <col min="10" max="10" width="16.453125" customWidth="1"/>
    <col min="11" max="12" width="15" bestFit="1" customWidth="1"/>
    <col min="13" max="13" width="16.453125" bestFit="1" customWidth="1"/>
    <col min="14" max="14" width="14.453125" customWidth="1"/>
    <col min="15" max="16" width="16.26953125" bestFit="1" customWidth="1"/>
    <col min="17" max="17" width="13.81640625" customWidth="1"/>
    <col min="18" max="20" width="12.453125" customWidth="1"/>
    <col min="21" max="21" width="14.453125" customWidth="1"/>
    <col min="22" max="22" width="15.26953125" bestFit="1" customWidth="1"/>
    <col min="23" max="23" width="12.54296875" bestFit="1" customWidth="1"/>
    <col min="24" max="25" width="13.453125" bestFit="1" customWidth="1"/>
    <col min="26" max="26" width="16.26953125" bestFit="1" customWidth="1"/>
    <col min="27" max="27" width="20.453125" customWidth="1"/>
    <col min="28" max="28" width="16.7265625" customWidth="1"/>
    <col min="29" max="29" width="15.453125" customWidth="1"/>
    <col min="30" max="30" width="18.7265625" customWidth="1"/>
  </cols>
  <sheetData>
    <row r="1" spans="1:30" x14ac:dyDescent="0.35">
      <c r="C1" s="159"/>
      <c r="D1" s="159"/>
      <c r="Q1" s="162"/>
    </row>
    <row r="2" spans="1:30" ht="26" x14ac:dyDescent="0.35">
      <c r="C2" s="164"/>
      <c r="D2" s="164"/>
      <c r="F2" s="103" t="s">
        <v>103</v>
      </c>
      <c r="G2" s="104" t="s">
        <v>301</v>
      </c>
      <c r="H2" s="104" t="s">
        <v>34</v>
      </c>
      <c r="I2" s="104" t="s">
        <v>35</v>
      </c>
      <c r="J2" s="104" t="s">
        <v>36</v>
      </c>
      <c r="K2" s="104" t="s">
        <v>37</v>
      </c>
      <c r="L2" s="104" t="s">
        <v>38</v>
      </c>
      <c r="M2" s="104" t="s">
        <v>302</v>
      </c>
      <c r="N2" s="104"/>
      <c r="O2" s="224"/>
      <c r="P2" s="224"/>
      <c r="Q2" s="162"/>
      <c r="V2" s="105" t="s">
        <v>108</v>
      </c>
      <c r="W2" s="105" t="s">
        <v>109</v>
      </c>
      <c r="X2" s="105" t="s">
        <v>110</v>
      </c>
      <c r="Y2" s="105" t="s">
        <v>111</v>
      </c>
      <c r="Z2" s="105" t="s">
        <v>115</v>
      </c>
    </row>
    <row r="3" spans="1:30" x14ac:dyDescent="0.35">
      <c r="A3" s="245" t="s">
        <v>430</v>
      </c>
      <c r="B3" s="245"/>
      <c r="C3" s="164"/>
      <c r="D3" s="164"/>
      <c r="F3" s="152"/>
      <c r="G3" s="153"/>
      <c r="H3" s="153"/>
      <c r="I3" s="153"/>
      <c r="J3" s="153"/>
      <c r="K3" s="153"/>
      <c r="L3" s="153"/>
      <c r="M3" s="153"/>
      <c r="N3" s="153"/>
      <c r="O3" s="217"/>
      <c r="P3" s="217"/>
      <c r="Q3" s="162"/>
    </row>
    <row r="4" spans="1:30" x14ac:dyDescent="0.35">
      <c r="A4" s="245"/>
      <c r="B4" s="245" t="s">
        <v>239</v>
      </c>
      <c r="C4" s="164"/>
      <c r="D4" s="164"/>
      <c r="F4" s="216"/>
      <c r="G4" s="229">
        <f>G21</f>
        <v>25400586.025137223</v>
      </c>
      <c r="H4" s="229">
        <f t="shared" ref="H4:L4" si="0">H21</f>
        <v>32254193.951661669</v>
      </c>
      <c r="I4" s="229">
        <f t="shared" si="0"/>
        <v>29991650.388548169</v>
      </c>
      <c r="J4" s="229">
        <f t="shared" si="0"/>
        <v>30343573.10694446</v>
      </c>
      <c r="K4" s="229">
        <f t="shared" si="0"/>
        <v>30741692.848833207</v>
      </c>
      <c r="L4" s="229">
        <f t="shared" si="0"/>
        <v>30903854.306488004</v>
      </c>
      <c r="M4" s="244">
        <f>SUM(G4:L4)</f>
        <v>179635550.62761274</v>
      </c>
      <c r="N4" s="153"/>
      <c r="O4" s="244"/>
      <c r="P4" s="217"/>
      <c r="Q4" s="162"/>
      <c r="V4" s="229">
        <f>V21</f>
        <v>31564253.061386019</v>
      </c>
      <c r="W4" s="229">
        <f t="shared" ref="W4:Z4" si="1">W21</f>
        <v>31266527.297673009</v>
      </c>
      <c r="X4" s="229">
        <f t="shared" si="1"/>
        <v>31433602.409656204</v>
      </c>
      <c r="Y4" s="229">
        <f t="shared" si="1"/>
        <v>31986461.919436034</v>
      </c>
      <c r="Z4" s="229">
        <f t="shared" si="1"/>
        <v>126250844.68815127</v>
      </c>
      <c r="AA4" s="229">
        <f>Z4+M4</f>
        <v>305886395.31576401</v>
      </c>
      <c r="AB4" s="244"/>
    </row>
    <row r="5" spans="1:30" x14ac:dyDescent="0.35">
      <c r="A5" s="245"/>
      <c r="B5" s="245" t="s">
        <v>243</v>
      </c>
      <c r="C5" s="164"/>
      <c r="D5" s="164"/>
      <c r="F5" s="216"/>
      <c r="G5" s="229">
        <f>G34</f>
        <v>25165256.472764865</v>
      </c>
      <c r="H5" s="229">
        <f t="shared" ref="H5:L5" si="2">H34</f>
        <v>28036995.329682816</v>
      </c>
      <c r="I5" s="229">
        <f t="shared" si="2"/>
        <v>27830703.489263907</v>
      </c>
      <c r="J5" s="229">
        <f t="shared" si="2"/>
        <v>28160631.037760429</v>
      </c>
      <c r="K5" s="229">
        <f t="shared" si="2"/>
        <v>28533868.295781128</v>
      </c>
      <c r="L5" s="229">
        <f t="shared" si="2"/>
        <v>28685894.662332505</v>
      </c>
      <c r="M5" s="244">
        <f t="shared" ref="M5:M6" si="3">SUM(G5:L5)</f>
        <v>166413349.28758565</v>
      </c>
      <c r="N5" s="217"/>
      <c r="O5" s="244"/>
      <c r="P5" s="217"/>
      <c r="Q5" s="162"/>
      <c r="V5" s="229">
        <f>V34</f>
        <v>29335018.495049391</v>
      </c>
      <c r="W5" s="229">
        <f t="shared" ref="W5:Z5" si="4">W34</f>
        <v>29055900.591568444</v>
      </c>
      <c r="X5" s="229">
        <f t="shared" si="4"/>
        <v>29212533.50905269</v>
      </c>
      <c r="Y5" s="229">
        <f t="shared" si="4"/>
        <v>29730839.299471281</v>
      </c>
      <c r="Z5" s="229">
        <f t="shared" si="4"/>
        <v>117334291.89514181</v>
      </c>
      <c r="AA5" s="229">
        <f>Z5+M5</f>
        <v>283747641.18272746</v>
      </c>
      <c r="AB5" s="244"/>
    </row>
    <row r="6" spans="1:30" x14ac:dyDescent="0.35">
      <c r="A6" s="245"/>
      <c r="B6" s="245" t="s">
        <v>431</v>
      </c>
      <c r="C6" s="164"/>
      <c r="D6" s="164"/>
      <c r="F6" s="216"/>
      <c r="G6" s="244">
        <f>G4-G5</f>
        <v>235329.55237235874</v>
      </c>
      <c r="H6" s="244">
        <f t="shared" ref="H6:L6" si="5">H4-H5</f>
        <v>4217198.6219788529</v>
      </c>
      <c r="I6" s="244">
        <f t="shared" si="5"/>
        <v>2160946.8992842622</v>
      </c>
      <c r="J6" s="244">
        <f t="shared" si="5"/>
        <v>2182942.0691840313</v>
      </c>
      <c r="K6" s="244">
        <f t="shared" si="5"/>
        <v>2207824.5530520789</v>
      </c>
      <c r="L6" s="244">
        <f t="shared" si="5"/>
        <v>2217959.6441554986</v>
      </c>
      <c r="M6" s="244">
        <f t="shared" si="3"/>
        <v>13222201.340027083</v>
      </c>
      <c r="N6" s="244"/>
      <c r="O6" s="244">
        <f>M6-P150</f>
        <v>1.4901161193847656E-8</v>
      </c>
      <c r="P6" s="244"/>
      <c r="Q6" s="162"/>
      <c r="V6" s="244">
        <f>V4-V5</f>
        <v>2229234.566336628</v>
      </c>
      <c r="W6" s="244">
        <f t="shared" ref="W6:AA6" si="6">W4-W5</f>
        <v>2210626.7061045654</v>
      </c>
      <c r="X6" s="244">
        <f t="shared" si="6"/>
        <v>2221068.9006035142</v>
      </c>
      <c r="Y6" s="244">
        <f t="shared" si="6"/>
        <v>2255622.6199647523</v>
      </c>
      <c r="Z6" s="244">
        <f t="shared" si="6"/>
        <v>8916552.79300946</v>
      </c>
      <c r="AA6" s="244">
        <f t="shared" si="6"/>
        <v>22138754.133036554</v>
      </c>
      <c r="AB6" s="244">
        <f>AC150-Z6</f>
        <v>0</v>
      </c>
      <c r="AC6" s="244"/>
      <c r="AD6" s="244"/>
    </row>
    <row r="7" spans="1:30" x14ac:dyDescent="0.35">
      <c r="A7" s="245"/>
      <c r="B7" s="245" t="s">
        <v>432</v>
      </c>
      <c r="C7" s="164"/>
      <c r="D7" s="164"/>
      <c r="F7" s="216"/>
      <c r="G7" s="244">
        <f>G6</f>
        <v>235329.55237235874</v>
      </c>
      <c r="H7" s="244">
        <f>G7+H6</f>
        <v>4452528.1743512116</v>
      </c>
      <c r="I7" s="244">
        <f t="shared" ref="I7:L7" si="7">H7+I6</f>
        <v>6613475.0736354738</v>
      </c>
      <c r="J7" s="244">
        <f t="shared" si="7"/>
        <v>8796417.1428195052</v>
      </c>
      <c r="K7" s="244">
        <f t="shared" si="7"/>
        <v>11004241.695871584</v>
      </c>
      <c r="L7" s="244">
        <f t="shared" si="7"/>
        <v>13222201.340027083</v>
      </c>
      <c r="M7" s="217"/>
      <c r="N7" s="217"/>
      <c r="O7" s="217"/>
      <c r="P7" s="217"/>
      <c r="Q7" s="162"/>
      <c r="V7" s="244">
        <f>V6</f>
        <v>2229234.566336628</v>
      </c>
      <c r="W7" s="244">
        <f>V7+W6</f>
        <v>4439861.2724411935</v>
      </c>
      <c r="X7" s="244">
        <f t="shared" ref="X7" si="8">W7+X6</f>
        <v>6660930.1730447076</v>
      </c>
      <c r="Y7" s="244">
        <f t="shared" ref="Y7" si="9">X7+Y6</f>
        <v>8916552.79300946</v>
      </c>
      <c r="Z7" s="244"/>
      <c r="AA7" s="244">
        <f>Z7</f>
        <v>0</v>
      </c>
      <c r="AB7" s="217"/>
    </row>
    <row r="8" spans="1:30" x14ac:dyDescent="0.35">
      <c r="C8" s="164"/>
      <c r="D8" s="164"/>
      <c r="F8" s="216"/>
      <c r="G8" s="217"/>
      <c r="H8" s="217"/>
      <c r="I8" s="217"/>
      <c r="J8" s="217"/>
      <c r="K8" s="217"/>
      <c r="L8" s="217" t="s">
        <v>433</v>
      </c>
      <c r="M8" s="246">
        <f>(M4-M5)/M5</f>
        <v>7.9453970469504059E-2</v>
      </c>
      <c r="N8" s="217"/>
      <c r="O8" s="217"/>
      <c r="P8" s="217"/>
      <c r="Q8" s="162"/>
      <c r="V8" s="217"/>
      <c r="W8" s="217"/>
      <c r="Y8" s="217" t="s">
        <v>433</v>
      </c>
      <c r="Z8" s="246">
        <f>(Z4-Z5)/Z5</f>
        <v>7.5992726840486829E-2</v>
      </c>
      <c r="AA8" s="246">
        <f>(AA4-AA5)/AA5</f>
        <v>7.8022689601072906E-2</v>
      </c>
    </row>
    <row r="9" spans="1:30" x14ac:dyDescent="0.35">
      <c r="C9" s="164"/>
      <c r="D9" s="164"/>
      <c r="F9" s="216"/>
      <c r="G9" s="244"/>
      <c r="H9" s="244"/>
      <c r="I9" s="244"/>
      <c r="J9" s="244"/>
      <c r="K9" s="244"/>
      <c r="L9" s="244"/>
      <c r="M9" s="244"/>
      <c r="N9" s="217"/>
      <c r="O9" s="217"/>
      <c r="P9" s="217"/>
      <c r="Q9" s="162"/>
    </row>
    <row r="10" spans="1:30" x14ac:dyDescent="0.35">
      <c r="C10" s="164"/>
      <c r="D10" s="164"/>
      <c r="F10" s="216"/>
      <c r="G10" s="244"/>
      <c r="H10" s="244"/>
      <c r="I10" s="244"/>
      <c r="J10" s="244"/>
      <c r="K10" s="244"/>
      <c r="L10" s="244"/>
      <c r="M10" s="244"/>
      <c r="N10" s="217"/>
      <c r="O10" s="217"/>
      <c r="P10" s="247"/>
      <c r="Q10" s="286"/>
    </row>
    <row r="11" spans="1:30" x14ac:dyDescent="0.35">
      <c r="A11" s="245" t="s">
        <v>421</v>
      </c>
      <c r="C11" s="164"/>
      <c r="D11" s="164"/>
      <c r="F11" s="216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162"/>
    </row>
    <row r="12" spans="1:30" ht="29" x14ac:dyDescent="0.35">
      <c r="A12" s="228">
        <v>1</v>
      </c>
      <c r="B12" s="219" t="s">
        <v>403</v>
      </c>
      <c r="C12" s="164"/>
      <c r="D12" s="164"/>
      <c r="F12" s="216"/>
      <c r="G12" s="229">
        <f>G54</f>
        <v>81251.111111111124</v>
      </c>
      <c r="H12" s="229"/>
      <c r="I12" s="229"/>
      <c r="J12" s="229"/>
      <c r="K12" s="229"/>
      <c r="L12" s="229"/>
      <c r="M12" s="229">
        <f>SUM(G12:L12)</f>
        <v>81251.111111111124</v>
      </c>
      <c r="N12" s="217"/>
      <c r="O12" s="217"/>
      <c r="P12" s="217"/>
      <c r="Q12" s="162"/>
      <c r="V12" s="229">
        <f t="shared" ref="V12:V13" si="10">V59</f>
        <v>0</v>
      </c>
      <c r="W12" s="229">
        <f t="shared" ref="W12:Y12" si="11">W59</f>
        <v>0</v>
      </c>
      <c r="X12" s="229">
        <f t="shared" si="11"/>
        <v>0</v>
      </c>
      <c r="Y12" s="229">
        <f t="shared" si="11"/>
        <v>0</v>
      </c>
      <c r="Z12" s="161">
        <f>SUM(V12:Y12)</f>
        <v>0</v>
      </c>
    </row>
    <row r="13" spans="1:30" ht="29" x14ac:dyDescent="0.35">
      <c r="A13" s="228">
        <v>2</v>
      </c>
      <c r="B13" s="219" t="s">
        <v>404</v>
      </c>
      <c r="C13" s="164"/>
      <c r="D13" s="164"/>
      <c r="F13" s="216"/>
      <c r="G13" s="229">
        <f>G57</f>
        <v>323798.07692307694</v>
      </c>
      <c r="H13" s="229"/>
      <c r="I13" s="229"/>
      <c r="J13" s="229"/>
      <c r="K13" s="229"/>
      <c r="L13" s="229"/>
      <c r="M13" s="229">
        <f t="shared" ref="M13:M21" si="12">SUM(G13:L13)</f>
        <v>323798.07692307694</v>
      </c>
      <c r="N13" s="217"/>
      <c r="O13" s="217"/>
      <c r="P13" s="217"/>
      <c r="Q13" s="162"/>
      <c r="V13" s="229">
        <f t="shared" si="10"/>
        <v>0</v>
      </c>
      <c r="W13" s="229">
        <f t="shared" ref="W13:Y13" si="13">W60</f>
        <v>0</v>
      </c>
      <c r="X13" s="229">
        <f t="shared" si="13"/>
        <v>0</v>
      </c>
      <c r="Y13" s="229">
        <f t="shared" si="13"/>
        <v>0</v>
      </c>
      <c r="Z13" s="161">
        <f t="shared" ref="Z13:Z21" si="14">SUM(V13:Y13)</f>
        <v>0</v>
      </c>
    </row>
    <row r="14" spans="1:30" x14ac:dyDescent="0.35">
      <c r="A14" s="228">
        <v>3</v>
      </c>
      <c r="B14" s="228" t="s">
        <v>405</v>
      </c>
      <c r="C14" s="164"/>
      <c r="D14" s="164"/>
      <c r="F14" s="216"/>
      <c r="G14" s="229">
        <f>G61</f>
        <v>680833.33333333337</v>
      </c>
      <c r="H14" s="229">
        <f>H61</f>
        <v>2042500</v>
      </c>
      <c r="I14" s="229"/>
      <c r="J14" s="229"/>
      <c r="K14" s="229"/>
      <c r="L14" s="229"/>
      <c r="M14" s="229">
        <f t="shared" si="12"/>
        <v>2723333.3333333335</v>
      </c>
      <c r="N14" s="217"/>
      <c r="O14" s="217"/>
      <c r="P14" s="217"/>
      <c r="Q14" s="162"/>
      <c r="V14" s="229">
        <f>V61</f>
        <v>0</v>
      </c>
      <c r="W14" s="229">
        <f t="shared" ref="W14:Y14" si="15">W61</f>
        <v>0</v>
      </c>
      <c r="X14" s="229">
        <f t="shared" si="15"/>
        <v>0</v>
      </c>
      <c r="Y14" s="229">
        <f t="shared" si="15"/>
        <v>0</v>
      </c>
      <c r="Z14" s="161">
        <f t="shared" si="14"/>
        <v>0</v>
      </c>
    </row>
    <row r="15" spans="1:30" ht="43.5" x14ac:dyDescent="0.35">
      <c r="A15" s="228">
        <v>5</v>
      </c>
      <c r="B15" s="219" t="s">
        <v>406</v>
      </c>
      <c r="C15" s="164"/>
      <c r="D15" s="164"/>
      <c r="F15" s="216"/>
      <c r="G15" s="229">
        <f>G66</f>
        <v>0</v>
      </c>
      <c r="H15" s="229"/>
      <c r="I15" s="229"/>
      <c r="J15" s="229"/>
      <c r="K15" s="229"/>
      <c r="L15" s="229"/>
      <c r="M15" s="229">
        <f t="shared" ref="M15" si="16">SUM(G15:L15)</f>
        <v>0</v>
      </c>
      <c r="N15" s="217"/>
      <c r="O15" s="217"/>
      <c r="P15" s="217"/>
      <c r="Q15" s="162"/>
      <c r="V15" s="229"/>
      <c r="W15" s="229"/>
      <c r="X15" s="229"/>
      <c r="Y15" s="229"/>
      <c r="Z15" s="161">
        <f t="shared" si="14"/>
        <v>0</v>
      </c>
    </row>
    <row r="16" spans="1:30" ht="43.5" x14ac:dyDescent="0.35">
      <c r="A16" s="228">
        <v>6</v>
      </c>
      <c r="B16" s="219" t="s">
        <v>406</v>
      </c>
      <c r="C16" s="164"/>
      <c r="D16" s="164"/>
      <c r="F16" s="216"/>
      <c r="G16" s="229">
        <f t="shared" ref="G16:L16" si="17">G72</f>
        <v>814810</v>
      </c>
      <c r="H16" s="229">
        <f t="shared" si="17"/>
        <v>1282500</v>
      </c>
      <c r="I16" s="229">
        <f t="shared" si="17"/>
        <v>1282500</v>
      </c>
      <c r="J16" s="229">
        <f t="shared" si="17"/>
        <v>1282500</v>
      </c>
      <c r="K16" s="229">
        <f t="shared" si="17"/>
        <v>1282500</v>
      </c>
      <c r="L16" s="229">
        <f t="shared" si="17"/>
        <v>1282500</v>
      </c>
      <c r="M16" s="229">
        <f t="shared" si="12"/>
        <v>7227310</v>
      </c>
      <c r="N16" s="217"/>
      <c r="O16" s="217"/>
      <c r="P16" s="217"/>
      <c r="Q16" s="162"/>
      <c r="V16" s="229">
        <f t="shared" ref="V16:Y16" si="18">V72</f>
        <v>1282500</v>
      </c>
      <c r="W16" s="229">
        <f t="shared" si="18"/>
        <v>1282500</v>
      </c>
      <c r="X16" s="229">
        <f t="shared" si="18"/>
        <v>1282500</v>
      </c>
      <c r="Y16" s="229">
        <f t="shared" si="18"/>
        <v>1282500</v>
      </c>
      <c r="Z16" s="161">
        <f t="shared" si="14"/>
        <v>5130000</v>
      </c>
    </row>
    <row r="17" spans="1:26" x14ac:dyDescent="0.35">
      <c r="A17" s="228">
        <v>9</v>
      </c>
      <c r="B17" s="228" t="s">
        <v>401</v>
      </c>
      <c r="C17" s="164"/>
      <c r="D17" s="164"/>
      <c r="F17" s="216"/>
      <c r="G17" s="229">
        <f>O128</f>
        <v>1444985.5</v>
      </c>
      <c r="H17" s="229"/>
      <c r="I17" s="229"/>
      <c r="J17" s="229"/>
      <c r="K17" s="229"/>
      <c r="L17" s="229"/>
      <c r="M17" s="229">
        <f>SUM(G17:L17)</f>
        <v>1444985.5</v>
      </c>
      <c r="N17" s="217"/>
      <c r="O17" s="217"/>
      <c r="P17" s="217"/>
      <c r="Q17" s="162"/>
      <c r="V17" s="229">
        <f>AC128</f>
        <v>0</v>
      </c>
      <c r="W17" s="229">
        <f t="shared" ref="W17:Y17" si="19">AD128</f>
        <v>0</v>
      </c>
      <c r="X17" s="229">
        <f t="shared" si="19"/>
        <v>0</v>
      </c>
      <c r="Y17" s="229">
        <f t="shared" si="19"/>
        <v>0</v>
      </c>
      <c r="Z17" s="161">
        <f t="shared" si="14"/>
        <v>0</v>
      </c>
    </row>
    <row r="18" spans="1:26" x14ac:dyDescent="0.35">
      <c r="A18" s="228">
        <v>10</v>
      </c>
      <c r="B18" s="228" t="s">
        <v>399</v>
      </c>
      <c r="C18" s="164"/>
      <c r="D18" s="164"/>
      <c r="F18" s="216"/>
      <c r="G18" s="229">
        <f>G82</f>
        <v>0</v>
      </c>
      <c r="H18" s="229"/>
      <c r="I18" s="229"/>
      <c r="J18" s="229"/>
      <c r="K18" s="229"/>
      <c r="L18" s="229"/>
      <c r="M18" s="229">
        <f t="shared" ref="M18" si="20">SUM(G18:L18)</f>
        <v>0</v>
      </c>
      <c r="N18" s="217"/>
      <c r="O18" s="217"/>
      <c r="P18" s="217"/>
      <c r="Q18" s="162"/>
      <c r="V18" s="229"/>
      <c r="W18" s="229"/>
      <c r="X18" s="229"/>
      <c r="Y18" s="229"/>
      <c r="Z18" s="161">
        <f t="shared" si="14"/>
        <v>0</v>
      </c>
    </row>
    <row r="19" spans="1:26" x14ac:dyDescent="0.35">
      <c r="A19" s="228">
        <v>11</v>
      </c>
      <c r="B19" s="228" t="s">
        <v>399</v>
      </c>
      <c r="C19" s="164"/>
      <c r="D19" s="164"/>
      <c r="F19" s="216"/>
      <c r="G19" s="229">
        <f>G147</f>
        <v>22054908.003769703</v>
      </c>
      <c r="H19" s="229">
        <f t="shared" ref="H19:L19" si="21">H147</f>
        <v>28929193.951661669</v>
      </c>
      <c r="I19" s="229">
        <f t="shared" si="21"/>
        <v>28709150.388548169</v>
      </c>
      <c r="J19" s="229">
        <f t="shared" si="21"/>
        <v>29061073.10694446</v>
      </c>
      <c r="K19" s="229">
        <f t="shared" si="21"/>
        <v>29459192.848833207</v>
      </c>
      <c r="L19" s="229">
        <f t="shared" si="21"/>
        <v>29621354.306488004</v>
      </c>
      <c r="M19" s="229">
        <f t="shared" si="12"/>
        <v>167834872.60624522</v>
      </c>
      <c r="N19" s="217"/>
      <c r="O19" s="217"/>
      <c r="P19" s="217"/>
      <c r="Q19" s="162"/>
      <c r="V19" s="229">
        <f>V86</f>
        <v>30281753.061386019</v>
      </c>
      <c r="W19" s="229">
        <f t="shared" ref="W19:Y19" si="22">W86</f>
        <v>29984027.297673009</v>
      </c>
      <c r="X19" s="229">
        <f t="shared" si="22"/>
        <v>30151102.409656204</v>
      </c>
      <c r="Y19" s="229">
        <f t="shared" si="22"/>
        <v>30703961.919436034</v>
      </c>
      <c r="Z19" s="161">
        <f t="shared" si="14"/>
        <v>121120844.68815127</v>
      </c>
    </row>
    <row r="20" spans="1:26" x14ac:dyDescent="0.35">
      <c r="C20" s="164"/>
      <c r="D20" s="164"/>
      <c r="F20" s="216"/>
      <c r="G20" s="229"/>
      <c r="H20" s="229"/>
      <c r="I20" s="229"/>
      <c r="J20" s="229"/>
      <c r="K20" s="229"/>
      <c r="L20" s="229"/>
      <c r="M20" s="229">
        <f t="shared" si="12"/>
        <v>0</v>
      </c>
      <c r="N20" s="217"/>
      <c r="O20" s="217"/>
      <c r="P20" s="217"/>
      <c r="Q20" s="162"/>
      <c r="Z20" s="161">
        <f t="shared" si="14"/>
        <v>0</v>
      </c>
    </row>
    <row r="21" spans="1:26" x14ac:dyDescent="0.35">
      <c r="B21" s="228" t="s">
        <v>317</v>
      </c>
      <c r="C21" s="164"/>
      <c r="D21" s="164"/>
      <c r="F21" s="216"/>
      <c r="G21" s="229">
        <f t="shared" ref="G21:L21" si="23">SUM(G12:G19)</f>
        <v>25400586.025137223</v>
      </c>
      <c r="H21" s="229">
        <f t="shared" si="23"/>
        <v>32254193.951661669</v>
      </c>
      <c r="I21" s="229">
        <f t="shared" si="23"/>
        <v>29991650.388548169</v>
      </c>
      <c r="J21" s="229">
        <f t="shared" si="23"/>
        <v>30343573.10694446</v>
      </c>
      <c r="K21" s="229">
        <f t="shared" si="23"/>
        <v>30741692.848833207</v>
      </c>
      <c r="L21" s="229">
        <f t="shared" si="23"/>
        <v>30903854.306488004</v>
      </c>
      <c r="M21" s="229">
        <f t="shared" si="12"/>
        <v>179635550.62761274</v>
      </c>
      <c r="N21" s="289">
        <f>M21-M87</f>
        <v>0</v>
      </c>
      <c r="O21" s="217"/>
      <c r="P21" s="217"/>
      <c r="Q21" s="162"/>
      <c r="V21" s="229">
        <f t="shared" ref="V21:Y21" si="24">SUM(V12:V19)</f>
        <v>31564253.061386019</v>
      </c>
      <c r="W21" s="229">
        <f t="shared" si="24"/>
        <v>31266527.297673009</v>
      </c>
      <c r="X21" s="229">
        <f t="shared" si="24"/>
        <v>31433602.409656204</v>
      </c>
      <c r="Y21" s="229">
        <f t="shared" si="24"/>
        <v>31986461.919436034</v>
      </c>
      <c r="Z21" s="161">
        <f t="shared" si="14"/>
        <v>126250844.68815127</v>
      </c>
    </row>
    <row r="22" spans="1:26" x14ac:dyDescent="0.35">
      <c r="A22" s="237"/>
      <c r="B22" s="237"/>
      <c r="C22" s="238"/>
      <c r="D22" s="238"/>
      <c r="E22" s="237"/>
      <c r="F22" s="239"/>
      <c r="G22" s="240"/>
      <c r="H22" s="240"/>
      <c r="I22" s="240"/>
      <c r="J22" s="240"/>
      <c r="K22" s="240"/>
      <c r="L22" s="240"/>
      <c r="M22" s="240"/>
      <c r="N22" s="241"/>
      <c r="O22" s="241"/>
      <c r="P22" s="217"/>
      <c r="Q22" s="162"/>
    </row>
    <row r="23" spans="1:26" x14ac:dyDescent="0.35">
      <c r="A23" s="245" t="s">
        <v>426</v>
      </c>
      <c r="C23" s="164"/>
      <c r="D23" s="164"/>
      <c r="F23" s="216"/>
      <c r="G23" s="229"/>
      <c r="H23" s="229"/>
      <c r="I23" s="229"/>
      <c r="J23" s="229"/>
      <c r="K23" s="229"/>
      <c r="L23" s="229"/>
      <c r="M23" s="229"/>
      <c r="N23" s="217"/>
      <c r="O23" s="217"/>
      <c r="P23" s="217"/>
      <c r="Q23" s="162"/>
    </row>
    <row r="24" spans="1:26" ht="29" x14ac:dyDescent="0.35">
      <c r="A24" s="228">
        <v>1</v>
      </c>
      <c r="B24" s="219" t="s">
        <v>403</v>
      </c>
      <c r="C24" s="164"/>
      <c r="D24" s="164"/>
      <c r="F24" s="216"/>
      <c r="G24" s="229">
        <f>G93</f>
        <v>73125.000000000015</v>
      </c>
      <c r="H24" s="229">
        <f t="shared" ref="H24:L24" si="25">H93</f>
        <v>1</v>
      </c>
      <c r="I24" s="229">
        <f t="shared" si="25"/>
        <v>0</v>
      </c>
      <c r="J24" s="229">
        <f t="shared" si="25"/>
        <v>0</v>
      </c>
      <c r="K24" s="229">
        <f t="shared" si="25"/>
        <v>0</v>
      </c>
      <c r="L24" s="229">
        <f t="shared" si="25"/>
        <v>0</v>
      </c>
      <c r="M24" s="229">
        <f t="shared" ref="M24:M32" si="26">SUM(G24:L24)</f>
        <v>73126.000000000015</v>
      </c>
      <c r="N24" s="217"/>
      <c r="O24" s="217"/>
      <c r="P24" s="217"/>
      <c r="Q24" s="162"/>
      <c r="V24" s="229">
        <f>V93</f>
        <v>0</v>
      </c>
      <c r="W24" s="229">
        <f t="shared" ref="W24:Y24" si="27">W93</f>
        <v>0</v>
      </c>
      <c r="X24" s="229">
        <f t="shared" si="27"/>
        <v>0</v>
      </c>
      <c r="Y24" s="229">
        <f t="shared" si="27"/>
        <v>0</v>
      </c>
      <c r="Z24" s="161">
        <f>SUM(V24:Y24)</f>
        <v>0</v>
      </c>
    </row>
    <row r="25" spans="1:26" ht="29" x14ac:dyDescent="0.35">
      <c r="A25" s="228">
        <v>2</v>
      </c>
      <c r="B25" s="219" t="s">
        <v>404</v>
      </c>
      <c r="C25" s="164"/>
      <c r="D25" s="164"/>
      <c r="F25" s="216"/>
      <c r="G25" s="229">
        <f>G98</f>
        <v>291418.26923076925</v>
      </c>
      <c r="H25" s="229">
        <f t="shared" ref="H25:L25" si="28">H98</f>
        <v>0</v>
      </c>
      <c r="I25" s="229">
        <f t="shared" si="28"/>
        <v>0</v>
      </c>
      <c r="J25" s="229">
        <f t="shared" si="28"/>
        <v>0</v>
      </c>
      <c r="K25" s="229">
        <f t="shared" si="28"/>
        <v>0</v>
      </c>
      <c r="L25" s="229">
        <f t="shared" si="28"/>
        <v>0</v>
      </c>
      <c r="M25" s="229">
        <f t="shared" si="26"/>
        <v>291418.26923076925</v>
      </c>
      <c r="N25" s="217"/>
      <c r="O25" s="217"/>
      <c r="P25" s="217"/>
      <c r="Q25" s="162"/>
      <c r="V25" s="229">
        <f>V98</f>
        <v>0</v>
      </c>
      <c r="W25" s="229">
        <f t="shared" ref="W25:Y25" si="29">W98</f>
        <v>0</v>
      </c>
      <c r="X25" s="229">
        <f t="shared" si="29"/>
        <v>0</v>
      </c>
      <c r="Y25" s="229">
        <f t="shared" si="29"/>
        <v>0</v>
      </c>
      <c r="Z25" s="161">
        <f t="shared" ref="Z25:Z34" si="30">SUM(V25:Y25)</f>
        <v>0</v>
      </c>
    </row>
    <row r="26" spans="1:26" x14ac:dyDescent="0.35">
      <c r="A26" s="228">
        <v>3</v>
      </c>
      <c r="B26" s="228" t="s">
        <v>405</v>
      </c>
      <c r="C26" s="164"/>
      <c r="D26" s="164"/>
      <c r="F26" s="216"/>
      <c r="G26" s="229">
        <f>G104</f>
        <v>2042500</v>
      </c>
      <c r="H26" s="229">
        <f t="shared" ref="H26:L26" si="31">H104</f>
        <v>0</v>
      </c>
      <c r="I26" s="229">
        <f t="shared" si="31"/>
        <v>0</v>
      </c>
      <c r="J26" s="229">
        <f t="shared" si="31"/>
        <v>0</v>
      </c>
      <c r="K26" s="229">
        <f t="shared" si="31"/>
        <v>0</v>
      </c>
      <c r="L26" s="229">
        <f t="shared" si="31"/>
        <v>0</v>
      </c>
      <c r="M26" s="229">
        <f t="shared" si="26"/>
        <v>2042500</v>
      </c>
      <c r="N26" s="217"/>
      <c r="O26" s="217"/>
      <c r="P26" s="217"/>
      <c r="Q26" s="162"/>
      <c r="V26" s="229">
        <f>V104</f>
        <v>0</v>
      </c>
      <c r="W26" s="229">
        <f t="shared" ref="W26:Y26" si="32">W104</f>
        <v>0</v>
      </c>
      <c r="X26" s="229">
        <f t="shared" si="32"/>
        <v>0</v>
      </c>
      <c r="Y26" s="229">
        <f t="shared" si="32"/>
        <v>0</v>
      </c>
      <c r="Z26" s="161">
        <f t="shared" si="30"/>
        <v>0</v>
      </c>
    </row>
    <row r="27" spans="1:26" x14ac:dyDescent="0.35">
      <c r="A27" s="228"/>
      <c r="B27" s="228"/>
      <c r="C27" s="164"/>
      <c r="D27" s="164"/>
      <c r="F27" s="216"/>
      <c r="G27" s="229"/>
      <c r="H27" s="229"/>
      <c r="I27" s="229"/>
      <c r="J27" s="229"/>
      <c r="K27" s="229"/>
      <c r="L27" s="229"/>
      <c r="M27" s="229">
        <f t="shared" si="26"/>
        <v>0</v>
      </c>
      <c r="N27" s="217"/>
      <c r="O27" s="217"/>
      <c r="P27" s="217"/>
      <c r="Q27" s="162"/>
      <c r="V27" s="229"/>
      <c r="W27" s="229"/>
      <c r="X27" s="229"/>
      <c r="Y27" s="229"/>
      <c r="Z27" s="161">
        <f t="shared" si="30"/>
        <v>0</v>
      </c>
    </row>
    <row r="28" spans="1:26" ht="43.5" x14ac:dyDescent="0.35">
      <c r="A28" s="228">
        <v>5</v>
      </c>
      <c r="B28" s="219" t="s">
        <v>406</v>
      </c>
      <c r="C28" s="164"/>
      <c r="D28" s="164"/>
      <c r="F28" s="216"/>
      <c r="G28" s="229">
        <f>G109</f>
        <v>0</v>
      </c>
      <c r="H28" s="229"/>
      <c r="I28" s="229"/>
      <c r="J28" s="229"/>
      <c r="K28" s="229"/>
      <c r="L28" s="229"/>
      <c r="M28" s="229">
        <f t="shared" si="26"/>
        <v>0</v>
      </c>
      <c r="N28" s="217"/>
      <c r="O28" s="217"/>
      <c r="P28" s="217"/>
      <c r="Q28" s="162"/>
      <c r="V28" s="229">
        <f>V109</f>
        <v>0</v>
      </c>
      <c r="W28" s="229">
        <f t="shared" ref="W28:Y28" si="33">W109</f>
        <v>0</v>
      </c>
      <c r="X28" s="229">
        <f t="shared" si="33"/>
        <v>0</v>
      </c>
      <c r="Y28" s="229">
        <f t="shared" si="33"/>
        <v>0</v>
      </c>
      <c r="Z28" s="161">
        <f t="shared" si="30"/>
        <v>0</v>
      </c>
    </row>
    <row r="29" spans="1:26" ht="43.5" x14ac:dyDescent="0.35">
      <c r="A29" s="228">
        <v>6</v>
      </c>
      <c r="B29" s="219" t="s">
        <v>424</v>
      </c>
      <c r="C29" s="164"/>
      <c r="D29" s="164"/>
      <c r="F29" s="216"/>
      <c r="G29" s="229"/>
      <c r="H29" s="229">
        <f t="shared" ref="H29:L29" si="34">H117</f>
        <v>134625</v>
      </c>
      <c r="I29" s="229">
        <f t="shared" si="34"/>
        <v>134625</v>
      </c>
      <c r="J29" s="229">
        <f t="shared" si="34"/>
        <v>134625</v>
      </c>
      <c r="K29" s="229">
        <f t="shared" si="34"/>
        <v>134625</v>
      </c>
      <c r="L29" s="229">
        <f t="shared" si="34"/>
        <v>134625</v>
      </c>
      <c r="M29" s="229">
        <f t="shared" si="26"/>
        <v>673125</v>
      </c>
      <c r="N29" s="217"/>
      <c r="O29" s="217"/>
      <c r="P29" s="217"/>
      <c r="Q29" s="162"/>
      <c r="V29" s="229">
        <f t="shared" ref="V29:Y29" si="35">V117</f>
        <v>164625</v>
      </c>
      <c r="W29" s="229">
        <f t="shared" si="35"/>
        <v>164625</v>
      </c>
      <c r="X29" s="229">
        <f t="shared" si="35"/>
        <v>164625</v>
      </c>
      <c r="Y29" s="229">
        <f t="shared" si="35"/>
        <v>164625</v>
      </c>
      <c r="Z29" s="161">
        <f t="shared" si="30"/>
        <v>658500</v>
      </c>
    </row>
    <row r="30" spans="1:26" x14ac:dyDescent="0.35">
      <c r="A30" s="228">
        <v>9</v>
      </c>
      <c r="B30" s="228" t="s">
        <v>401</v>
      </c>
      <c r="C30" s="164"/>
      <c r="D30" s="164"/>
      <c r="F30" s="216"/>
      <c r="G30" s="229">
        <f>G128</f>
        <v>1300486.95</v>
      </c>
      <c r="H30" s="229">
        <f t="shared" ref="H30:L30" si="36">H128</f>
        <v>0</v>
      </c>
      <c r="I30" s="229">
        <f t="shared" si="36"/>
        <v>0</v>
      </c>
      <c r="J30" s="229">
        <f t="shared" si="36"/>
        <v>0</v>
      </c>
      <c r="K30" s="229">
        <f t="shared" si="36"/>
        <v>0</v>
      </c>
      <c r="L30" s="229">
        <f t="shared" si="36"/>
        <v>0</v>
      </c>
      <c r="M30" s="229">
        <f t="shared" si="26"/>
        <v>1300486.95</v>
      </c>
      <c r="N30" s="217"/>
      <c r="O30" s="217"/>
      <c r="P30" s="217"/>
      <c r="Q30" s="162"/>
      <c r="V30" s="229">
        <f>V128</f>
        <v>0</v>
      </c>
      <c r="W30" s="229">
        <f t="shared" ref="W30:Y30" si="37">W128</f>
        <v>0</v>
      </c>
      <c r="X30" s="229">
        <f t="shared" si="37"/>
        <v>0</v>
      </c>
      <c r="Y30" s="229">
        <f t="shared" si="37"/>
        <v>0</v>
      </c>
      <c r="Z30" s="161">
        <f t="shared" si="30"/>
        <v>0</v>
      </c>
    </row>
    <row r="31" spans="1:26" x14ac:dyDescent="0.35">
      <c r="A31" s="228">
        <v>10</v>
      </c>
      <c r="B31" s="228" t="s">
        <v>399</v>
      </c>
      <c r="C31" s="164"/>
      <c r="D31" s="164"/>
      <c r="F31" s="216"/>
      <c r="G31" s="229">
        <f>G134</f>
        <v>0</v>
      </c>
      <c r="H31" s="229"/>
      <c r="I31" s="229"/>
      <c r="J31" s="229"/>
      <c r="K31" s="229"/>
      <c r="L31" s="229"/>
      <c r="M31" s="229">
        <f t="shared" si="26"/>
        <v>0</v>
      </c>
      <c r="N31" s="217"/>
      <c r="O31" s="217"/>
      <c r="P31" s="217"/>
      <c r="Q31" s="162"/>
      <c r="V31" s="229">
        <f>V134</f>
        <v>0</v>
      </c>
      <c r="W31" s="229">
        <f t="shared" ref="W31:Y31" si="38">W134</f>
        <v>0</v>
      </c>
      <c r="X31" s="229">
        <f t="shared" si="38"/>
        <v>0</v>
      </c>
      <c r="Y31" s="229">
        <f t="shared" si="38"/>
        <v>0</v>
      </c>
      <c r="Z31" s="161">
        <f t="shared" si="30"/>
        <v>0</v>
      </c>
    </row>
    <row r="32" spans="1:26" x14ac:dyDescent="0.35">
      <c r="A32" s="228">
        <v>11</v>
      </c>
      <c r="B32" s="228" t="s">
        <v>399</v>
      </c>
      <c r="C32" s="164"/>
      <c r="D32" s="164"/>
      <c r="F32" s="216"/>
      <c r="G32" s="229">
        <f t="shared" ref="G32:L32" si="39">G141</f>
        <v>21457726.253534097</v>
      </c>
      <c r="H32" s="229">
        <f t="shared" si="39"/>
        <v>27902369.329682816</v>
      </c>
      <c r="I32" s="229">
        <f t="shared" si="39"/>
        <v>27696078.489263907</v>
      </c>
      <c r="J32" s="229">
        <f t="shared" si="39"/>
        <v>28026006.037760429</v>
      </c>
      <c r="K32" s="229">
        <f t="shared" si="39"/>
        <v>28399243.295781128</v>
      </c>
      <c r="L32" s="229">
        <f t="shared" si="39"/>
        <v>28551269.662332505</v>
      </c>
      <c r="M32" s="229">
        <f t="shared" si="26"/>
        <v>162032693.0683549</v>
      </c>
      <c r="N32" s="217"/>
      <c r="O32" s="217"/>
      <c r="P32" s="217"/>
      <c r="Q32" s="162"/>
      <c r="V32" s="229">
        <f t="shared" ref="V32:Y32" si="40">V141</f>
        <v>29170393.495049391</v>
      </c>
      <c r="W32" s="229">
        <f t="shared" si="40"/>
        <v>28891275.591568444</v>
      </c>
      <c r="X32" s="229">
        <f t="shared" si="40"/>
        <v>29047908.50905269</v>
      </c>
      <c r="Y32" s="229">
        <f t="shared" si="40"/>
        <v>29566214.299471281</v>
      </c>
      <c r="Z32" s="161">
        <f t="shared" si="30"/>
        <v>116675791.89514181</v>
      </c>
    </row>
    <row r="33" spans="1:26" x14ac:dyDescent="0.35">
      <c r="C33" s="164"/>
      <c r="D33" s="164"/>
      <c r="F33" s="216"/>
      <c r="G33" s="229"/>
      <c r="H33" s="229"/>
      <c r="I33" s="229"/>
      <c r="J33" s="229"/>
      <c r="K33" s="229"/>
      <c r="L33" s="229"/>
      <c r="M33" s="229"/>
      <c r="N33" s="217"/>
      <c r="O33" s="217"/>
      <c r="P33" s="217"/>
      <c r="Q33" s="162"/>
      <c r="V33" s="229"/>
      <c r="W33" s="229"/>
      <c r="X33" s="229"/>
      <c r="Y33" s="229"/>
      <c r="Z33" s="161">
        <f t="shared" si="30"/>
        <v>0</v>
      </c>
    </row>
    <row r="34" spans="1:26" x14ac:dyDescent="0.35">
      <c r="B34" s="228" t="s">
        <v>317</v>
      </c>
      <c r="C34" s="164"/>
      <c r="D34" s="164"/>
      <c r="F34" s="216"/>
      <c r="G34" s="229">
        <f t="shared" ref="G34:L34" si="41">SUM(G24:G32)</f>
        <v>25165256.472764865</v>
      </c>
      <c r="H34" s="229">
        <f t="shared" si="41"/>
        <v>28036995.329682816</v>
      </c>
      <c r="I34" s="229">
        <f t="shared" si="41"/>
        <v>27830703.489263907</v>
      </c>
      <c r="J34" s="229">
        <f t="shared" si="41"/>
        <v>28160631.037760429</v>
      </c>
      <c r="K34" s="229">
        <f t="shared" si="41"/>
        <v>28533868.295781128</v>
      </c>
      <c r="L34" s="229">
        <f t="shared" si="41"/>
        <v>28685894.662332505</v>
      </c>
      <c r="M34" s="229">
        <f>SUM(G34:L34)</f>
        <v>166413349.28758565</v>
      </c>
      <c r="N34" s="217"/>
      <c r="O34" s="217"/>
      <c r="P34" s="217"/>
      <c r="Q34" s="162"/>
      <c r="V34" s="229">
        <f t="shared" ref="V34:Y34" si="42">SUM(V24:V32)</f>
        <v>29335018.495049391</v>
      </c>
      <c r="W34" s="229">
        <f t="shared" si="42"/>
        <v>29055900.591568444</v>
      </c>
      <c r="X34" s="229">
        <f t="shared" si="42"/>
        <v>29212533.50905269</v>
      </c>
      <c r="Y34" s="229">
        <f t="shared" si="42"/>
        <v>29730839.299471281</v>
      </c>
      <c r="Z34" s="161">
        <f t="shared" si="30"/>
        <v>117334291.89514181</v>
      </c>
    </row>
    <row r="35" spans="1:26" x14ac:dyDescent="0.35">
      <c r="B35" s="228"/>
      <c r="C35" s="164"/>
      <c r="D35" s="164"/>
      <c r="F35" s="216"/>
      <c r="G35" s="229"/>
      <c r="H35" s="229"/>
      <c r="I35" s="229"/>
      <c r="J35" s="229"/>
      <c r="K35" s="229"/>
      <c r="L35" s="229"/>
      <c r="M35" s="229"/>
      <c r="N35" s="217"/>
      <c r="O35" s="217"/>
      <c r="P35" s="217"/>
      <c r="Q35" s="162"/>
    </row>
    <row r="36" spans="1:26" x14ac:dyDescent="0.35">
      <c r="B36" s="228"/>
      <c r="C36" s="164"/>
      <c r="D36" s="164"/>
      <c r="F36" s="242" t="s">
        <v>425</v>
      </c>
      <c r="G36" s="243">
        <f>'Pricing details'!AM139-G34</f>
        <v>0</v>
      </c>
      <c r="H36" s="243">
        <f>'Pricing details'!AN139-H34</f>
        <v>0</v>
      </c>
      <c r="I36" s="243">
        <f>'Pricing details'!AO139-I34</f>
        <v>0</v>
      </c>
      <c r="J36" s="243">
        <f>'Pricing details'!AP139-J34</f>
        <v>0</v>
      </c>
      <c r="K36" s="243">
        <f>'Pricing details'!AQ139-K34</f>
        <v>0</v>
      </c>
      <c r="L36" s="243">
        <f>'Pricing details'!AR139-L34</f>
        <v>0</v>
      </c>
      <c r="M36" s="243">
        <f>'Pricing details'!AS139-M34</f>
        <v>0</v>
      </c>
      <c r="N36" s="217"/>
      <c r="O36" s="217"/>
      <c r="P36" s="217"/>
      <c r="Q36" s="162"/>
      <c r="V36" s="288">
        <f>'Pricing details'!AU122-'cash flow'!V34</f>
        <v>0</v>
      </c>
      <c r="W36" s="288">
        <f>'Pricing details'!AV122-'cash flow'!W34</f>
        <v>0</v>
      </c>
      <c r="X36" s="288">
        <f>'Pricing details'!AW122-'cash flow'!X34</f>
        <v>0</v>
      </c>
      <c r="Y36" s="288">
        <f>'Pricing details'!AX122-'cash flow'!Y34</f>
        <v>0</v>
      </c>
      <c r="Z36" s="288">
        <f>SUM(V36:Y36)</f>
        <v>0</v>
      </c>
    </row>
    <row r="37" spans="1:26" x14ac:dyDescent="0.35">
      <c r="A37" t="s">
        <v>423</v>
      </c>
      <c r="C37" s="164"/>
      <c r="D37" s="164"/>
      <c r="F37" s="216"/>
      <c r="G37" s="229"/>
      <c r="H37" s="229"/>
      <c r="I37" s="229"/>
      <c r="J37" s="229"/>
      <c r="K37" s="229"/>
      <c r="L37" s="229"/>
      <c r="M37" s="229"/>
      <c r="N37" s="217"/>
      <c r="O37" s="217"/>
      <c r="P37" s="217"/>
      <c r="Q37" s="162"/>
      <c r="Z37" s="220"/>
    </row>
    <row r="38" spans="1:26" ht="29" x14ac:dyDescent="0.35">
      <c r="A38" s="228">
        <v>1</v>
      </c>
      <c r="B38" s="219" t="s">
        <v>403</v>
      </c>
      <c r="C38" s="164"/>
      <c r="D38" s="164"/>
      <c r="F38" s="216"/>
      <c r="G38" s="229">
        <f t="shared" ref="G38:L40" si="43">G12-G24</f>
        <v>8126.1111111111095</v>
      </c>
      <c r="H38" s="229">
        <f t="shared" si="43"/>
        <v>-1</v>
      </c>
      <c r="I38" s="229">
        <f t="shared" si="43"/>
        <v>0</v>
      </c>
      <c r="J38" s="229">
        <f t="shared" si="43"/>
        <v>0</v>
      </c>
      <c r="K38" s="229">
        <f t="shared" si="43"/>
        <v>0</v>
      </c>
      <c r="L38" s="229">
        <f t="shared" si="43"/>
        <v>0</v>
      </c>
      <c r="M38" s="229">
        <f>SUM(G38:L38)</f>
        <v>8125.1111111111095</v>
      </c>
      <c r="N38" s="217"/>
      <c r="O38" s="217"/>
      <c r="P38" s="217"/>
      <c r="Q38" s="162"/>
      <c r="V38" s="229">
        <f t="shared" ref="V38:Y38" si="44">V12-V24</f>
        <v>0</v>
      </c>
      <c r="W38" s="229">
        <f t="shared" si="44"/>
        <v>0</v>
      </c>
      <c r="X38" s="229">
        <f t="shared" si="44"/>
        <v>0</v>
      </c>
      <c r="Y38" s="229">
        <f t="shared" si="44"/>
        <v>0</v>
      </c>
      <c r="Z38" s="229">
        <f>SUM(T38:Y38)</f>
        <v>0</v>
      </c>
    </row>
    <row r="39" spans="1:26" ht="29" x14ac:dyDescent="0.35">
      <c r="A39" s="228">
        <v>2</v>
      </c>
      <c r="B39" s="219" t="s">
        <v>404</v>
      </c>
      <c r="C39" s="164"/>
      <c r="D39" s="164"/>
      <c r="F39" s="216"/>
      <c r="G39" s="229">
        <f t="shared" si="43"/>
        <v>32379.807692307688</v>
      </c>
      <c r="H39" s="229">
        <f t="shared" si="43"/>
        <v>0</v>
      </c>
      <c r="I39" s="229">
        <f t="shared" si="43"/>
        <v>0</v>
      </c>
      <c r="J39" s="229">
        <f t="shared" si="43"/>
        <v>0</v>
      </c>
      <c r="K39" s="229">
        <f t="shared" si="43"/>
        <v>0</v>
      </c>
      <c r="L39" s="229">
        <f t="shared" si="43"/>
        <v>0</v>
      </c>
      <c r="M39" s="229">
        <f t="shared" ref="M39:M47" si="45">SUM(G39:L39)</f>
        <v>32379.807692307688</v>
      </c>
      <c r="N39" s="217"/>
      <c r="O39" s="217"/>
      <c r="P39" s="217"/>
      <c r="Q39" s="162"/>
      <c r="V39" s="229">
        <f t="shared" ref="V39:Y39" si="46">V13-V25</f>
        <v>0</v>
      </c>
      <c r="W39" s="229">
        <f t="shared" si="46"/>
        <v>0</v>
      </c>
      <c r="X39" s="229">
        <f t="shared" si="46"/>
        <v>0</v>
      </c>
      <c r="Y39" s="229">
        <f t="shared" si="46"/>
        <v>0</v>
      </c>
      <c r="Z39" s="229">
        <f t="shared" ref="Z39:Z45" si="47">SUM(T39:Y39)</f>
        <v>0</v>
      </c>
    </row>
    <row r="40" spans="1:26" x14ac:dyDescent="0.35">
      <c r="A40" s="228">
        <v>3</v>
      </c>
      <c r="B40" s="228" t="s">
        <v>405</v>
      </c>
      <c r="C40" s="164"/>
      <c r="D40" s="164"/>
      <c r="F40" s="216"/>
      <c r="G40" s="229">
        <f t="shared" si="43"/>
        <v>-1361666.6666666665</v>
      </c>
      <c r="H40" s="229">
        <f t="shared" si="43"/>
        <v>2042500</v>
      </c>
      <c r="I40" s="229">
        <f t="shared" si="43"/>
        <v>0</v>
      </c>
      <c r="J40" s="229">
        <f t="shared" si="43"/>
        <v>0</v>
      </c>
      <c r="K40" s="229">
        <f t="shared" si="43"/>
        <v>0</v>
      </c>
      <c r="L40" s="229">
        <f t="shared" si="43"/>
        <v>0</v>
      </c>
      <c r="M40" s="229">
        <f t="shared" si="45"/>
        <v>680833.33333333349</v>
      </c>
      <c r="N40" s="217"/>
      <c r="O40" s="217"/>
      <c r="P40" s="217"/>
      <c r="Q40" s="162"/>
      <c r="V40" s="229">
        <f t="shared" ref="V40:Y40" si="48">V14-V26</f>
        <v>0</v>
      </c>
      <c r="W40" s="229">
        <f t="shared" si="48"/>
        <v>0</v>
      </c>
      <c r="X40" s="229">
        <f t="shared" si="48"/>
        <v>0</v>
      </c>
      <c r="Y40" s="229">
        <f t="shared" si="48"/>
        <v>0</v>
      </c>
      <c r="Z40" s="229">
        <f t="shared" si="47"/>
        <v>0</v>
      </c>
    </row>
    <row r="41" spans="1:26" ht="43.5" x14ac:dyDescent="0.35">
      <c r="A41" s="228">
        <v>5</v>
      </c>
      <c r="B41" s="219" t="s">
        <v>406</v>
      </c>
      <c r="C41" s="164"/>
      <c r="D41" s="164"/>
      <c r="F41" s="216"/>
      <c r="G41" s="229">
        <f>G15-G28</f>
        <v>0</v>
      </c>
      <c r="H41" s="229"/>
      <c r="I41" s="229"/>
      <c r="J41" s="229"/>
      <c r="K41" s="229"/>
      <c r="L41" s="229"/>
      <c r="M41" s="229">
        <f t="shared" si="45"/>
        <v>0</v>
      </c>
      <c r="N41" s="217"/>
      <c r="O41" s="217"/>
      <c r="P41" s="217"/>
      <c r="Q41" s="162"/>
      <c r="V41" s="229"/>
      <c r="W41" s="229"/>
      <c r="X41" s="229"/>
      <c r="Y41" s="229"/>
      <c r="Z41" s="229">
        <f t="shared" si="47"/>
        <v>0</v>
      </c>
    </row>
    <row r="42" spans="1:26" ht="43.5" x14ac:dyDescent="0.35">
      <c r="A42" s="228">
        <v>6</v>
      </c>
      <c r="B42" s="219" t="s">
        <v>424</v>
      </c>
      <c r="C42" s="164"/>
      <c r="D42" s="164"/>
      <c r="F42" s="216"/>
      <c r="G42" s="229">
        <f t="shared" ref="G42:L43" si="49">G16-G29</f>
        <v>814810</v>
      </c>
      <c r="H42" s="229">
        <f t="shared" si="49"/>
        <v>1147875</v>
      </c>
      <c r="I42" s="229">
        <f t="shared" si="49"/>
        <v>1147875</v>
      </c>
      <c r="J42" s="229">
        <f t="shared" si="49"/>
        <v>1147875</v>
      </c>
      <c r="K42" s="229">
        <f t="shared" si="49"/>
        <v>1147875</v>
      </c>
      <c r="L42" s="229">
        <f t="shared" si="49"/>
        <v>1147875</v>
      </c>
      <c r="M42" s="229">
        <f t="shared" si="45"/>
        <v>6554185</v>
      </c>
      <c r="N42" s="217"/>
      <c r="O42" s="300">
        <f>M42-P119</f>
        <v>0</v>
      </c>
      <c r="P42" s="247"/>
      <c r="Q42" s="287"/>
      <c r="V42" s="229">
        <f t="shared" ref="V42:Y42" si="50">V16-V29</f>
        <v>1117875</v>
      </c>
      <c r="W42" s="229">
        <f t="shared" si="50"/>
        <v>1117875</v>
      </c>
      <c r="X42" s="229">
        <f t="shared" si="50"/>
        <v>1117875</v>
      </c>
      <c r="Y42" s="229">
        <f t="shared" si="50"/>
        <v>1117875</v>
      </c>
      <c r="Z42" s="229">
        <f t="shared" si="47"/>
        <v>4471500</v>
      </c>
    </row>
    <row r="43" spans="1:26" x14ac:dyDescent="0.35">
      <c r="A43" s="228">
        <v>9</v>
      </c>
      <c r="B43" s="228" t="s">
        <v>401</v>
      </c>
      <c r="C43" s="164"/>
      <c r="D43" s="164"/>
      <c r="F43" s="216"/>
      <c r="G43" s="229">
        <f>(G17-G30)+(H17-H30)</f>
        <v>144498.55000000005</v>
      </c>
      <c r="H43" s="229"/>
      <c r="I43" s="229">
        <f t="shared" si="49"/>
        <v>0</v>
      </c>
      <c r="J43" s="229">
        <f t="shared" si="49"/>
        <v>0</v>
      </c>
      <c r="K43" s="229">
        <f t="shared" si="49"/>
        <v>0</v>
      </c>
      <c r="L43" s="229">
        <f t="shared" si="49"/>
        <v>0</v>
      </c>
      <c r="M43" s="229">
        <f t="shared" si="45"/>
        <v>144498.55000000005</v>
      </c>
      <c r="N43" s="217"/>
      <c r="O43" s="217"/>
      <c r="P43" s="217"/>
      <c r="Q43" s="162"/>
      <c r="V43" s="229">
        <f t="shared" ref="V43:Y43" si="51">V17-V30</f>
        <v>0</v>
      </c>
      <c r="W43" s="229">
        <f t="shared" si="51"/>
        <v>0</v>
      </c>
      <c r="X43" s="229">
        <f t="shared" si="51"/>
        <v>0</v>
      </c>
      <c r="Y43" s="229">
        <f t="shared" si="51"/>
        <v>0</v>
      </c>
      <c r="Z43" s="229">
        <f t="shared" si="47"/>
        <v>0</v>
      </c>
    </row>
    <row r="44" spans="1:26" x14ac:dyDescent="0.35">
      <c r="A44" s="228">
        <v>10</v>
      </c>
      <c r="B44" s="228" t="s">
        <v>399</v>
      </c>
      <c r="C44" s="164"/>
      <c r="D44" s="164"/>
      <c r="F44" s="216"/>
      <c r="G44" s="229">
        <f>G18-G31</f>
        <v>0</v>
      </c>
      <c r="H44" s="229"/>
      <c r="I44" s="229"/>
      <c r="J44" s="229"/>
      <c r="K44" s="229"/>
      <c r="L44" s="229"/>
      <c r="M44" s="229">
        <f t="shared" ref="M44" si="52">SUM(G44:L44)</f>
        <v>0</v>
      </c>
      <c r="N44" s="217"/>
      <c r="O44" s="217"/>
      <c r="P44" s="217"/>
      <c r="Q44" s="162"/>
      <c r="V44" s="229"/>
      <c r="W44" s="229"/>
      <c r="X44" s="229"/>
      <c r="Y44" s="229"/>
      <c r="Z44" s="229">
        <f t="shared" si="47"/>
        <v>0</v>
      </c>
    </row>
    <row r="45" spans="1:26" x14ac:dyDescent="0.35">
      <c r="A45" s="228">
        <v>11</v>
      </c>
      <c r="B45" s="228" t="s">
        <v>399</v>
      </c>
      <c r="C45" s="164"/>
      <c r="D45" s="164"/>
      <c r="F45" s="216"/>
      <c r="G45" s="229">
        <f>G19-G32</f>
        <v>597181.75023560598</v>
      </c>
      <c r="H45" s="229">
        <f>H19-H32</f>
        <v>1026824.6219788529</v>
      </c>
      <c r="I45" s="229">
        <f>I19-I32</f>
        <v>1013071.8992842622</v>
      </c>
      <c r="J45" s="229">
        <f>J19-J32</f>
        <v>1035067.0691840313</v>
      </c>
      <c r="K45" s="229">
        <f>K19-K32</f>
        <v>1059949.5530520789</v>
      </c>
      <c r="L45" s="229">
        <f>L19-L32</f>
        <v>1070084.6441554986</v>
      </c>
      <c r="M45" s="229">
        <f t="shared" si="45"/>
        <v>5802179.53789033</v>
      </c>
      <c r="N45" s="217"/>
      <c r="O45" s="217"/>
      <c r="P45" s="217"/>
      <c r="Q45" s="162"/>
      <c r="V45" s="229">
        <f>V19-V32</f>
        <v>1111359.566336628</v>
      </c>
      <c r="W45" s="229">
        <f>W19-W32</f>
        <v>1092751.7061045654</v>
      </c>
      <c r="X45" s="229">
        <f>X19-X32</f>
        <v>1103193.9006035142</v>
      </c>
      <c r="Y45" s="229">
        <f>Y19-Y32</f>
        <v>1137747.6199647523</v>
      </c>
      <c r="Z45" s="229">
        <f t="shared" si="47"/>
        <v>4445052.79300946</v>
      </c>
    </row>
    <row r="46" spans="1:26" x14ac:dyDescent="0.35">
      <c r="C46" s="164"/>
      <c r="D46" s="164"/>
      <c r="F46" s="216"/>
      <c r="G46" s="229"/>
      <c r="H46" s="229"/>
      <c r="I46" s="229"/>
      <c r="J46" s="229"/>
      <c r="K46" s="229"/>
      <c r="L46" s="229"/>
      <c r="M46" s="229"/>
      <c r="N46" s="217"/>
      <c r="O46" s="217"/>
      <c r="P46" s="217"/>
      <c r="Q46" s="162"/>
      <c r="V46" s="229"/>
      <c r="W46" s="229"/>
      <c r="X46" s="229"/>
      <c r="Y46" s="229"/>
      <c r="Z46" s="229"/>
    </row>
    <row r="47" spans="1:26" x14ac:dyDescent="0.35">
      <c r="B47" s="228" t="s">
        <v>317</v>
      </c>
      <c r="C47" s="164"/>
      <c r="D47" s="164"/>
      <c r="F47" s="216"/>
      <c r="G47" s="229">
        <f>SUM(G38:G45)</f>
        <v>235329.55237235827</v>
      </c>
      <c r="H47" s="229">
        <f t="shared" ref="H47:L47" si="53">SUM(H38:H45)</f>
        <v>4217198.6219788529</v>
      </c>
      <c r="I47" s="229">
        <f t="shared" si="53"/>
        <v>2160946.8992842622</v>
      </c>
      <c r="J47" s="229">
        <f t="shared" si="53"/>
        <v>2182942.0691840313</v>
      </c>
      <c r="K47" s="229">
        <f t="shared" si="53"/>
        <v>2207824.5530520789</v>
      </c>
      <c r="L47" s="229">
        <f t="shared" si="53"/>
        <v>2217959.6441554986</v>
      </c>
      <c r="M47" s="229">
        <f t="shared" si="45"/>
        <v>13222201.340027083</v>
      </c>
      <c r="N47" s="217"/>
      <c r="O47" s="217"/>
      <c r="P47" s="217"/>
      <c r="Q47" s="162"/>
      <c r="V47" s="229">
        <f t="shared" ref="V47:Y47" si="54">SUM(V38:V45)</f>
        <v>2229234.566336628</v>
      </c>
      <c r="W47" s="229">
        <f t="shared" si="54"/>
        <v>2210626.7061045654</v>
      </c>
      <c r="X47" s="229">
        <f t="shared" si="54"/>
        <v>2221068.9006035142</v>
      </c>
      <c r="Y47" s="229">
        <f t="shared" si="54"/>
        <v>2255622.6199647523</v>
      </c>
      <c r="Z47" s="229">
        <f t="shared" ref="Z47" si="55">SUM(T47:Y47)</f>
        <v>8916552.79300946</v>
      </c>
    </row>
    <row r="48" spans="1:26" x14ac:dyDescent="0.35">
      <c r="B48" s="228" t="s">
        <v>422</v>
      </c>
      <c r="C48" s="164"/>
      <c r="D48" s="164"/>
      <c r="F48" s="216"/>
      <c r="G48" s="229">
        <f>G47</f>
        <v>235329.55237235827</v>
      </c>
      <c r="H48" s="229">
        <f>G48+H47</f>
        <v>4452528.1743512116</v>
      </c>
      <c r="I48" s="229">
        <f t="shared" ref="I48:L48" si="56">H48+I47</f>
        <v>6613475.0736354738</v>
      </c>
      <c r="J48" s="229">
        <f t="shared" si="56"/>
        <v>8796417.1428195052</v>
      </c>
      <c r="K48" s="229">
        <f t="shared" si="56"/>
        <v>11004241.695871584</v>
      </c>
      <c r="L48" s="229">
        <f t="shared" si="56"/>
        <v>13222201.340027083</v>
      </c>
      <c r="M48" s="229"/>
      <c r="N48" s="217"/>
      <c r="O48" s="217"/>
      <c r="P48" s="217"/>
      <c r="Q48" s="162"/>
      <c r="V48" s="229">
        <f t="shared" ref="V48" si="57">U48+V47</f>
        <v>2229234.566336628</v>
      </c>
      <c r="W48" s="229">
        <f t="shared" ref="W48" si="58">V48+W47</f>
        <v>4439861.2724411935</v>
      </c>
      <c r="X48" s="229">
        <f t="shared" ref="X48" si="59">W48+X47</f>
        <v>6660930.1730447076</v>
      </c>
      <c r="Y48" s="229">
        <f t="shared" ref="Y48" si="60">X48+Y47</f>
        <v>8916552.79300946</v>
      </c>
      <c r="Z48" s="229"/>
    </row>
    <row r="49" spans="1:26" x14ac:dyDescent="0.35">
      <c r="B49" s="228"/>
      <c r="C49" s="164"/>
      <c r="D49" s="164"/>
      <c r="F49" s="216"/>
      <c r="G49" s="229"/>
      <c r="H49" s="229"/>
      <c r="I49" s="229"/>
      <c r="J49" s="229"/>
      <c r="K49" s="229"/>
      <c r="L49" s="244" t="s">
        <v>428</v>
      </c>
      <c r="M49" s="246">
        <f>M47/M34</f>
        <v>7.945397046950399E-2</v>
      </c>
      <c r="N49" s="217"/>
      <c r="O49" s="217"/>
      <c r="P49" s="217"/>
      <c r="Q49" s="162"/>
      <c r="V49" s="229"/>
      <c r="W49" s="229"/>
      <c r="X49" s="229"/>
      <c r="Y49" s="244" t="s">
        <v>428</v>
      </c>
      <c r="Z49" s="246">
        <f>Z47/Z34</f>
        <v>7.5992726840486829E-2</v>
      </c>
    </row>
    <row r="50" spans="1:26" x14ac:dyDescent="0.35">
      <c r="C50" s="164"/>
      <c r="D50" s="164"/>
      <c r="F50" s="216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162"/>
    </row>
    <row r="51" spans="1:26" x14ac:dyDescent="0.35">
      <c r="A51" s="233"/>
      <c r="B51" s="233"/>
      <c r="C51" s="234"/>
      <c r="D51" s="234"/>
      <c r="E51" s="233"/>
      <c r="F51" s="235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162"/>
    </row>
    <row r="52" spans="1:26" s="162" customFormat="1" x14ac:dyDescent="0.35">
      <c r="A52" s="162" t="s">
        <v>239</v>
      </c>
      <c r="C52" s="230"/>
      <c r="D52" s="230"/>
      <c r="F52" s="231"/>
      <c r="G52" s="232"/>
      <c r="H52" s="232"/>
      <c r="I52" s="232"/>
      <c r="J52" s="232"/>
      <c r="K52" s="232"/>
      <c r="L52" s="232"/>
      <c r="M52" s="232"/>
      <c r="N52" s="232"/>
      <c r="O52" s="232"/>
      <c r="P52" s="232"/>
    </row>
    <row r="53" spans="1:26" x14ac:dyDescent="0.35">
      <c r="A53" t="s">
        <v>402</v>
      </c>
      <c r="C53" s="164"/>
      <c r="D53" s="164"/>
      <c r="F53" s="216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162"/>
    </row>
    <row r="54" spans="1:26" ht="27.75" customHeight="1" x14ac:dyDescent="0.35">
      <c r="A54">
        <v>1</v>
      </c>
      <c r="B54" s="218" t="s">
        <v>403</v>
      </c>
      <c r="F54" s="216"/>
      <c r="G54" s="161">
        <f>O90</f>
        <v>81251.111111111124</v>
      </c>
      <c r="H54" s="217"/>
      <c r="I54" s="217"/>
      <c r="J54" s="217"/>
      <c r="K54" s="217"/>
      <c r="L54" s="217"/>
      <c r="M54" s="229">
        <f>SUM(G54:L54)</f>
        <v>81251.111111111124</v>
      </c>
      <c r="N54" s="217"/>
      <c r="O54" s="217"/>
      <c r="P54" s="217"/>
      <c r="Q54" s="162"/>
    </row>
    <row r="55" spans="1:26" x14ac:dyDescent="0.35">
      <c r="B55" s="218"/>
      <c r="F55" s="216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162"/>
    </row>
    <row r="56" spans="1:26" x14ac:dyDescent="0.35">
      <c r="B56" s="218"/>
      <c r="F56" s="216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162"/>
    </row>
    <row r="57" spans="1:26" ht="29" x14ac:dyDescent="0.35">
      <c r="A57">
        <v>2</v>
      </c>
      <c r="B57" s="218" t="s">
        <v>404</v>
      </c>
      <c r="F57" s="216"/>
      <c r="G57" s="161">
        <f>O98</f>
        <v>323798.07692307694</v>
      </c>
      <c r="H57" s="217"/>
      <c r="I57" s="217"/>
      <c r="J57" s="217"/>
      <c r="K57" s="217"/>
      <c r="L57" s="217"/>
      <c r="M57" s="229">
        <f>SUM(G57:L57)</f>
        <v>323798.07692307694</v>
      </c>
      <c r="N57" s="217"/>
      <c r="O57" s="217"/>
      <c r="P57" s="217"/>
      <c r="Q57" s="162"/>
    </row>
    <row r="58" spans="1:26" x14ac:dyDescent="0.35">
      <c r="F58" s="216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162"/>
    </row>
    <row r="59" spans="1:26" x14ac:dyDescent="0.35">
      <c r="F59" s="216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162"/>
    </row>
    <row r="60" spans="1:26" x14ac:dyDescent="0.35">
      <c r="A60">
        <v>3</v>
      </c>
      <c r="B60" t="s">
        <v>405</v>
      </c>
      <c r="C60" t="s">
        <v>400</v>
      </c>
      <c r="Q60" s="162"/>
    </row>
    <row r="61" spans="1:26" x14ac:dyDescent="0.35">
      <c r="C61" t="s">
        <v>239</v>
      </c>
      <c r="G61" s="161">
        <f>O103*0.25</f>
        <v>680833.33333333337</v>
      </c>
      <c r="H61" s="161">
        <f>O103*0.75</f>
        <v>2042500</v>
      </c>
      <c r="M61" s="229">
        <f>SUM(G61:L61)</f>
        <v>2723333.3333333335</v>
      </c>
      <c r="Q61" s="162"/>
    </row>
    <row r="62" spans="1:26" x14ac:dyDescent="0.35">
      <c r="Q62" s="162"/>
    </row>
    <row r="63" spans="1:26" ht="43.5" x14ac:dyDescent="0.35">
      <c r="A63">
        <v>5</v>
      </c>
      <c r="B63" s="219" t="s">
        <v>406</v>
      </c>
      <c r="C63" t="s">
        <v>240</v>
      </c>
      <c r="F63" s="161"/>
      <c r="H63" s="161"/>
      <c r="I63" s="161"/>
      <c r="J63" s="161"/>
      <c r="K63" s="161"/>
      <c r="L63" s="161"/>
      <c r="M63" s="160"/>
      <c r="N63" s="160"/>
      <c r="O63" s="225"/>
      <c r="P63" s="161"/>
      <c r="Q63" s="162"/>
    </row>
    <row r="64" spans="1:26" x14ac:dyDescent="0.35">
      <c r="B64" s="219"/>
      <c r="C64" t="s">
        <v>419</v>
      </c>
      <c r="F64" s="161"/>
      <c r="G64" s="215"/>
      <c r="H64" s="161"/>
      <c r="I64" s="161"/>
      <c r="J64" s="161"/>
      <c r="K64" s="161"/>
      <c r="L64" s="161"/>
      <c r="M64" s="160"/>
      <c r="N64" s="160"/>
      <c r="O64" s="225"/>
      <c r="P64" s="161"/>
      <c r="Q64" s="162"/>
    </row>
    <row r="65" spans="1:27" x14ac:dyDescent="0.35">
      <c r="B65" s="219"/>
      <c r="C65" s="129" t="s">
        <v>420</v>
      </c>
      <c r="D65" s="129"/>
      <c r="E65" s="129"/>
      <c r="F65" s="226"/>
      <c r="G65" s="222"/>
      <c r="H65" s="161"/>
      <c r="I65" s="161"/>
      <c r="J65" s="161"/>
      <c r="K65" s="161"/>
      <c r="L65" s="161"/>
      <c r="M65" s="160"/>
      <c r="N65" s="160"/>
      <c r="O65" s="225"/>
      <c r="P65" s="161"/>
      <c r="Q65" s="162"/>
    </row>
    <row r="66" spans="1:27" x14ac:dyDescent="0.35">
      <c r="B66" s="219"/>
      <c r="E66" t="s">
        <v>214</v>
      </c>
      <c r="F66" s="161"/>
      <c r="G66" s="161"/>
      <c r="H66" s="161"/>
      <c r="I66" s="161"/>
      <c r="J66" s="161"/>
      <c r="K66" s="161"/>
      <c r="L66" s="161"/>
      <c r="M66" s="160">
        <f>SUM(G66:L66)</f>
        <v>0</v>
      </c>
      <c r="N66" s="160"/>
      <c r="O66" s="225"/>
      <c r="P66" s="161"/>
      <c r="Q66" s="162"/>
    </row>
    <row r="67" spans="1:27" x14ac:dyDescent="0.35">
      <c r="F67" s="161"/>
      <c r="G67" s="161"/>
      <c r="H67" s="161"/>
      <c r="I67" s="161"/>
      <c r="J67" s="161"/>
      <c r="K67" s="161"/>
      <c r="L67" s="161"/>
      <c r="M67" s="160"/>
      <c r="N67" s="160"/>
      <c r="O67" s="225"/>
      <c r="P67" s="161"/>
      <c r="Q67" s="162"/>
    </row>
    <row r="68" spans="1:27" x14ac:dyDescent="0.35">
      <c r="F68" s="161"/>
      <c r="G68" s="161"/>
      <c r="H68" s="161"/>
      <c r="I68" s="161"/>
      <c r="J68" s="161"/>
      <c r="K68" s="161"/>
      <c r="L68" s="161"/>
      <c r="M68" s="160"/>
      <c r="N68" s="160"/>
      <c r="O68" s="225"/>
      <c r="P68" s="161"/>
      <c r="Q68" s="162"/>
    </row>
    <row r="69" spans="1:27" ht="43.5" x14ac:dyDescent="0.35">
      <c r="A69">
        <v>6</v>
      </c>
      <c r="B69" s="219" t="s">
        <v>424</v>
      </c>
      <c r="C69" s="129" t="s">
        <v>420</v>
      </c>
      <c r="F69" s="161"/>
      <c r="G69">
        <f>Assumpt!D65</f>
        <v>205000</v>
      </c>
      <c r="H69">
        <f>Assumpt!E65</f>
        <v>255000</v>
      </c>
      <c r="I69">
        <f>Assumpt!F65</f>
        <v>255000</v>
      </c>
      <c r="J69">
        <f>Assumpt!G65</f>
        <v>255000</v>
      </c>
      <c r="K69">
        <f>Assumpt!H65</f>
        <v>255000</v>
      </c>
      <c r="L69">
        <f>Assumpt!I65</f>
        <v>255000</v>
      </c>
      <c r="M69" s="160"/>
      <c r="N69" s="160"/>
      <c r="O69" s="225"/>
      <c r="Q69" s="162"/>
      <c r="V69">
        <f>Assumpt!J65</f>
        <v>255000</v>
      </c>
      <c r="W69">
        <f>Assumpt!K65</f>
        <v>255000</v>
      </c>
      <c r="X69">
        <f>Assumpt!L65</f>
        <v>255000</v>
      </c>
      <c r="Y69">
        <f>Assumpt!M65</f>
        <v>255000</v>
      </c>
      <c r="AA69" s="160"/>
    </row>
    <row r="70" spans="1:27" x14ac:dyDescent="0.35">
      <c r="B70" s="219"/>
      <c r="C70" t="s">
        <v>419</v>
      </c>
      <c r="F70" s="161"/>
      <c r="G70" s="215">
        <f t="shared" ref="G70:L70" si="61">$O$121</f>
        <v>1.0662537537537538</v>
      </c>
      <c r="H70" s="215">
        <f t="shared" si="61"/>
        <v>1.0662537537537538</v>
      </c>
      <c r="I70" s="215">
        <f t="shared" si="61"/>
        <v>1.0662537537537538</v>
      </c>
      <c r="J70" s="215">
        <f t="shared" si="61"/>
        <v>1.0662537537537538</v>
      </c>
      <c r="K70" s="215">
        <f t="shared" si="61"/>
        <v>1.0662537537537538</v>
      </c>
      <c r="L70" s="215">
        <f t="shared" si="61"/>
        <v>1.0662537537537538</v>
      </c>
      <c r="M70" s="160"/>
      <c r="N70" s="160"/>
      <c r="O70" s="225"/>
      <c r="Q70" s="162"/>
      <c r="V70" s="215">
        <f>$AB$121</f>
        <v>1.4767052119993296</v>
      </c>
      <c r="W70" s="215">
        <f t="shared" ref="W70:Y70" si="62">$AB$121</f>
        <v>1.4767052119993296</v>
      </c>
      <c r="X70" s="215">
        <f t="shared" si="62"/>
        <v>1.4767052119993296</v>
      </c>
      <c r="Y70" s="215">
        <f t="shared" si="62"/>
        <v>1.4767052119993296</v>
      </c>
      <c r="Z70" s="215"/>
      <c r="AA70" s="160"/>
    </row>
    <row r="71" spans="1:27" x14ac:dyDescent="0.35">
      <c r="C71" s="129" t="s">
        <v>420</v>
      </c>
      <c r="D71" s="129"/>
      <c r="E71" s="129"/>
      <c r="F71" s="226"/>
      <c r="G71" s="223">
        <f>G120</f>
        <v>3.9746829268292685</v>
      </c>
      <c r="H71" s="223">
        <f t="shared" ref="H71:L71" si="63">H120</f>
        <v>5.0294117647058822</v>
      </c>
      <c r="I71" s="223">
        <f t="shared" si="63"/>
        <v>5.0294117647058822</v>
      </c>
      <c r="J71" s="223">
        <f t="shared" si="63"/>
        <v>5.0294117647058822</v>
      </c>
      <c r="K71" s="223">
        <f t="shared" si="63"/>
        <v>5.0294117647058822</v>
      </c>
      <c r="L71" s="223">
        <f t="shared" si="63"/>
        <v>5.0294117647058822</v>
      </c>
      <c r="M71" s="160"/>
      <c r="N71" s="160"/>
      <c r="O71" s="225"/>
      <c r="Q71" s="162"/>
      <c r="V71" s="223">
        <f>V120</f>
        <v>5.0294117647058822</v>
      </c>
      <c r="W71" s="223">
        <f t="shared" ref="W71:Y71" si="64">W120</f>
        <v>5.0294117647058822</v>
      </c>
      <c r="X71" s="223">
        <f t="shared" si="64"/>
        <v>5.0294117647058822</v>
      </c>
      <c r="Y71" s="223">
        <f t="shared" si="64"/>
        <v>5.0294117647058822</v>
      </c>
      <c r="Z71" s="223"/>
      <c r="AA71" s="160"/>
    </row>
    <row r="72" spans="1:27" x14ac:dyDescent="0.35">
      <c r="E72" t="s">
        <v>317</v>
      </c>
      <c r="F72" s="161"/>
      <c r="G72" s="161">
        <f t="shared" ref="G72:L72" si="65">G69*G71</f>
        <v>814810</v>
      </c>
      <c r="H72" s="161">
        <f t="shared" si="65"/>
        <v>1282500</v>
      </c>
      <c r="I72" s="161">
        <f t="shared" si="65"/>
        <v>1282500</v>
      </c>
      <c r="J72" s="161">
        <f t="shared" si="65"/>
        <v>1282500</v>
      </c>
      <c r="K72" s="161">
        <f t="shared" si="65"/>
        <v>1282500</v>
      </c>
      <c r="L72" s="161">
        <f t="shared" si="65"/>
        <v>1282500</v>
      </c>
      <c r="M72" s="160">
        <f>SUM(F72:L72)</f>
        <v>7227310</v>
      </c>
      <c r="N72" s="160"/>
      <c r="O72" s="227"/>
      <c r="Q72" s="162"/>
      <c r="V72" s="161">
        <f t="shared" ref="V72:Y72" si="66">V69*V71</f>
        <v>1282500</v>
      </c>
      <c r="W72" s="161">
        <f t="shared" si="66"/>
        <v>1282500</v>
      </c>
      <c r="X72" s="161">
        <f t="shared" si="66"/>
        <v>1282500</v>
      </c>
      <c r="Y72" s="161">
        <f t="shared" si="66"/>
        <v>1282500</v>
      </c>
      <c r="Z72" s="161">
        <f>SUM(V72:Y72)</f>
        <v>5130000</v>
      </c>
      <c r="AA72" s="160"/>
    </row>
    <row r="73" spans="1:27" x14ac:dyDescent="0.35">
      <c r="Q73" s="162"/>
    </row>
    <row r="74" spans="1:27" x14ac:dyDescent="0.35">
      <c r="Q74" s="162"/>
    </row>
    <row r="75" spans="1:27" x14ac:dyDescent="0.35">
      <c r="Q75" s="162"/>
    </row>
    <row r="76" spans="1:27" x14ac:dyDescent="0.35">
      <c r="A76">
        <v>9</v>
      </c>
      <c r="B76" t="s">
        <v>401</v>
      </c>
      <c r="G76" s="161">
        <f>O128</f>
        <v>1444985.5</v>
      </c>
      <c r="H76" s="161"/>
      <c r="I76" s="161"/>
      <c r="J76" s="161"/>
      <c r="K76" s="161"/>
      <c r="L76" s="161"/>
      <c r="M76" s="160">
        <f>SUM(F76:L76)</f>
        <v>1444985.5</v>
      </c>
      <c r="Q76" s="162"/>
    </row>
    <row r="77" spans="1:27" x14ac:dyDescent="0.35">
      <c r="Q77" s="162"/>
    </row>
    <row r="78" spans="1:27" x14ac:dyDescent="0.35">
      <c r="Q78" s="162"/>
    </row>
    <row r="79" spans="1:27" x14ac:dyDescent="0.35">
      <c r="A79">
        <v>10</v>
      </c>
      <c r="B79" t="s">
        <v>399</v>
      </c>
      <c r="C79" t="s">
        <v>240</v>
      </c>
      <c r="G79" s="160"/>
      <c r="H79" s="160">
        <f>Assumpt!E57</f>
        <v>0</v>
      </c>
      <c r="I79" s="160">
        <f>Assumpt!F57</f>
        <v>0</v>
      </c>
      <c r="J79" s="160">
        <f>Assumpt!G57</f>
        <v>0</v>
      </c>
      <c r="K79" s="160">
        <f>Assumpt!H57</f>
        <v>0</v>
      </c>
      <c r="L79" s="160">
        <f>Assumpt!I57</f>
        <v>0</v>
      </c>
      <c r="M79" s="160"/>
      <c r="N79" s="160"/>
      <c r="O79" s="225"/>
      <c r="P79" s="225"/>
      <c r="Q79" s="162"/>
    </row>
    <row r="80" spans="1:27" ht="29" x14ac:dyDescent="0.35">
      <c r="C80" s="218" t="s">
        <v>410</v>
      </c>
      <c r="G80" s="164"/>
      <c r="H80" s="156"/>
      <c r="I80" s="156"/>
      <c r="J80" s="156"/>
      <c r="K80" s="156"/>
      <c r="L80" s="156"/>
      <c r="M80" s="160"/>
      <c r="N80" s="160"/>
      <c r="O80" s="225"/>
      <c r="P80" s="160"/>
      <c r="Q80" s="162"/>
    </row>
    <row r="81" spans="1:30" x14ac:dyDescent="0.35">
      <c r="C81" s="129" t="s">
        <v>300</v>
      </c>
      <c r="F81" s="161"/>
      <c r="G81" s="290">
        <f>G80</f>
        <v>0</v>
      </c>
      <c r="H81" s="223">
        <f t="shared" ref="H81:L81" si="67">H80</f>
        <v>0</v>
      </c>
      <c r="I81" s="223">
        <f t="shared" si="67"/>
        <v>0</v>
      </c>
      <c r="J81" s="223">
        <f t="shared" si="67"/>
        <v>0</v>
      </c>
      <c r="K81" s="223">
        <f t="shared" si="67"/>
        <v>0</v>
      </c>
      <c r="L81" s="223">
        <f t="shared" si="67"/>
        <v>0</v>
      </c>
      <c r="M81" s="160"/>
      <c r="N81" s="160"/>
      <c r="O81" s="225"/>
      <c r="Q81" s="162"/>
    </row>
    <row r="82" spans="1:30" x14ac:dyDescent="0.35">
      <c r="C82" t="s">
        <v>241</v>
      </c>
      <c r="F82" s="161"/>
      <c r="G82" s="161">
        <f>G79*G81</f>
        <v>0</v>
      </c>
      <c r="H82" s="161">
        <f t="shared" ref="H82:L82" si="68">H79*H81</f>
        <v>0</v>
      </c>
      <c r="I82" s="161">
        <f t="shared" si="68"/>
        <v>0</v>
      </c>
      <c r="J82" s="161">
        <f t="shared" si="68"/>
        <v>0</v>
      </c>
      <c r="K82" s="161">
        <f t="shared" si="68"/>
        <v>0</v>
      </c>
      <c r="L82" s="161">
        <f t="shared" si="68"/>
        <v>0</v>
      </c>
      <c r="M82" s="160">
        <f>SUM(F82:L82)</f>
        <v>0</v>
      </c>
      <c r="N82" s="160"/>
      <c r="O82" s="225" t="str">
        <f>O137</f>
        <v>with profit</v>
      </c>
      <c r="P82" s="161"/>
      <c r="Q82" s="162"/>
    </row>
    <row r="83" spans="1:30" x14ac:dyDescent="0.35">
      <c r="A83">
        <v>11</v>
      </c>
      <c r="B83" t="s">
        <v>399</v>
      </c>
      <c r="C83" t="s">
        <v>240</v>
      </c>
      <c r="G83" s="160">
        <f>Assumpt!D61</f>
        <v>1425000</v>
      </c>
      <c r="H83" s="160">
        <f>Assumpt!E61</f>
        <v>1900000</v>
      </c>
      <c r="I83" s="160">
        <f>Assumpt!F61</f>
        <v>1900000</v>
      </c>
      <c r="J83" s="160">
        <f>Assumpt!G61</f>
        <v>1900000</v>
      </c>
      <c r="K83" s="160">
        <f>Assumpt!H61</f>
        <v>1900000</v>
      </c>
      <c r="L83" s="160">
        <f>Assumpt!I61</f>
        <v>1900000</v>
      </c>
      <c r="M83" s="160"/>
      <c r="N83" s="160"/>
      <c r="O83" s="225"/>
      <c r="P83" s="225"/>
      <c r="Q83" s="162"/>
      <c r="V83" s="160">
        <f>Assumpt!J61</f>
        <v>1900000</v>
      </c>
      <c r="W83" s="160">
        <f>Assumpt!K61</f>
        <v>1900000</v>
      </c>
      <c r="X83" s="160">
        <f>Assumpt!L61</f>
        <v>1900000</v>
      </c>
      <c r="Y83" s="160">
        <f>Assumpt!M61</f>
        <v>1900000</v>
      </c>
      <c r="Z83" s="160"/>
      <c r="AA83" s="160"/>
      <c r="AB83" s="160"/>
      <c r="AC83" s="160"/>
      <c r="AD83" s="225"/>
    </row>
    <row r="84" spans="1:30" ht="29" x14ac:dyDescent="0.35">
      <c r="C84" s="218" t="s">
        <v>410</v>
      </c>
      <c r="G84" s="164">
        <f t="shared" ref="G84:L84" si="69">$O$143</f>
        <v>15.820125639015581</v>
      </c>
      <c r="H84" s="164">
        <f t="shared" si="69"/>
        <v>15.820125639015581</v>
      </c>
      <c r="I84" s="164">
        <f t="shared" si="69"/>
        <v>15.820125639015581</v>
      </c>
      <c r="J84" s="164">
        <f t="shared" si="69"/>
        <v>15.820125639015581</v>
      </c>
      <c r="K84" s="164">
        <f t="shared" si="69"/>
        <v>15.820125639015581</v>
      </c>
      <c r="L84" s="164">
        <f t="shared" si="69"/>
        <v>15.820125639015581</v>
      </c>
      <c r="M84" s="160"/>
      <c r="N84" s="160"/>
      <c r="O84" s="225"/>
      <c r="P84" s="160"/>
      <c r="Q84" s="162"/>
      <c r="V84" s="164">
        <f>$AB$143</f>
        <v>0</v>
      </c>
      <c r="W84" s="164">
        <f t="shared" ref="W84:Y84" si="70">$AB$143</f>
        <v>0</v>
      </c>
      <c r="X84" s="164">
        <f t="shared" si="70"/>
        <v>0</v>
      </c>
      <c r="Y84" s="164">
        <f t="shared" si="70"/>
        <v>0</v>
      </c>
      <c r="Z84" s="156"/>
      <c r="AA84" s="156"/>
      <c r="AB84" s="160"/>
      <c r="AC84" s="160"/>
      <c r="AD84" s="225"/>
    </row>
    <row r="85" spans="1:30" x14ac:dyDescent="0.35">
      <c r="C85" s="129" t="s">
        <v>300</v>
      </c>
      <c r="F85" s="161"/>
      <c r="G85" s="290">
        <f>G148</f>
        <v>15.477128423698037</v>
      </c>
      <c r="H85" s="290">
        <f t="shared" ref="H85:L85" si="71">H148</f>
        <v>15.225891553506141</v>
      </c>
      <c r="I85" s="290">
        <f t="shared" si="71"/>
        <v>15.110079151867458</v>
      </c>
      <c r="J85" s="290">
        <f t="shared" si="71"/>
        <v>15.295301635233926</v>
      </c>
      <c r="K85" s="290">
        <f t="shared" si="71"/>
        <v>15.504838341491162</v>
      </c>
      <c r="L85" s="290">
        <f t="shared" si="71"/>
        <v>15.59018647709895</v>
      </c>
      <c r="M85" s="160"/>
      <c r="N85" s="160"/>
      <c r="O85" s="225"/>
      <c r="Q85" s="162"/>
      <c r="V85" s="290">
        <f t="shared" ref="V85:Y85" si="72">V148</f>
        <v>15.937764769150537</v>
      </c>
      <c r="W85" s="290">
        <f t="shared" si="72"/>
        <v>15.781066998775268</v>
      </c>
      <c r="X85" s="290">
        <f t="shared" si="72"/>
        <v>15.869001268240108</v>
      </c>
      <c r="Y85" s="290">
        <f t="shared" si="72"/>
        <v>16.159979957597912</v>
      </c>
      <c r="Z85" s="223"/>
      <c r="AA85" s="223"/>
      <c r="AB85" s="160"/>
      <c r="AC85" s="160"/>
      <c r="AD85" s="225"/>
    </row>
    <row r="86" spans="1:30" x14ac:dyDescent="0.35">
      <c r="C86" t="s">
        <v>241</v>
      </c>
      <c r="F86" s="161"/>
      <c r="G86" s="161">
        <f t="shared" ref="G86" si="73">G83*G85</f>
        <v>22054908.003769703</v>
      </c>
      <c r="H86" s="161">
        <f t="shared" ref="H86:L86" si="74">H83*H85</f>
        <v>28929193.951661669</v>
      </c>
      <c r="I86" s="161">
        <f t="shared" si="74"/>
        <v>28709150.388548169</v>
      </c>
      <c r="J86" s="161">
        <f t="shared" si="74"/>
        <v>29061073.10694446</v>
      </c>
      <c r="K86" s="161">
        <f t="shared" si="74"/>
        <v>29459192.848833207</v>
      </c>
      <c r="L86" s="161">
        <f t="shared" si="74"/>
        <v>29621354.306488004</v>
      </c>
      <c r="M86" s="160">
        <f>SUM(F86:L86)</f>
        <v>167834872.60624522</v>
      </c>
      <c r="N86" s="160"/>
      <c r="O86" s="225">
        <f>O141</f>
        <v>172834872.60624522</v>
      </c>
      <c r="P86" s="161"/>
      <c r="Q86" s="162"/>
      <c r="V86" s="161">
        <f>V83*V85</f>
        <v>30281753.061386019</v>
      </c>
      <c r="W86" s="161">
        <f t="shared" ref="W86:Y86" si="75">W83*W85</f>
        <v>29984027.297673009</v>
      </c>
      <c r="X86" s="161">
        <f t="shared" si="75"/>
        <v>30151102.409656204</v>
      </c>
      <c r="Y86" s="161">
        <f t="shared" si="75"/>
        <v>30703961.919436034</v>
      </c>
      <c r="Z86" s="161">
        <f>SUM(V86:Y86)</f>
        <v>121120844.68815127</v>
      </c>
      <c r="AA86" s="161"/>
      <c r="AB86" s="160"/>
      <c r="AC86" s="160"/>
      <c r="AD86" s="225">
        <f>AD141</f>
        <v>0</v>
      </c>
    </row>
    <row r="87" spans="1:30" x14ac:dyDescent="0.35">
      <c r="M87" s="161">
        <f>SUM(M54:M86)</f>
        <v>179635550.62761274</v>
      </c>
      <c r="Q87" s="162"/>
    </row>
    <row r="88" spans="1:30" x14ac:dyDescent="0.35">
      <c r="B88" s="220"/>
      <c r="C88" s="156"/>
      <c r="D88" s="156"/>
      <c r="E88" s="156"/>
      <c r="G88" s="215">
        <f>G86+G82+G76+G72+G66+G61+G57+G54</f>
        <v>25400586.025137223</v>
      </c>
      <c r="H88" s="215">
        <f>H86+H82+H76+H72+H66+H61+H57+H54</f>
        <v>32254193.951661669</v>
      </c>
      <c r="I88" s="215">
        <f t="shared" ref="I88:L88" si="76">I86+I82+I76+I72+I66+I61+I57+I54</f>
        <v>29991650.388548169</v>
      </c>
      <c r="J88" s="215">
        <f t="shared" si="76"/>
        <v>30343573.10694446</v>
      </c>
      <c r="K88" s="215">
        <f t="shared" si="76"/>
        <v>30741692.848833207</v>
      </c>
      <c r="L88" s="215">
        <f t="shared" si="76"/>
        <v>30903854.306488004</v>
      </c>
      <c r="M88" s="215">
        <f>SUM(G88:L88)</f>
        <v>179635550.62761274</v>
      </c>
      <c r="Q88" s="162"/>
    </row>
    <row r="89" spans="1:30" x14ac:dyDescent="0.35">
      <c r="A89" s="162" t="s">
        <v>243</v>
      </c>
      <c r="B89" s="162"/>
      <c r="C89" s="162"/>
      <c r="D89" s="162"/>
      <c r="E89" s="162" t="s">
        <v>407</v>
      </c>
      <c r="F89" s="162"/>
      <c r="G89" s="162"/>
      <c r="H89" s="162"/>
      <c r="I89" s="162"/>
      <c r="J89" s="162"/>
      <c r="K89" s="162"/>
      <c r="L89" s="162"/>
      <c r="M89" s="162"/>
      <c r="N89" s="162"/>
      <c r="O89" t="s">
        <v>409</v>
      </c>
      <c r="P89" s="162"/>
      <c r="Q89" s="162"/>
      <c r="AB89" t="s">
        <v>495</v>
      </c>
    </row>
    <row r="90" spans="1:30" ht="29" x14ac:dyDescent="0.35">
      <c r="A90">
        <v>1</v>
      </c>
      <c r="B90" s="219" t="str">
        <f>B54</f>
        <v>All NGVID Required Documents
Bid Solicitation Section 3.51, 3.52</v>
      </c>
      <c r="C90" t="s">
        <v>89</v>
      </c>
      <c r="D90" t="str">
        <f>CONCATENATE(A90,C90)</f>
        <v>1Labor</v>
      </c>
      <c r="E90" s="159">
        <v>0.1</v>
      </c>
      <c r="G90" s="161">
        <f>SUMIF('Pricing details'!$H$12:$H$121,$D90:$D92,'Pricing details'!AM$12:AM$121)</f>
        <v>73125.000000000015</v>
      </c>
      <c r="H90" s="161">
        <f>SUMIF('Pricing details'!$H$12:$H$121,$D90:$D92,'Pricing details'!AN$12:AN$121)</f>
        <v>1</v>
      </c>
      <c r="I90" s="161">
        <f>SUMIF('Pricing details'!$H$12:$H$121,$D90:$D92,'Pricing details'!AO$12:AO$121)</f>
        <v>0</v>
      </c>
      <c r="J90" s="161">
        <f>SUMIF('Pricing details'!$H$12:$H$121,$D90:$D92,'Pricing details'!AP$12:AP$121)</f>
        <v>0</v>
      </c>
      <c r="K90" s="161">
        <f>SUMIF('Pricing details'!$H$12:$H$121,$D90:$D92,'Pricing details'!AQ$12:AQ$121)</f>
        <v>0</v>
      </c>
      <c r="L90" s="161">
        <f>SUMIF('Pricing details'!$H$12:$H$121,$D90:$D92,'Pricing details'!AR$12:AR$121)</f>
        <v>0</v>
      </c>
      <c r="M90" s="161">
        <f>SUM(G90:L90)</f>
        <v>73126.000000000015</v>
      </c>
      <c r="O90" s="215">
        <f>M90/(1-E90)</f>
        <v>81251.111111111124</v>
      </c>
      <c r="Q90" s="162"/>
      <c r="R90" t="s">
        <v>89</v>
      </c>
      <c r="S90" t="str">
        <f>CONCATENATE(P90,R90)</f>
        <v>Labor</v>
      </c>
      <c r="T90" s="159">
        <v>0.1</v>
      </c>
      <c r="V90" s="161">
        <f>SUMIF('Pricing details'!$H$12:$H$121,$D90:$D92,'Pricing details'!AU$12:AU$121)</f>
        <v>0</v>
      </c>
      <c r="W90" s="161">
        <f>SUMIF('Pricing details'!$H$12:$H$121,$D90:$D92,'Pricing details'!AV$12:AV$121)</f>
        <v>0</v>
      </c>
      <c r="X90" s="161">
        <f>SUMIF('Pricing details'!$H$12:$H$121,$D90:$D92,'Pricing details'!AW$12:AW$121)</f>
        <v>0</v>
      </c>
      <c r="Y90" s="161">
        <f>SUMIF('Pricing details'!$H$12:$H$121,$D90:$D92,'Pricing details'!AX$12:AX$121)</f>
        <v>0</v>
      </c>
      <c r="Z90" s="161">
        <f>SUM(V90:Y90)</f>
        <v>0</v>
      </c>
      <c r="AA90" s="161"/>
      <c r="AB90" s="161">
        <f>Z90/(1-T90)</f>
        <v>0</v>
      </c>
    </row>
    <row r="91" spans="1:30" x14ac:dyDescent="0.35">
      <c r="A91">
        <v>1</v>
      </c>
      <c r="B91" s="219"/>
      <c r="C91" t="s">
        <v>119</v>
      </c>
      <c r="D91" t="str">
        <f t="shared" ref="D91:D103" si="77">CONCATENATE(A91,C91)</f>
        <v>1ODCS</v>
      </c>
      <c r="E91" s="159">
        <v>0.1</v>
      </c>
      <c r="G91" s="161">
        <f>SUMIF('Pricing details'!$H$12:$H$121,$D91:$D93,'Pricing details'!AM$12:AM$121)</f>
        <v>0</v>
      </c>
      <c r="H91" s="161">
        <f>SUMIF('Pricing details'!$H$12:$H$121,$D91:$D93,'Pricing details'!AN$12:AN$121)</f>
        <v>0</v>
      </c>
      <c r="I91" s="161">
        <f>SUMIF('Pricing details'!$H$12:$H$121,$D91:$D93,'Pricing details'!AO$12:AO$121)</f>
        <v>0</v>
      </c>
      <c r="J91" s="161">
        <f>SUMIF('Pricing details'!$H$12:$H$121,$D91:$D93,'Pricing details'!AP$12:AP$121)</f>
        <v>0</v>
      </c>
      <c r="K91" s="161">
        <f>SUMIF('Pricing details'!$H$12:$H$121,$D91:$D93,'Pricing details'!AQ$12:AQ$121)</f>
        <v>0</v>
      </c>
      <c r="L91" s="161">
        <f>SUMIF('Pricing details'!$H$12:$H$121,$D91:$D93,'Pricing details'!AR$12:AR$121)</f>
        <v>0</v>
      </c>
      <c r="M91" s="161">
        <f t="shared" ref="M91:M92" si="78">SUM(G91:L91)</f>
        <v>0</v>
      </c>
      <c r="O91" s="215">
        <f t="shared" ref="O91:O92" si="79">M91/(1-E91)</f>
        <v>0</v>
      </c>
      <c r="Q91" s="162"/>
      <c r="R91" t="s">
        <v>119</v>
      </c>
      <c r="S91" t="str">
        <f t="shared" ref="S91:S92" si="80">CONCATENATE(P91,R91)</f>
        <v>ODCS</v>
      </c>
      <c r="T91" s="159">
        <v>0.1</v>
      </c>
      <c r="V91" s="161">
        <f>SUMIF('Pricing details'!$H$12:$H$121,$D91:$D93,'Pricing details'!AU$12:AU$121)</f>
        <v>0</v>
      </c>
      <c r="W91" s="161">
        <f>SUMIF('Pricing details'!$H$12:$H$121,$D91:$D93,'Pricing details'!AV$12:AV$121)</f>
        <v>0</v>
      </c>
      <c r="X91" s="161">
        <f>SUMIF('Pricing details'!$H$12:$H$121,$D91:$D93,'Pricing details'!AW$12:AW$121)</f>
        <v>0</v>
      </c>
      <c r="Y91" s="161">
        <f>SUMIF('Pricing details'!$H$12:$H$121,$D91:$D93,'Pricing details'!AX$12:AX$121)</f>
        <v>0</v>
      </c>
      <c r="Z91" s="161">
        <f t="shared" ref="Z91:Z92" si="81">SUM(V91:Y91)</f>
        <v>0</v>
      </c>
      <c r="AA91" s="161"/>
      <c r="AB91" s="161">
        <f t="shared" ref="AB91:AB97" si="82">Z91/(1-T91)</f>
        <v>0</v>
      </c>
    </row>
    <row r="92" spans="1:30" x14ac:dyDescent="0.35">
      <c r="A92">
        <v>1</v>
      </c>
      <c r="B92" s="219"/>
      <c r="C92" t="s">
        <v>218</v>
      </c>
      <c r="D92" t="str">
        <f t="shared" si="77"/>
        <v>1Capital</v>
      </c>
      <c r="E92" s="159">
        <v>0.1</v>
      </c>
      <c r="G92" s="161">
        <f>SUMIF('Pricing details'!$H$12:$H$121,$D92:$D95,'Pricing details'!AM$12:AM$121)</f>
        <v>0</v>
      </c>
      <c r="H92" s="161">
        <f>SUMIF('Pricing details'!$H$12:$H$121,$D92:$D95,'Pricing details'!AN$12:AN$121)</f>
        <v>0</v>
      </c>
      <c r="I92" s="161">
        <f>SUMIF('Pricing details'!$H$12:$H$121,$D92:$D95,'Pricing details'!AO$12:AO$121)</f>
        <v>0</v>
      </c>
      <c r="J92" s="161">
        <f>SUMIF('Pricing details'!$H$12:$H$121,$D92:$D95,'Pricing details'!AP$12:AP$121)</f>
        <v>0</v>
      </c>
      <c r="K92" s="161">
        <f>SUMIF('Pricing details'!$H$12:$H$121,$D92:$D95,'Pricing details'!AQ$12:AQ$121)</f>
        <v>0</v>
      </c>
      <c r="L92" s="161">
        <f>SUMIF('Pricing details'!$H$12:$H$121,$D92:$D95,'Pricing details'!AR$12:AR$121)</f>
        <v>0</v>
      </c>
      <c r="M92" s="161">
        <f t="shared" si="78"/>
        <v>0</v>
      </c>
      <c r="O92" s="215">
        <f t="shared" si="79"/>
        <v>0</v>
      </c>
      <c r="Q92" s="162"/>
      <c r="R92" t="s">
        <v>218</v>
      </c>
      <c r="S92" t="str">
        <f t="shared" si="80"/>
        <v>Capital</v>
      </c>
      <c r="T92" s="159">
        <v>0.1</v>
      </c>
      <c r="V92" s="161">
        <f>SUMIF('Pricing details'!$H$12:$H$121,$D92:$D94,'Pricing details'!AU$12:AU$121)</f>
        <v>0</v>
      </c>
      <c r="W92" s="161">
        <f>SUMIF('Pricing details'!$H$12:$H$121,$D92:$D94,'Pricing details'!AV$12:AV$121)</f>
        <v>0</v>
      </c>
      <c r="X92" s="161">
        <f>SUMIF('Pricing details'!$H$12:$H$121,$D92:$D94,'Pricing details'!AW$12:AW$121)</f>
        <v>0</v>
      </c>
      <c r="Y92" s="161">
        <f>SUMIF('Pricing details'!$H$12:$H$121,$D92:$D94,'Pricing details'!AX$12:AX$121)</f>
        <v>0</v>
      </c>
      <c r="Z92" s="161">
        <f t="shared" si="81"/>
        <v>0</v>
      </c>
      <c r="AA92" s="161"/>
      <c r="AB92" s="161">
        <f t="shared" si="82"/>
        <v>0</v>
      </c>
    </row>
    <row r="93" spans="1:30" x14ac:dyDescent="0.35">
      <c r="B93" s="219"/>
      <c r="F93" s="161"/>
      <c r="G93" s="161">
        <f>SUM(G90:G92)</f>
        <v>73125.000000000015</v>
      </c>
      <c r="H93" s="161">
        <f t="shared" ref="H93:M93" si="83">SUM(H90:H92)</f>
        <v>1</v>
      </c>
      <c r="I93" s="161">
        <f t="shared" si="83"/>
        <v>0</v>
      </c>
      <c r="J93" s="161">
        <f t="shared" si="83"/>
        <v>0</v>
      </c>
      <c r="K93" s="161">
        <f t="shared" si="83"/>
        <v>0</v>
      </c>
      <c r="L93" s="161">
        <f t="shared" si="83"/>
        <v>0</v>
      </c>
      <c r="M93" s="161">
        <f t="shared" si="83"/>
        <v>73126.000000000015</v>
      </c>
      <c r="N93" s="161"/>
      <c r="O93" s="295">
        <f>SUM(O90:O92)</f>
        <v>81251.111111111124</v>
      </c>
      <c r="P93" s="161">
        <f>O93-M93</f>
        <v>8125.1111111111095</v>
      </c>
      <c r="Q93" s="162"/>
      <c r="V93" s="161">
        <f>SUM(V90:V92)</f>
        <v>0</v>
      </c>
      <c r="W93" s="161">
        <f t="shared" ref="W93:Y93" si="84">SUM(W90:W92)</f>
        <v>0</v>
      </c>
      <c r="X93" s="161">
        <f t="shared" si="84"/>
        <v>0</v>
      </c>
      <c r="Y93" s="161">
        <f t="shared" si="84"/>
        <v>0</v>
      </c>
      <c r="Z93" s="161">
        <f>SUM(Z90:Z92)</f>
        <v>0</v>
      </c>
      <c r="AA93" s="161"/>
      <c r="AB93" s="161">
        <f t="shared" si="82"/>
        <v>0</v>
      </c>
    </row>
    <row r="94" spans="1:30" x14ac:dyDescent="0.35">
      <c r="B94" s="21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Q94" s="162"/>
      <c r="V94" s="161"/>
      <c r="W94" s="161"/>
      <c r="X94" s="161"/>
      <c r="Y94" s="161"/>
      <c r="Z94" s="161"/>
      <c r="AA94" s="161"/>
      <c r="AB94" s="161"/>
    </row>
    <row r="95" spans="1:30" ht="29" x14ac:dyDescent="0.35">
      <c r="A95">
        <v>2</v>
      </c>
      <c r="B95" s="219" t="str">
        <f>B57</f>
        <v>Design, Development, and Implementation
Bid Solicitation Section 3.38, 3.39.1</v>
      </c>
      <c r="C95" t="s">
        <v>89</v>
      </c>
      <c r="D95" t="str">
        <f t="shared" si="77"/>
        <v>2Labor</v>
      </c>
      <c r="E95" s="159">
        <v>0.1</v>
      </c>
      <c r="G95" s="161">
        <f>SUMIF('Pricing details'!$H$12:$H$121,$D95:$D97,'Pricing details'!AM$12:AM$121)</f>
        <v>291418.26923076925</v>
      </c>
      <c r="H95" s="161">
        <f>SUMIF('Pricing details'!$H$12:$H$121,$D95:$D97,'Pricing details'!AN$12:AN$121)</f>
        <v>0</v>
      </c>
      <c r="I95" s="161">
        <f>SUMIF('Pricing details'!$H$12:$H$121,$D95:$D97,'Pricing details'!AO$12:AO$121)</f>
        <v>0</v>
      </c>
      <c r="J95" s="161">
        <f>SUMIF('Pricing details'!$H$12:$H$121,$D95:$D97,'Pricing details'!AP$12:AP$121)</f>
        <v>0</v>
      </c>
      <c r="K95" s="161">
        <f>SUMIF('Pricing details'!$H$12:$H$121,$D95:$D97,'Pricing details'!AQ$12:AQ$121)</f>
        <v>0</v>
      </c>
      <c r="L95" s="161">
        <f>SUMIF('Pricing details'!$H$12:$H$121,$D95:$D97,'Pricing details'!AR$12:AR$121)</f>
        <v>0</v>
      </c>
      <c r="M95" s="161">
        <f>SUM(G95:L95)</f>
        <v>291418.26923076925</v>
      </c>
      <c r="O95" s="215">
        <f>M95/(1-E95)</f>
        <v>323798.07692307694</v>
      </c>
      <c r="Q95" s="162"/>
      <c r="R95" t="s">
        <v>89</v>
      </c>
      <c r="S95" t="str">
        <f t="shared" ref="S95:S97" si="85">CONCATENATE(P95,R95)</f>
        <v>Labor</v>
      </c>
      <c r="T95" s="159">
        <v>0.1</v>
      </c>
      <c r="V95" s="161">
        <f>SUMIF('Pricing details'!$H$12:$H$121,$D95:$D97,'Pricing details'!AU$12:AU$121)</f>
        <v>0</v>
      </c>
      <c r="W95" s="161">
        <f>SUMIF('Pricing details'!$H$12:$H$121,$D95:$D97,'Pricing details'!AV$12:AV$121)</f>
        <v>0</v>
      </c>
      <c r="X95" s="161">
        <f>SUMIF('Pricing details'!$H$12:$H$121,$D95:$D97,'Pricing details'!AW$12:AW$121)</f>
        <v>0</v>
      </c>
      <c r="Y95" s="161">
        <f>SUMIF('Pricing details'!$H$12:$H$121,$D95:$D97,'Pricing details'!AX$12:AX$121)</f>
        <v>0</v>
      </c>
      <c r="Z95" s="161">
        <f>SUMIF('Pricing details'!$H$12:$H$121,$D95:$D97,'Pricing details'!AY$12:AY$121)</f>
        <v>0</v>
      </c>
      <c r="AA95" s="161"/>
      <c r="AB95" s="161">
        <f t="shared" si="82"/>
        <v>0</v>
      </c>
    </row>
    <row r="96" spans="1:30" x14ac:dyDescent="0.35">
      <c r="A96">
        <v>2</v>
      </c>
      <c r="B96" s="219"/>
      <c r="C96" t="s">
        <v>119</v>
      </c>
      <c r="D96" t="str">
        <f t="shared" si="77"/>
        <v>2ODCS</v>
      </c>
      <c r="E96" s="159">
        <v>0.1</v>
      </c>
      <c r="G96" s="161">
        <f>SUMIF('Pricing details'!$H$12:$H$121,$D96:$D98,'Pricing details'!AM$12:AM$121)</f>
        <v>0</v>
      </c>
      <c r="H96" s="161">
        <f>SUMIF('Pricing details'!$H$12:$H$121,$D96:$D98,'Pricing details'!AN$12:AN$121)</f>
        <v>0</v>
      </c>
      <c r="I96" s="161">
        <f>SUMIF('Pricing details'!$H$12:$H$121,$D96:$D98,'Pricing details'!AO$12:AO$121)</f>
        <v>0</v>
      </c>
      <c r="J96" s="161">
        <f>SUMIF('Pricing details'!$H$12:$H$121,$D96:$D98,'Pricing details'!AP$12:AP$121)</f>
        <v>0</v>
      </c>
      <c r="K96" s="161">
        <f>SUMIF('Pricing details'!$H$12:$H$121,$D96:$D98,'Pricing details'!AQ$12:AQ$121)</f>
        <v>0</v>
      </c>
      <c r="L96" s="161">
        <f>SUMIF('Pricing details'!$H$12:$H$121,$D96:$D98,'Pricing details'!AR$12:AR$121)</f>
        <v>0</v>
      </c>
      <c r="M96" s="161">
        <f t="shared" ref="M96:M98" si="86">SUM(G96:L96)</f>
        <v>0</v>
      </c>
      <c r="O96" s="215">
        <f t="shared" ref="O96:O97" si="87">M96/(1-E96)</f>
        <v>0</v>
      </c>
      <c r="Q96" s="162"/>
      <c r="R96" t="s">
        <v>119</v>
      </c>
      <c r="S96" t="str">
        <f t="shared" si="85"/>
        <v>ODCS</v>
      </c>
      <c r="T96" s="159">
        <v>0.1</v>
      </c>
      <c r="V96" s="161">
        <f>SUMIF('Pricing details'!$H$12:$H$121,$D96:$D98,'Pricing details'!AU$12:AU$121)</f>
        <v>0</v>
      </c>
      <c r="W96" s="161">
        <f>SUMIF('Pricing details'!$H$12:$H$121,$D96:$D98,'Pricing details'!AV$12:AV$121)</f>
        <v>0</v>
      </c>
      <c r="X96" s="161">
        <f>SUMIF('Pricing details'!$H$12:$H$121,$D96:$D98,'Pricing details'!AW$12:AW$121)</f>
        <v>0</v>
      </c>
      <c r="Y96" s="161">
        <f>SUMIF('Pricing details'!$H$12:$H$121,$D96:$D98,'Pricing details'!AX$12:AX$121)</f>
        <v>0</v>
      </c>
      <c r="Z96" s="161">
        <f>SUMIF('Pricing details'!$H$12:$H$121,$D96:$D98,'Pricing details'!AY$12:AY$121)</f>
        <v>0</v>
      </c>
      <c r="AA96" s="161"/>
      <c r="AB96" s="161">
        <f t="shared" si="82"/>
        <v>0</v>
      </c>
    </row>
    <row r="97" spans="1:28" x14ac:dyDescent="0.35">
      <c r="A97">
        <v>2</v>
      </c>
      <c r="B97" s="219"/>
      <c r="C97" t="s">
        <v>218</v>
      </c>
      <c r="D97" t="str">
        <f t="shared" si="77"/>
        <v>2Capital</v>
      </c>
      <c r="E97" s="159">
        <v>0.1</v>
      </c>
      <c r="G97" s="161">
        <f>SUMIF('Pricing details'!$H$12:$H$121,$D97:$D101,'Pricing details'!AM$12:AM$121)</f>
        <v>0</v>
      </c>
      <c r="H97" s="161">
        <f>SUMIF('Pricing details'!$H$12:$H$121,$D97:$D101,'Pricing details'!AN$12:AN$121)</f>
        <v>0</v>
      </c>
      <c r="I97" s="161">
        <f>SUMIF('Pricing details'!$H$12:$H$121,$D97:$D101,'Pricing details'!AO$12:AO$121)</f>
        <v>0</v>
      </c>
      <c r="J97" s="161">
        <f>SUMIF('Pricing details'!$H$12:$H$121,$D97:$D101,'Pricing details'!AP$12:AP$121)</f>
        <v>0</v>
      </c>
      <c r="K97" s="161">
        <f>SUMIF('Pricing details'!$H$12:$H$121,$D97:$D101,'Pricing details'!AQ$12:AQ$121)</f>
        <v>0</v>
      </c>
      <c r="L97" s="161">
        <f>SUMIF('Pricing details'!$H$12:$H$121,$D97:$D101,'Pricing details'!AR$12:AR$121)</f>
        <v>0</v>
      </c>
      <c r="M97" s="161">
        <f t="shared" si="86"/>
        <v>0</v>
      </c>
      <c r="O97" s="215">
        <f t="shared" si="87"/>
        <v>0</v>
      </c>
      <c r="Q97" s="162"/>
      <c r="R97" t="s">
        <v>218</v>
      </c>
      <c r="S97" t="str">
        <f t="shared" si="85"/>
        <v>Capital</v>
      </c>
      <c r="T97" s="159">
        <v>0.1</v>
      </c>
      <c r="V97" s="161">
        <f>SUMIF('Pricing details'!$H$12:$H$121,$D97:$D99,'Pricing details'!AU$12:AU$121)</f>
        <v>0</v>
      </c>
      <c r="W97" s="161">
        <f>SUMIF('Pricing details'!$H$12:$H$121,$D97:$D99,'Pricing details'!AV$12:AV$121)</f>
        <v>0</v>
      </c>
      <c r="X97" s="161">
        <f>SUMIF('Pricing details'!$H$12:$H$121,$D97:$D99,'Pricing details'!AW$12:AW$121)</f>
        <v>0</v>
      </c>
      <c r="Y97" s="161">
        <f>SUMIF('Pricing details'!$H$12:$H$121,$D97:$D99,'Pricing details'!AX$12:AX$121)</f>
        <v>0</v>
      </c>
      <c r="Z97" s="161">
        <f>SUMIF('Pricing details'!$H$12:$H$121,$D97:$D99,'Pricing details'!AY$12:AY$121)</f>
        <v>0</v>
      </c>
      <c r="AA97" s="161"/>
      <c r="AB97" s="161">
        <f t="shared" si="82"/>
        <v>0</v>
      </c>
    </row>
    <row r="98" spans="1:28" x14ac:dyDescent="0.35">
      <c r="B98" s="219"/>
      <c r="G98" s="161">
        <f>SUM(G95:G97)</f>
        <v>291418.26923076925</v>
      </c>
      <c r="H98" s="161">
        <f t="shared" ref="H98:L98" si="88">SUM(H95:H97)</f>
        <v>0</v>
      </c>
      <c r="I98" s="161">
        <f t="shared" si="88"/>
        <v>0</v>
      </c>
      <c r="J98" s="161">
        <f t="shared" si="88"/>
        <v>0</v>
      </c>
      <c r="K98" s="161">
        <f t="shared" si="88"/>
        <v>0</v>
      </c>
      <c r="L98" s="161">
        <f t="shared" si="88"/>
        <v>0</v>
      </c>
      <c r="M98" s="161">
        <f t="shared" si="86"/>
        <v>291418.26923076925</v>
      </c>
      <c r="O98" s="161">
        <f>SUM(O95:O97)</f>
        <v>323798.07692307694</v>
      </c>
      <c r="P98" s="161">
        <f>O98-M98</f>
        <v>32379.807692307688</v>
      </c>
      <c r="Q98" s="162"/>
      <c r="V98" s="161">
        <f>SUM(V95:V97)</f>
        <v>0</v>
      </c>
      <c r="W98" s="161">
        <f t="shared" ref="W98" si="89">SUM(W95:W97)</f>
        <v>0</v>
      </c>
      <c r="X98" s="161">
        <f t="shared" ref="X98" si="90">SUM(X95:X97)</f>
        <v>0</v>
      </c>
      <c r="Y98" s="161">
        <f t="shared" ref="Y98" si="91">SUM(Y95:Y97)</f>
        <v>0</v>
      </c>
      <c r="Z98" s="161">
        <f>SUM(Z95:Z97)</f>
        <v>0</v>
      </c>
      <c r="AA98" s="161"/>
      <c r="AB98" s="161">
        <f t="shared" ref="AB98" si="92">Z98/(1-T98)</f>
        <v>0</v>
      </c>
    </row>
    <row r="99" spans="1:28" x14ac:dyDescent="0.35">
      <c r="B99" s="219"/>
      <c r="O99" s="161"/>
      <c r="Q99" s="162"/>
      <c r="V99" s="161"/>
      <c r="W99" s="161"/>
      <c r="X99" s="161"/>
      <c r="Y99" s="161"/>
      <c r="Z99" s="161"/>
      <c r="AA99" s="161"/>
      <c r="AB99" s="161"/>
    </row>
    <row r="100" spans="1:28" x14ac:dyDescent="0.35">
      <c r="B100" s="219"/>
      <c r="O100" s="161"/>
      <c r="Q100" s="162"/>
      <c r="V100" s="161"/>
      <c r="W100" s="161"/>
      <c r="X100" s="161"/>
      <c r="Y100" s="161"/>
      <c r="Z100" s="161"/>
      <c r="AA100" s="161"/>
      <c r="AB100" s="161"/>
    </row>
    <row r="101" spans="1:28" x14ac:dyDescent="0.35">
      <c r="A101">
        <v>3</v>
      </c>
      <c r="B101" s="219" t="str">
        <f>B60</f>
        <v>PIF desktop</v>
      </c>
      <c r="C101" t="s">
        <v>89</v>
      </c>
      <c r="D101" t="str">
        <f t="shared" si="77"/>
        <v>3Labor</v>
      </c>
      <c r="E101" s="159">
        <v>0.1</v>
      </c>
      <c r="G101" s="161">
        <f>SUMIF('Pricing details'!$H$12:$H$121,$D101:$D103,'Pricing details'!AM$12:AM$121)</f>
        <v>0</v>
      </c>
      <c r="H101" s="161">
        <f>SUMIF('Pricing details'!$H$12:$H$121,$D101:$D103,'Pricing details'!AN$12:AN$121)</f>
        <v>0</v>
      </c>
      <c r="I101" s="161">
        <f>SUMIF('Pricing details'!$H$12:$H$121,$D101:$D103,'Pricing details'!AO$12:AO$121)</f>
        <v>0</v>
      </c>
      <c r="J101" s="161">
        <f>SUMIF('Pricing details'!$H$12:$H$121,$D101:$D103,'Pricing details'!AP$12:AP$121)</f>
        <v>0</v>
      </c>
      <c r="K101" s="161">
        <f>SUMIF('Pricing details'!$H$12:$H$121,$D101:$D103,'Pricing details'!AQ$12:AQ$121)</f>
        <v>0</v>
      </c>
      <c r="L101" s="161">
        <f>SUMIF('Pricing details'!$H$12:$H$121,$D101:$D103,'Pricing details'!AR$12:AR$121)</f>
        <v>0</v>
      </c>
      <c r="M101" s="161">
        <f>SUM(G101:L101)</f>
        <v>0</v>
      </c>
      <c r="O101" s="215">
        <f>M101/(1-E101)</f>
        <v>0</v>
      </c>
      <c r="Q101" s="162"/>
      <c r="R101" t="s">
        <v>89</v>
      </c>
      <c r="S101" t="str">
        <f t="shared" ref="S101:S103" si="93">CONCATENATE(P101,R101)</f>
        <v>Labor</v>
      </c>
      <c r="T101" s="159">
        <v>0.1</v>
      </c>
      <c r="V101" s="161"/>
      <c r="W101" s="161"/>
      <c r="X101" s="161"/>
      <c r="Y101" s="161"/>
      <c r="Z101" s="161"/>
      <c r="AA101" s="161"/>
      <c r="AB101" s="161"/>
    </row>
    <row r="102" spans="1:28" x14ac:dyDescent="0.35">
      <c r="A102">
        <v>3</v>
      </c>
      <c r="B102" s="219"/>
      <c r="C102" t="s">
        <v>119</v>
      </c>
      <c r="D102" t="str">
        <f t="shared" si="77"/>
        <v>3ODCS</v>
      </c>
      <c r="E102" s="159">
        <v>0.1</v>
      </c>
      <c r="G102" s="161">
        <f>SUMIF('Pricing details'!$H$12:$H$121,$D102:$D104,'Pricing details'!AM$12:AM$121)</f>
        <v>0</v>
      </c>
      <c r="H102" s="161">
        <f>SUMIF('Pricing details'!$H$12:$H$121,$D102:$D104,'Pricing details'!AN$12:AN$121)</f>
        <v>0</v>
      </c>
      <c r="I102" s="161">
        <f>SUMIF('Pricing details'!$H$12:$H$121,$D102:$D104,'Pricing details'!AO$12:AO$121)</f>
        <v>0</v>
      </c>
      <c r="J102" s="161">
        <f>SUMIF('Pricing details'!$H$12:$H$121,$D102:$D104,'Pricing details'!AP$12:AP$121)</f>
        <v>0</v>
      </c>
      <c r="K102" s="161">
        <f>SUMIF('Pricing details'!$H$12:$H$121,$D102:$D104,'Pricing details'!AQ$12:AQ$121)</f>
        <v>0</v>
      </c>
      <c r="L102" s="161">
        <f>SUMIF('Pricing details'!$H$12:$H$121,$D102:$D104,'Pricing details'!AR$12:AR$121)</f>
        <v>0</v>
      </c>
      <c r="M102" s="161">
        <f t="shared" ref="M102:M104" si="94">SUM(G102:L102)</f>
        <v>0</v>
      </c>
      <c r="O102" s="215">
        <f t="shared" ref="O102:O103" si="95">M102/(1-E102)</f>
        <v>0</v>
      </c>
      <c r="Q102" s="162"/>
      <c r="R102" t="s">
        <v>119</v>
      </c>
      <c r="S102" t="str">
        <f t="shared" si="93"/>
        <v>ODCS</v>
      </c>
      <c r="T102" s="159">
        <v>0.1</v>
      </c>
      <c r="V102" s="161"/>
      <c r="W102" s="161"/>
      <c r="X102" s="161"/>
      <c r="Y102" s="161"/>
      <c r="Z102" s="161"/>
      <c r="AA102" s="161"/>
      <c r="AB102" s="161"/>
    </row>
    <row r="103" spans="1:28" x14ac:dyDescent="0.35">
      <c r="A103">
        <v>3</v>
      </c>
      <c r="B103" s="219"/>
      <c r="C103" t="s">
        <v>218</v>
      </c>
      <c r="D103" t="str">
        <f t="shared" si="77"/>
        <v>3Capital</v>
      </c>
      <c r="E103" s="159">
        <v>0.25</v>
      </c>
      <c r="G103" s="161">
        <f>SUMIF('Pricing details'!$H$12:$H$121,$D103:$D105,'Pricing details'!AM$12:AM$121)</f>
        <v>2042500</v>
      </c>
      <c r="H103" s="161">
        <f>SUMIF('Pricing details'!$H$12:$H$121,$D103:$D105,'Pricing details'!AN$12:AN$121)</f>
        <v>0</v>
      </c>
      <c r="I103" s="161">
        <f>SUMIF('Pricing details'!$H$12:$H$121,$D103:$D105,'Pricing details'!AO$12:AO$121)</f>
        <v>0</v>
      </c>
      <c r="J103" s="161">
        <f>SUMIF('Pricing details'!$H$12:$H$121,$D103:$D105,'Pricing details'!AP$12:AP$121)</f>
        <v>0</v>
      </c>
      <c r="K103" s="161">
        <f>SUMIF('Pricing details'!$H$12:$H$121,$D103:$D105,'Pricing details'!AQ$12:AQ$121)</f>
        <v>0</v>
      </c>
      <c r="L103" s="161">
        <f>SUMIF('Pricing details'!$H$12:$H$121,$D103:$D105,'Pricing details'!AR$12:AR$121)</f>
        <v>0</v>
      </c>
      <c r="M103" s="161">
        <f t="shared" si="94"/>
        <v>2042500</v>
      </c>
      <c r="O103" s="215">
        <f t="shared" si="95"/>
        <v>2723333.3333333335</v>
      </c>
      <c r="P103" s="161">
        <f>O103-M103</f>
        <v>680833.33333333349</v>
      </c>
      <c r="Q103" s="162"/>
      <c r="R103" t="s">
        <v>218</v>
      </c>
      <c r="S103" t="str">
        <f t="shared" si="93"/>
        <v>680833.333333333Capital</v>
      </c>
      <c r="T103" s="159">
        <v>0.25</v>
      </c>
      <c r="V103" s="161"/>
      <c r="W103" s="161"/>
      <c r="X103" s="161"/>
      <c r="Y103" s="161"/>
      <c r="Z103" s="161"/>
      <c r="AA103" s="161"/>
      <c r="AB103" s="161"/>
    </row>
    <row r="104" spans="1:28" x14ac:dyDescent="0.35">
      <c r="B104" s="219"/>
      <c r="G104" s="161">
        <f>SUM(G101:G103)</f>
        <v>2042500</v>
      </c>
      <c r="H104" s="161">
        <f t="shared" ref="H104:L104" si="96">SUM(H101:H103)</f>
        <v>0</v>
      </c>
      <c r="I104" s="161">
        <f t="shared" si="96"/>
        <v>0</v>
      </c>
      <c r="J104" s="161">
        <f t="shared" si="96"/>
        <v>0</v>
      </c>
      <c r="K104" s="161">
        <f t="shared" si="96"/>
        <v>0</v>
      </c>
      <c r="L104" s="161">
        <f t="shared" si="96"/>
        <v>0</v>
      </c>
      <c r="M104" s="161">
        <f t="shared" si="94"/>
        <v>2042500</v>
      </c>
      <c r="O104" s="294">
        <f>O103/1250</f>
        <v>2178.666666666667</v>
      </c>
      <c r="Q104" s="162"/>
      <c r="V104" s="161"/>
      <c r="W104" s="161"/>
      <c r="X104" s="161"/>
      <c r="Y104" s="161"/>
      <c r="Z104" s="161"/>
      <c r="AA104" s="161"/>
      <c r="AB104" s="161"/>
    </row>
    <row r="105" spans="1:28" x14ac:dyDescent="0.35">
      <c r="B105" s="219"/>
      <c r="O105" t="s">
        <v>409</v>
      </c>
      <c r="Q105" s="162"/>
      <c r="V105" s="161"/>
      <c r="W105" s="161"/>
      <c r="X105" s="161"/>
      <c r="Y105" s="161"/>
      <c r="Z105" s="161"/>
      <c r="AA105" s="161"/>
      <c r="AB105" s="161"/>
    </row>
    <row r="106" spans="1:28" ht="43.5" x14ac:dyDescent="0.35">
      <c r="A106">
        <v>5</v>
      </c>
      <c r="B106" s="219" t="s">
        <v>406</v>
      </c>
      <c r="C106" t="s">
        <v>89</v>
      </c>
      <c r="D106" t="str">
        <f>CONCATENATE(6,C106)</f>
        <v>6Labor</v>
      </c>
      <c r="E106" s="159">
        <v>0.1</v>
      </c>
      <c r="G106" s="161">
        <f>SUMIF('Pricing details'!$H$12:$H$121,$D106:$D108,'Pricing details'!AM$12:AM$121)</f>
        <v>0</v>
      </c>
      <c r="H106" s="161"/>
      <c r="I106" s="161"/>
      <c r="J106" s="161"/>
      <c r="K106" s="161"/>
      <c r="L106" s="161"/>
      <c r="M106" s="161">
        <f>SUM(G106:L106)</f>
        <v>0</v>
      </c>
      <c r="O106" s="215">
        <f>M106/(1-E106)</f>
        <v>0</v>
      </c>
      <c r="Q106" s="162"/>
      <c r="R106" t="s">
        <v>89</v>
      </c>
      <c r="S106" t="str">
        <f>CONCATENATE(6,R106)</f>
        <v>6Labor</v>
      </c>
      <c r="T106" s="159">
        <v>0.1</v>
      </c>
      <c r="V106" s="161"/>
      <c r="W106" s="161"/>
      <c r="X106" s="161"/>
      <c r="Y106" s="161"/>
      <c r="Z106" s="161"/>
      <c r="AA106" s="161"/>
      <c r="AB106" s="161"/>
    </row>
    <row r="107" spans="1:28" x14ac:dyDescent="0.35">
      <c r="A107">
        <v>5</v>
      </c>
      <c r="B107" s="219"/>
      <c r="C107" t="s">
        <v>119</v>
      </c>
      <c r="D107" t="str">
        <f>CONCATENATE(6,C107)</f>
        <v>6ODCS</v>
      </c>
      <c r="E107" s="159">
        <v>0.1</v>
      </c>
      <c r="G107" s="161">
        <f>SUMIF('Pricing details'!$H$12:$H$121,$D107:$D114,'Pricing details'!AM$12:AM$121)</f>
        <v>0</v>
      </c>
      <c r="H107" s="161"/>
      <c r="I107" s="161"/>
      <c r="J107" s="161"/>
      <c r="K107" s="161"/>
      <c r="L107" s="161"/>
      <c r="M107" s="161">
        <f t="shared" ref="M107:M109" si="97">SUM(G107:L107)</f>
        <v>0</v>
      </c>
      <c r="O107" s="215">
        <f>M107/(1-E107)</f>
        <v>0</v>
      </c>
      <c r="Q107" s="162"/>
      <c r="R107" t="s">
        <v>119</v>
      </c>
      <c r="S107" t="str">
        <f>CONCATENATE(6,R107)</f>
        <v>6ODCS</v>
      </c>
      <c r="T107" s="159">
        <v>0.1</v>
      </c>
      <c r="V107" s="161"/>
      <c r="W107" s="161"/>
      <c r="X107" s="161"/>
      <c r="Y107" s="161"/>
      <c r="Z107" s="161"/>
      <c r="AA107" s="161"/>
      <c r="AB107" s="161"/>
    </row>
    <row r="108" spans="1:28" x14ac:dyDescent="0.35">
      <c r="A108">
        <v>5</v>
      </c>
      <c r="B108" s="219"/>
      <c r="C108" t="s">
        <v>218</v>
      </c>
      <c r="D108" t="str">
        <f>CONCATENATE(6,C108)</f>
        <v>6Capital</v>
      </c>
      <c r="E108" s="159">
        <v>0.25</v>
      </c>
      <c r="G108" s="161">
        <f>SUMIF('Pricing details'!$H$12:$H$121,$D108:$D115,'Pricing details'!AM$12:AM$121)</f>
        <v>0</v>
      </c>
      <c r="H108" s="161"/>
      <c r="I108" s="161"/>
      <c r="J108" s="161"/>
      <c r="K108" s="161"/>
      <c r="L108" s="161"/>
      <c r="M108" s="161">
        <f t="shared" si="97"/>
        <v>0</v>
      </c>
      <c r="O108" s="215">
        <f>M108/(1-E108)</f>
        <v>0</v>
      </c>
      <c r="Q108" s="162"/>
      <c r="R108" t="s">
        <v>218</v>
      </c>
      <c r="S108" t="str">
        <f>CONCATENATE(6,R108)</f>
        <v>6Capital</v>
      </c>
      <c r="T108" s="159">
        <v>0.25</v>
      </c>
      <c r="V108" s="161"/>
      <c r="W108" s="161"/>
      <c r="X108" s="161"/>
      <c r="Y108" s="161"/>
      <c r="Z108" s="161"/>
      <c r="AA108" s="161"/>
      <c r="AB108" s="161"/>
    </row>
    <row r="109" spans="1:28" x14ac:dyDescent="0.35">
      <c r="B109" s="219"/>
      <c r="E109" s="159"/>
      <c r="G109" s="161">
        <f>SUM(G106:G108)</f>
        <v>0</v>
      </c>
      <c r="H109" s="161">
        <f t="shared" ref="H109:L109" si="98">SUM(H106:H108)</f>
        <v>0</v>
      </c>
      <c r="I109" s="161">
        <f t="shared" si="98"/>
        <v>0</v>
      </c>
      <c r="J109" s="161">
        <f t="shared" si="98"/>
        <v>0</v>
      </c>
      <c r="K109" s="161">
        <f t="shared" si="98"/>
        <v>0</v>
      </c>
      <c r="L109" s="161">
        <f t="shared" si="98"/>
        <v>0</v>
      </c>
      <c r="M109" s="161">
        <f t="shared" si="97"/>
        <v>0</v>
      </c>
      <c r="O109" s="215"/>
      <c r="Q109" s="162"/>
      <c r="T109" s="159"/>
      <c r="V109" s="161"/>
      <c r="W109" s="161"/>
      <c r="X109" s="161"/>
      <c r="Y109" s="161"/>
      <c r="Z109" s="161"/>
      <c r="AA109" s="161"/>
      <c r="AB109" s="161"/>
    </row>
    <row r="110" spans="1:28" x14ac:dyDescent="0.35">
      <c r="B110" s="219"/>
      <c r="E110" s="159"/>
      <c r="G110" s="161"/>
      <c r="H110" s="161"/>
      <c r="I110" s="161"/>
      <c r="J110" s="161"/>
      <c r="K110" s="161"/>
      <c r="L110" s="161"/>
      <c r="N110" s="129" t="s">
        <v>418</v>
      </c>
      <c r="O110" s="222"/>
      <c r="Q110" s="162"/>
      <c r="T110" s="159"/>
    </row>
    <row r="111" spans="1:28" x14ac:dyDescent="0.35">
      <c r="B111" s="219"/>
      <c r="E111" s="159"/>
      <c r="G111" s="161"/>
      <c r="H111" s="161"/>
      <c r="I111" s="161"/>
      <c r="J111" s="161"/>
      <c r="K111" s="161"/>
      <c r="L111" s="161"/>
      <c r="M111" s="161"/>
      <c r="O111" s="215"/>
      <c r="P111" s="215">
        <f>O111-M109</f>
        <v>0</v>
      </c>
      <c r="Q111" s="162"/>
      <c r="T111" s="159"/>
    </row>
    <row r="112" spans="1:28" x14ac:dyDescent="0.35">
      <c r="B112" s="219"/>
      <c r="E112" s="159"/>
      <c r="G112" s="161"/>
      <c r="H112" s="161"/>
      <c r="I112" s="161"/>
      <c r="J112" s="161"/>
      <c r="K112" s="161"/>
      <c r="L112" s="161"/>
      <c r="M112" s="161"/>
      <c r="N112" t="s">
        <v>427</v>
      </c>
      <c r="O112" s="294"/>
      <c r="Q112" s="162"/>
      <c r="T112" s="159"/>
    </row>
    <row r="113" spans="1:29" x14ac:dyDescent="0.35">
      <c r="B113" s="219"/>
      <c r="E113" s="159"/>
      <c r="G113" s="161"/>
      <c r="H113" s="161"/>
      <c r="I113" s="161"/>
      <c r="J113" s="161"/>
      <c r="K113" s="161"/>
      <c r="L113" s="161"/>
      <c r="M113" s="161"/>
      <c r="O113" s="215"/>
      <c r="Q113" s="162"/>
      <c r="T113" s="159"/>
    </row>
    <row r="114" spans="1:29" ht="43.5" x14ac:dyDescent="0.35">
      <c r="A114">
        <v>6</v>
      </c>
      <c r="B114" s="219" t="str">
        <f>B69</f>
        <v>Inspection transaction fee for PIFs and PFFs (including NGVID &amp; all maintenance)
Bid Solicitation Section 3.1.2</v>
      </c>
      <c r="C114" t="s">
        <v>89</v>
      </c>
      <c r="D114" t="str">
        <f t="shared" ref="D114:D116" si="99">CONCATENATE(A114,C114)</f>
        <v>6Labor</v>
      </c>
      <c r="E114" s="159">
        <v>0.1</v>
      </c>
      <c r="G114" s="161">
        <f>SUMIF('Pricing details'!$H$12:$H$121,$D114:$D116,'Pricing details'!AM$12:AM$121)</f>
        <v>0</v>
      </c>
      <c r="H114" s="161">
        <f>SUMIF('Pricing details'!$H$12:$H$121,$D114:$D116,'Pricing details'!AN$12:AN$121)</f>
        <v>0</v>
      </c>
      <c r="I114" s="161">
        <f>SUMIF('Pricing details'!$H$12:$H$121,$D114:$D116,'Pricing details'!AO$12:AO$121)</f>
        <v>0</v>
      </c>
      <c r="J114" s="161">
        <f>SUMIF('Pricing details'!$H$12:$H$121,$D114:$D116,'Pricing details'!AP$12:AP$121)</f>
        <v>0</v>
      </c>
      <c r="K114" s="161">
        <f>SUMIF('Pricing details'!$H$12:$H$121,$D114:$D116,'Pricing details'!AQ$12:AQ$121)</f>
        <v>0</v>
      </c>
      <c r="L114" s="161">
        <f>SUMIF('Pricing details'!$H$12:$H$121,$D114:$D116,'Pricing details'!AR$12:AR$121)</f>
        <v>0</v>
      </c>
      <c r="M114" s="161">
        <f>SUM(G114:L114)</f>
        <v>0</v>
      </c>
      <c r="O114" s="215">
        <f>M114/(1-E114)</f>
        <v>0</v>
      </c>
      <c r="Q114" s="162"/>
      <c r="R114" t="s">
        <v>89</v>
      </c>
      <c r="S114" t="str">
        <f t="shared" ref="S114:S116" si="100">CONCATENATE(P114,R114)</f>
        <v>Labor</v>
      </c>
      <c r="T114" s="159">
        <v>0.1</v>
      </c>
      <c r="V114" s="161">
        <f>SUMIF('Pricing details'!$H$12:$H$121,$D114:$D116,'Pricing details'!AU$12:AU$121)</f>
        <v>0</v>
      </c>
      <c r="W114" s="161">
        <f>SUMIF('Pricing details'!$H$12:$H$121,$D114:$D116,'Pricing details'!AV$12:AV$121)</f>
        <v>0</v>
      </c>
      <c r="X114" s="161">
        <f>SUMIF('Pricing details'!$H$12:$H$121,$D114:$D116,'Pricing details'!AW$12:AW$121)</f>
        <v>0</v>
      </c>
      <c r="Y114" s="161">
        <f>SUMIF('Pricing details'!$H$12:$H$121,$D114:$D116,'Pricing details'!AX$12:AX$121)</f>
        <v>0</v>
      </c>
      <c r="Z114" s="161">
        <f>SUMIF('Pricing details'!$H$12:$H$121,$D114:$D116,'Pricing details'!AY$12:AY$121)</f>
        <v>0</v>
      </c>
      <c r="AA114" s="161"/>
      <c r="AB114" s="161">
        <f t="shared" ref="AB114:AB116" si="101">Z114/(1-T114)</f>
        <v>0</v>
      </c>
    </row>
    <row r="115" spans="1:29" x14ac:dyDescent="0.35">
      <c r="A115">
        <v>6</v>
      </c>
      <c r="B115" s="219"/>
      <c r="C115" t="s">
        <v>119</v>
      </c>
      <c r="D115" t="str">
        <f t="shared" si="99"/>
        <v>6ODCS</v>
      </c>
      <c r="E115" s="159">
        <v>0.1</v>
      </c>
      <c r="G115" s="161">
        <f>SUMIF('Pricing details'!$H$12:$H$121,$D115:$D117,'Pricing details'!AM$12:AM$121)</f>
        <v>0</v>
      </c>
      <c r="H115" s="161">
        <f>SUMIF('Pricing details'!$H$12:$H$121,$D115:$D117,'Pricing details'!AN$12:AN$121)</f>
        <v>62500</v>
      </c>
      <c r="I115" s="161">
        <f>SUMIF('Pricing details'!$H$12:$H$121,$D115:$D117,'Pricing details'!AO$12:AO$121)</f>
        <v>62500</v>
      </c>
      <c r="J115" s="161">
        <f>SUMIF('Pricing details'!$H$12:$H$121,$D115:$D117,'Pricing details'!AP$12:AP$121)</f>
        <v>62500</v>
      </c>
      <c r="K115" s="161">
        <f>SUMIF('Pricing details'!$H$12:$H$121,$D115:$D117,'Pricing details'!AQ$12:AQ$121)</f>
        <v>62500</v>
      </c>
      <c r="L115" s="161">
        <f>SUMIF('Pricing details'!$H$12:$H$121,$D115:$D117,'Pricing details'!AR$12:AR$121)</f>
        <v>62500</v>
      </c>
      <c r="M115" s="161">
        <f t="shared" ref="M115:M116" si="102">SUM(G115:L115)</f>
        <v>312500</v>
      </c>
      <c r="O115" s="215">
        <f>M115/(1-E115)</f>
        <v>347222.22222222219</v>
      </c>
      <c r="Q115" s="162"/>
      <c r="R115" t="s">
        <v>119</v>
      </c>
      <c r="S115" t="str">
        <f t="shared" si="100"/>
        <v>ODCS</v>
      </c>
      <c r="T115" s="159">
        <v>0.1</v>
      </c>
      <c r="V115" s="161">
        <f>SUMIF('Pricing details'!$H$12:$H$121,$D115:$D117,'Pricing details'!AU$12:AU$121)</f>
        <v>62500</v>
      </c>
      <c r="W115" s="161">
        <f>SUMIF('Pricing details'!$H$12:$H$121,$D115:$D117,'Pricing details'!AV$12:AV$121)</f>
        <v>62500</v>
      </c>
      <c r="X115" s="161">
        <f>SUMIF('Pricing details'!$H$12:$H$121,$D115:$D117,'Pricing details'!AW$12:AW$121)</f>
        <v>62500</v>
      </c>
      <c r="Y115" s="161">
        <f>SUMIF('Pricing details'!$H$12:$H$121,$D115:$D117,'Pricing details'!AX$12:AX$121)</f>
        <v>62500</v>
      </c>
      <c r="Z115" s="161">
        <f>SUMIF('Pricing details'!$H$12:$H$121,$D115:$D117,'Pricing details'!AY$12:AY$121)</f>
        <v>250000</v>
      </c>
      <c r="AA115" s="161"/>
      <c r="AB115" s="161">
        <f t="shared" si="101"/>
        <v>277777.77777777775</v>
      </c>
    </row>
    <row r="116" spans="1:29" x14ac:dyDescent="0.35">
      <c r="A116">
        <v>6</v>
      </c>
      <c r="B116" s="219"/>
      <c r="C116" t="s">
        <v>218</v>
      </c>
      <c r="D116" t="str">
        <f t="shared" si="99"/>
        <v>6Capital</v>
      </c>
      <c r="E116" s="159">
        <v>0.25</v>
      </c>
      <c r="G116" s="161">
        <f>SUMIF('Pricing details'!$H$12:$H$121,$D116:$D119,'Pricing details'!AM$12:AM$121)</f>
        <v>0</v>
      </c>
      <c r="H116" s="161">
        <f>SUMIF('Pricing details'!$H$12:$H$121,$D116:$D119,'Pricing details'!AN$12:AN$121)</f>
        <v>72125</v>
      </c>
      <c r="I116" s="161">
        <f>SUMIF('Pricing details'!$H$12:$H$121,$D116:$D119,'Pricing details'!AO$12:AO$121)</f>
        <v>72125</v>
      </c>
      <c r="J116" s="161">
        <f>SUMIF('Pricing details'!$H$12:$H$121,$D116:$D119,'Pricing details'!AP$12:AP$121)</f>
        <v>72125</v>
      </c>
      <c r="K116" s="161">
        <f>SUMIF('Pricing details'!$H$12:$H$121,$D116:$D119,'Pricing details'!AQ$12:AQ$121)</f>
        <v>72125</v>
      </c>
      <c r="L116" s="161">
        <f>SUMIF('Pricing details'!$H$12:$H$121,$D116:$D119,'Pricing details'!AR$12:AR$121)</f>
        <v>72125</v>
      </c>
      <c r="M116" s="161">
        <f t="shared" si="102"/>
        <v>360625</v>
      </c>
      <c r="O116" s="215">
        <f>M116/(1-E116)</f>
        <v>480833.33333333331</v>
      </c>
      <c r="Q116" s="162"/>
      <c r="R116" t="s">
        <v>218</v>
      </c>
      <c r="S116" t="str">
        <f t="shared" si="100"/>
        <v>Capital</v>
      </c>
      <c r="T116" s="159">
        <v>0.35</v>
      </c>
      <c r="V116" s="161">
        <f>SUMIF('Pricing details'!$H$12:$H$121,$D116:$D119,'Pricing details'!AU$12:AU$121)</f>
        <v>102125</v>
      </c>
      <c r="W116" s="161">
        <f>SUMIF('Pricing details'!$H$12:$H$121,$D116:$D119,'Pricing details'!AV$12:AV$121)</f>
        <v>102125</v>
      </c>
      <c r="X116" s="161">
        <f>SUMIF('Pricing details'!$H$12:$H$121,$D116:$D119,'Pricing details'!AW$12:AW$121)</f>
        <v>102125</v>
      </c>
      <c r="Y116" s="161">
        <f>SUMIF('Pricing details'!$H$12:$H$121,$D116:$D119,'Pricing details'!AX$12:AX$121)</f>
        <v>102125</v>
      </c>
      <c r="Z116" s="161">
        <f>SUMIF('Pricing details'!$H$12:$H$121,$D116:$D119,'Pricing details'!AY$12:AY$121)</f>
        <v>408500</v>
      </c>
      <c r="AA116" s="161"/>
      <c r="AB116" s="161">
        <f t="shared" si="101"/>
        <v>628461.5384615385</v>
      </c>
    </row>
    <row r="117" spans="1:29" x14ac:dyDescent="0.35">
      <c r="B117" s="219"/>
      <c r="G117" s="161">
        <f t="shared" ref="G117" si="103">SUM(G114:G116)</f>
        <v>0</v>
      </c>
      <c r="H117" s="161">
        <f t="shared" ref="H117:M117" si="104">SUM(H114:H116)</f>
        <v>134625</v>
      </c>
      <c r="I117" s="161">
        <f t="shared" si="104"/>
        <v>134625</v>
      </c>
      <c r="J117" s="161">
        <f t="shared" si="104"/>
        <v>134625</v>
      </c>
      <c r="K117" s="161">
        <f t="shared" si="104"/>
        <v>134625</v>
      </c>
      <c r="L117" s="161">
        <f t="shared" si="104"/>
        <v>134625</v>
      </c>
      <c r="M117" s="161">
        <f t="shared" si="104"/>
        <v>673125</v>
      </c>
      <c r="O117" s="215">
        <f>SUM(O114:O116)</f>
        <v>828055.5555555555</v>
      </c>
      <c r="Q117" s="162"/>
      <c r="V117" s="161">
        <f>SUM(V114:V116)</f>
        <v>164625</v>
      </c>
      <c r="W117" s="161">
        <f t="shared" ref="W117:Y117" si="105">SUM(W114:W116)</f>
        <v>164625</v>
      </c>
      <c r="X117" s="161">
        <f t="shared" si="105"/>
        <v>164625</v>
      </c>
      <c r="Y117" s="161">
        <f t="shared" si="105"/>
        <v>164625</v>
      </c>
      <c r="Z117" s="161">
        <f>SUM(Z114:Z116)</f>
        <v>658500</v>
      </c>
      <c r="AA117" s="161"/>
      <c r="AB117" s="215">
        <f>SUM(AB114:AB116)</f>
        <v>906239.31623931625</v>
      </c>
    </row>
    <row r="118" spans="1:29" x14ac:dyDescent="0.35">
      <c r="B118" s="219"/>
      <c r="G118" s="161"/>
      <c r="H118" s="161"/>
      <c r="I118" s="161"/>
      <c r="J118" s="161"/>
      <c r="K118" s="161"/>
      <c r="L118" s="161"/>
      <c r="M118" s="161"/>
      <c r="O118" s="215"/>
      <c r="Q118" s="162"/>
      <c r="V118" s="161"/>
      <c r="W118" s="161"/>
      <c r="X118" s="161"/>
      <c r="Y118" s="161"/>
      <c r="Z118" s="161"/>
      <c r="AA118" s="161"/>
      <c r="AB118" s="215"/>
    </row>
    <row r="119" spans="1:29" x14ac:dyDescent="0.35">
      <c r="B119" s="219"/>
      <c r="F119" t="s">
        <v>510</v>
      </c>
      <c r="G119" s="297">
        <f>P164</f>
        <v>814810</v>
      </c>
      <c r="H119" s="297">
        <f>$P$165</f>
        <v>1282500</v>
      </c>
      <c r="I119" s="297">
        <f t="shared" ref="I119:L119" si="106">$P$165</f>
        <v>1282500</v>
      </c>
      <c r="J119" s="297">
        <f t="shared" si="106"/>
        <v>1282500</v>
      </c>
      <c r="K119" s="297">
        <f t="shared" si="106"/>
        <v>1282500</v>
      </c>
      <c r="L119" s="297">
        <f t="shared" si="106"/>
        <v>1282500</v>
      </c>
      <c r="M119" s="298">
        <f>SUM(G119:L119)</f>
        <v>7227310</v>
      </c>
      <c r="N119" s="129" t="s">
        <v>418</v>
      </c>
      <c r="O119" s="222">
        <v>750000</v>
      </c>
      <c r="P119" s="215">
        <f>M119-M117</f>
        <v>6554185</v>
      </c>
      <c r="Q119" s="162"/>
      <c r="U119" t="s">
        <v>510</v>
      </c>
      <c r="V119" s="161">
        <f>$P$165</f>
        <v>1282500</v>
      </c>
      <c r="W119" s="161">
        <f t="shared" ref="W119:Y119" si="107">$P$165</f>
        <v>1282500</v>
      </c>
      <c r="X119" s="161">
        <f t="shared" si="107"/>
        <v>1282500</v>
      </c>
      <c r="Y119" s="161">
        <f t="shared" si="107"/>
        <v>1282500</v>
      </c>
      <c r="Z119" s="161">
        <f>SUM(V119:Y119)</f>
        <v>5130000</v>
      </c>
      <c r="AA119" s="129" t="s">
        <v>418</v>
      </c>
      <c r="AB119" s="222">
        <f>750000*0.8</f>
        <v>600000</v>
      </c>
    </row>
    <row r="120" spans="1:29" x14ac:dyDescent="0.35">
      <c r="B120" s="219"/>
      <c r="F120" t="s">
        <v>509</v>
      </c>
      <c r="G120" s="299">
        <f>G119/Assumpt!D65</f>
        <v>3.9746829268292685</v>
      </c>
      <c r="H120" s="299">
        <f>H119/Assumpt!E65</f>
        <v>5.0294117647058822</v>
      </c>
      <c r="I120" s="299">
        <f>I119/Assumpt!F65</f>
        <v>5.0294117647058822</v>
      </c>
      <c r="J120" s="299">
        <f>J119/Assumpt!G65</f>
        <v>5.0294117647058822</v>
      </c>
      <c r="K120" s="299">
        <f>K119/Assumpt!H65</f>
        <v>5.0294117647058822</v>
      </c>
      <c r="L120" s="299">
        <f>L119/Assumpt!I65</f>
        <v>5.0294117647058822</v>
      </c>
      <c r="M120" s="233"/>
      <c r="O120" s="215">
        <f>O117+O119</f>
        <v>1578055.5555555555</v>
      </c>
      <c r="P120" s="215"/>
      <c r="Q120" s="162"/>
      <c r="U120" t="s">
        <v>498</v>
      </c>
      <c r="V120" s="302">
        <f>$O$165</f>
        <v>5.0294117647058822</v>
      </c>
      <c r="W120" s="302">
        <f t="shared" ref="W120:Y120" si="108">$O$165</f>
        <v>5.0294117647058822</v>
      </c>
      <c r="X120" s="302">
        <f t="shared" si="108"/>
        <v>5.0294117647058822</v>
      </c>
      <c r="Y120" s="302">
        <f t="shared" si="108"/>
        <v>5.0294117647058822</v>
      </c>
      <c r="Z120" s="161"/>
      <c r="AB120" s="215">
        <f>AB117+AB119</f>
        <v>1506239.3162393162</v>
      </c>
      <c r="AC120" s="215">
        <f>Z119-Z117</f>
        <v>4471500</v>
      </c>
    </row>
    <row r="121" spans="1:29" x14ac:dyDescent="0.35">
      <c r="B121" s="219"/>
      <c r="G121" s="161"/>
      <c r="H121" s="161"/>
      <c r="I121" s="161"/>
      <c r="J121" s="161"/>
      <c r="K121" s="161"/>
      <c r="L121" s="161"/>
      <c r="M121" s="161">
        <f>SUM(G121:L121)</f>
        <v>0</v>
      </c>
      <c r="N121" t="s">
        <v>427</v>
      </c>
      <c r="O121" s="215">
        <f>(O117+O119)/(SUM(Assumpt!D65:I65))</f>
        <v>1.0662537537537538</v>
      </c>
      <c r="Q121" s="162"/>
      <c r="Z121" s="161"/>
      <c r="AA121" t="s">
        <v>427</v>
      </c>
      <c r="AB121" s="215">
        <f>AB120/SUM(U69:Y69)</f>
        <v>1.4767052119993296</v>
      </c>
    </row>
    <row r="122" spans="1:29" x14ac:dyDescent="0.35">
      <c r="B122" s="219"/>
      <c r="M122" s="161">
        <f>M119-M117</f>
        <v>6554185</v>
      </c>
      <c r="O122" s="215"/>
      <c r="Q122" s="162"/>
      <c r="Z122" s="161">
        <f>Z119-Z117</f>
        <v>4471500</v>
      </c>
    </row>
    <row r="123" spans="1:29" x14ac:dyDescent="0.35">
      <c r="B123" s="219"/>
      <c r="O123" s="215"/>
      <c r="Q123" s="162"/>
    </row>
    <row r="124" spans="1:29" x14ac:dyDescent="0.35">
      <c r="B124" s="219"/>
      <c r="O124" s="215"/>
      <c r="Q124" s="162"/>
    </row>
    <row r="125" spans="1:29" x14ac:dyDescent="0.35">
      <c r="A125">
        <v>9</v>
      </c>
      <c r="B125" s="219" t="str">
        <f>B76</f>
        <v>CIF Retrofit</v>
      </c>
      <c r="C125" t="s">
        <v>89</v>
      </c>
      <c r="D125" t="str">
        <f t="shared" ref="D125:D127" si="109">CONCATENATE(A125,C125)</f>
        <v>9Labor</v>
      </c>
      <c r="E125" s="159">
        <v>0.1</v>
      </c>
      <c r="G125" s="161">
        <f>SUMIF('Pricing details'!$H$12:$H$121,$D125:$D127,'Pricing details'!AM$12:AM$121)</f>
        <v>0</v>
      </c>
      <c r="H125" s="161">
        <f>SUMIF('Pricing details'!$H$12:$H$121,$D125:$D127,'Pricing details'!AN$12:AN$121)</f>
        <v>0</v>
      </c>
      <c r="I125" s="161">
        <f>SUMIF('Pricing details'!$H$12:$H$121,$D125:$D127,'Pricing details'!AO$12:AO$121)</f>
        <v>0</v>
      </c>
      <c r="J125" s="161">
        <f>SUMIF('Pricing details'!$H$12:$H$121,$D125:$D127,'Pricing details'!AP$12:AP$121)</f>
        <v>0</v>
      </c>
      <c r="K125" s="161">
        <f>SUMIF('Pricing details'!$H$12:$H$121,$D125:$D127,'Pricing details'!AQ$12:AQ$121)</f>
        <v>0</v>
      </c>
      <c r="L125" s="161">
        <f>SUMIF('Pricing details'!$H$12:$H$121,$D125:$D127,'Pricing details'!AR$12:AR$121)</f>
        <v>0</v>
      </c>
      <c r="M125" s="161">
        <f>SUM(G125:L125)</f>
        <v>0</v>
      </c>
      <c r="O125" s="215">
        <f>M125/(1-E125)</f>
        <v>0</v>
      </c>
      <c r="Q125" s="162"/>
      <c r="R125" t="s">
        <v>89</v>
      </c>
      <c r="S125" t="str">
        <f t="shared" ref="S125:S127" si="110">CONCATENATE(P125,R125)</f>
        <v>Labor</v>
      </c>
      <c r="T125" s="159">
        <v>0.1</v>
      </c>
    </row>
    <row r="126" spans="1:29" x14ac:dyDescent="0.35">
      <c r="A126">
        <v>9</v>
      </c>
      <c r="B126" s="219"/>
      <c r="C126" t="s">
        <v>119</v>
      </c>
      <c r="D126" t="str">
        <f t="shared" si="109"/>
        <v>9ODCS</v>
      </c>
      <c r="E126" s="159">
        <v>0.1</v>
      </c>
      <c r="G126" s="161">
        <f>SUMIF('Pricing details'!$H$12:$H$121,$D126:$D128,'Pricing details'!AM$12:AM$121)</f>
        <v>170000</v>
      </c>
      <c r="H126" s="161">
        <f>SUMIF('Pricing details'!$H$12:$H$121,$D126:$D128,'Pricing details'!AN$12:AN$121)</f>
        <v>0</v>
      </c>
      <c r="I126" s="161">
        <f>SUMIF('Pricing details'!$H$12:$H$121,$D126:$D128,'Pricing details'!AO$12:AO$121)</f>
        <v>0</v>
      </c>
      <c r="J126" s="161">
        <f>SUMIF('Pricing details'!$H$12:$H$121,$D126:$D128,'Pricing details'!AP$12:AP$121)</f>
        <v>0</v>
      </c>
      <c r="K126" s="161">
        <f>SUMIF('Pricing details'!$H$12:$H$121,$D126:$D128,'Pricing details'!AQ$12:AQ$121)</f>
        <v>0</v>
      </c>
      <c r="L126" s="161">
        <f>SUMIF('Pricing details'!$H$12:$H$121,$D126:$D128,'Pricing details'!AR$12:AR$121)</f>
        <v>0</v>
      </c>
      <c r="M126" s="161">
        <f t="shared" ref="M126:M127" si="111">SUM(G126:L126)</f>
        <v>170000</v>
      </c>
      <c r="O126" s="215">
        <f t="shared" ref="O126:O127" si="112">M126/(1-E126)</f>
        <v>188888.88888888888</v>
      </c>
      <c r="Q126" s="162"/>
      <c r="R126" t="s">
        <v>119</v>
      </c>
      <c r="S126" t="str">
        <f t="shared" si="110"/>
        <v>ODCS</v>
      </c>
      <c r="T126" s="159">
        <v>0.1</v>
      </c>
    </row>
    <row r="127" spans="1:29" x14ac:dyDescent="0.35">
      <c r="A127">
        <v>9</v>
      </c>
      <c r="B127" s="219"/>
      <c r="C127" t="s">
        <v>218</v>
      </c>
      <c r="D127" t="str">
        <f t="shared" si="109"/>
        <v>9Capital</v>
      </c>
      <c r="E127" s="159">
        <v>0.1</v>
      </c>
      <c r="G127" s="161">
        <f>SUMIF('Pricing details'!$H$12:$H$121,$D127:$D138,'Pricing details'!AM$12:AM$121)</f>
        <v>1130486.95</v>
      </c>
      <c r="H127" s="161">
        <f>SUMIF('Pricing details'!$H$12:$H$121,$D127:$D138,'Pricing details'!AN$12:AN$121)</f>
        <v>0</v>
      </c>
      <c r="I127" s="161">
        <f>SUMIF('Pricing details'!$H$12:$H$121,$D127:$D138,'Pricing details'!AO$12:AO$121)</f>
        <v>0</v>
      </c>
      <c r="J127" s="161">
        <f>SUMIF('Pricing details'!$H$12:$H$121,$D127:$D138,'Pricing details'!AP$12:AP$121)</f>
        <v>0</v>
      </c>
      <c r="K127" s="161">
        <f>SUMIF('Pricing details'!$H$12:$H$121,$D127:$D138,'Pricing details'!AQ$12:AQ$121)</f>
        <v>0</v>
      </c>
      <c r="L127" s="161">
        <f>SUMIF('Pricing details'!$H$12:$H$121,$D127:$D138,'Pricing details'!AR$12:AR$121)</f>
        <v>0</v>
      </c>
      <c r="M127" s="161">
        <f t="shared" si="111"/>
        <v>1130486.95</v>
      </c>
      <c r="O127" s="215">
        <f t="shared" si="112"/>
        <v>1256096.611111111</v>
      </c>
      <c r="Q127" s="162"/>
      <c r="R127" t="s">
        <v>218</v>
      </c>
      <c r="S127" t="str">
        <f t="shared" si="110"/>
        <v>Capital</v>
      </c>
      <c r="T127" s="159">
        <v>0.1</v>
      </c>
    </row>
    <row r="128" spans="1:29" x14ac:dyDescent="0.35">
      <c r="B128" s="219"/>
      <c r="G128" s="161">
        <f>SUM(G125:G127)</f>
        <v>1300486.95</v>
      </c>
      <c r="H128" s="161">
        <f t="shared" ref="H128:L128" si="113">SUM(H125:H127)</f>
        <v>0</v>
      </c>
      <c r="I128" s="161">
        <f t="shared" si="113"/>
        <v>0</v>
      </c>
      <c r="J128" s="161">
        <f t="shared" si="113"/>
        <v>0</v>
      </c>
      <c r="K128" s="161">
        <f t="shared" si="113"/>
        <v>0</v>
      </c>
      <c r="L128" s="161">
        <f t="shared" si="113"/>
        <v>0</v>
      </c>
      <c r="M128" s="161">
        <f>SUM(M125:M127)</f>
        <v>1300486.95</v>
      </c>
      <c r="O128" s="161">
        <f>SUM(O125:O127)</f>
        <v>1444985.5</v>
      </c>
      <c r="P128" s="161">
        <f>O128-M128</f>
        <v>144498.55000000005</v>
      </c>
      <c r="Q128" s="162"/>
    </row>
    <row r="129" spans="1:29" x14ac:dyDescent="0.35">
      <c r="B129" s="219"/>
      <c r="O129" s="295">
        <f>O128/125</f>
        <v>11559.884</v>
      </c>
      <c r="P129" s="215"/>
      <c r="Q129" s="162"/>
    </row>
    <row r="130" spans="1:29" x14ac:dyDescent="0.35">
      <c r="B130" s="219"/>
      <c r="O130" t="s">
        <v>409</v>
      </c>
      <c r="Q130" s="162"/>
    </row>
    <row r="131" spans="1:29" x14ac:dyDescent="0.35">
      <c r="A131">
        <v>10</v>
      </c>
      <c r="B131" s="219" t="s">
        <v>399</v>
      </c>
      <c r="C131" t="s">
        <v>89</v>
      </c>
      <c r="D131" t="str">
        <f>CONCATENATE(11,C131)</f>
        <v>11Labor</v>
      </c>
      <c r="E131" s="221">
        <v>6.25E-2</v>
      </c>
      <c r="G131" s="161"/>
      <c r="H131" s="161"/>
      <c r="I131" s="161"/>
      <c r="J131" s="161"/>
      <c r="K131" s="161"/>
      <c r="L131" s="161"/>
      <c r="M131" s="161">
        <f>SUM(G131:L131)</f>
        <v>0</v>
      </c>
      <c r="O131" s="215">
        <f>M131/(1-E131)</f>
        <v>0</v>
      </c>
      <c r="Q131" s="162"/>
      <c r="R131" t="s">
        <v>89</v>
      </c>
      <c r="S131" t="str">
        <f>CONCATENATE(11,R131)</f>
        <v>11Labor</v>
      </c>
      <c r="T131" s="221">
        <v>6.25E-2</v>
      </c>
    </row>
    <row r="132" spans="1:29" x14ac:dyDescent="0.35">
      <c r="A132">
        <v>10</v>
      </c>
      <c r="C132" t="s">
        <v>119</v>
      </c>
      <c r="D132" t="str">
        <f t="shared" ref="D132:D133" si="114">CONCATENATE(11,C132)</f>
        <v>11ODCS</v>
      </c>
      <c r="E132" s="221">
        <v>6.25E-2</v>
      </c>
      <c r="G132" s="161"/>
      <c r="H132" s="161"/>
      <c r="I132" s="161"/>
      <c r="J132" s="161"/>
      <c r="K132" s="161"/>
      <c r="L132" s="161"/>
      <c r="M132" s="161">
        <f t="shared" ref="M132:M133" si="115">SUM(G132:L132)</f>
        <v>0</v>
      </c>
      <c r="O132" s="215">
        <f>M132/(1-E132)</f>
        <v>0</v>
      </c>
      <c r="Q132" s="162"/>
      <c r="R132" t="s">
        <v>119</v>
      </c>
      <c r="S132" t="str">
        <f t="shared" ref="S132:S133" si="116">CONCATENATE(11,R132)</f>
        <v>11ODCS</v>
      </c>
      <c r="T132" s="221">
        <v>6.25E-2</v>
      </c>
    </row>
    <row r="133" spans="1:29" x14ac:dyDescent="0.35">
      <c r="A133">
        <v>10</v>
      </c>
      <c r="C133" t="s">
        <v>218</v>
      </c>
      <c r="D133" t="str">
        <f t="shared" si="114"/>
        <v>11Capital</v>
      </c>
      <c r="E133" s="221">
        <v>6.25E-2</v>
      </c>
      <c r="G133" s="161"/>
      <c r="H133" s="161"/>
      <c r="I133" s="161"/>
      <c r="J133" s="161"/>
      <c r="K133" s="161"/>
      <c r="L133" s="161"/>
      <c r="M133" s="161">
        <f t="shared" si="115"/>
        <v>0</v>
      </c>
      <c r="O133" s="215">
        <f>M133/(1-E133)</f>
        <v>0</v>
      </c>
      <c r="Q133" s="162"/>
      <c r="R133" t="s">
        <v>218</v>
      </c>
      <c r="S133" t="str">
        <f t="shared" si="116"/>
        <v>11Capital</v>
      </c>
      <c r="T133" s="221">
        <v>6.25E-2</v>
      </c>
    </row>
    <row r="134" spans="1:29" x14ac:dyDescent="0.35">
      <c r="G134" s="161"/>
      <c r="H134" s="161">
        <f t="shared" ref="H134:L134" si="117">SUM(H131:H133)</f>
        <v>0</v>
      </c>
      <c r="I134" s="161">
        <f t="shared" si="117"/>
        <v>0</v>
      </c>
      <c r="J134" s="161">
        <f t="shared" si="117"/>
        <v>0</v>
      </c>
      <c r="K134" s="161">
        <f t="shared" si="117"/>
        <v>0</v>
      </c>
      <c r="L134" s="161">
        <f t="shared" si="117"/>
        <v>0</v>
      </c>
      <c r="M134" s="161">
        <f>SUM(M131:M133)</f>
        <v>0</v>
      </c>
      <c r="O134" s="215">
        <f>SUM(O131:O133)</f>
        <v>0</v>
      </c>
      <c r="Q134" s="162"/>
    </row>
    <row r="135" spans="1:29" x14ac:dyDescent="0.35">
      <c r="M135" s="161">
        <f>SUM(G134:L134)</f>
        <v>0</v>
      </c>
      <c r="O135" s="215">
        <f>O134-M135</f>
        <v>0</v>
      </c>
      <c r="P135" s="215">
        <f>O135</f>
        <v>0</v>
      </c>
      <c r="Q135" s="162"/>
    </row>
    <row r="136" spans="1:29" x14ac:dyDescent="0.35">
      <c r="O136" t="e">
        <f>O134/G79</f>
        <v>#DIV/0!</v>
      </c>
      <c r="Q136" s="162"/>
    </row>
    <row r="137" spans="1:29" x14ac:dyDescent="0.35">
      <c r="B137" s="219"/>
      <c r="O137" t="s">
        <v>409</v>
      </c>
      <c r="Q137" s="162"/>
    </row>
    <row r="138" spans="1:29" x14ac:dyDescent="0.35">
      <c r="A138">
        <v>11</v>
      </c>
      <c r="B138" s="219" t="str">
        <f>B83</f>
        <v>Revenue CIF</v>
      </c>
      <c r="C138" t="s">
        <v>89</v>
      </c>
      <c r="D138" t="str">
        <f t="shared" ref="D138:D140" si="118">CONCATENATE(A138,C138)</f>
        <v>11Labor</v>
      </c>
      <c r="E138" s="221">
        <v>6.25E-2</v>
      </c>
      <c r="G138" s="161">
        <f>SUMIF('Pricing details'!$H$12:$H$121,$D138:$D140,'Pricing details'!AM$12:AM$121)</f>
        <v>16050158.497914828</v>
      </c>
      <c r="H138" s="161">
        <f>SUMIF('Pricing details'!$H$12:$H$121,$D138:$D140,'Pricing details'!AN$12:AN$121)</f>
        <v>20609790.559369687</v>
      </c>
      <c r="I138" s="161">
        <f>SUMIF('Pricing details'!$H$12:$H$121,$D138:$D140,'Pricing details'!AO$12:AO$121)</f>
        <v>20932974.718950778</v>
      </c>
      <c r="J138" s="161">
        <f>SUMIF('Pricing details'!$H$12:$H$121,$D138:$D140,'Pricing details'!AP$12:AP$121)</f>
        <v>21262902.2674473</v>
      </c>
      <c r="K138" s="161">
        <f>SUMIF('Pricing details'!$H$12:$H$121,$D138:$D140,'Pricing details'!AQ$12:AQ$121)</f>
        <v>21599747.025467999</v>
      </c>
      <c r="L138" s="161">
        <f>SUMIF('Pricing details'!$H$12:$H$121,$D138:$D140,'Pricing details'!AR$12:AR$121)</f>
        <v>21751773.392019376</v>
      </c>
      <c r="M138" s="161">
        <f>SUM(G138:L138)</f>
        <v>122207346.46116997</v>
      </c>
      <c r="O138" s="215">
        <f>M138/(1-E138)</f>
        <v>130354502.89191464</v>
      </c>
      <c r="Q138" s="162"/>
      <c r="R138" t="s">
        <v>89</v>
      </c>
      <c r="S138" t="str">
        <f t="shared" ref="S138:S140" si="119">CONCATENATE(P138,R138)</f>
        <v>Labor</v>
      </c>
      <c r="T138" s="221">
        <v>6.25E-2</v>
      </c>
      <c r="V138" s="161">
        <f>SUMIF('Pricing details'!$H$12:$H$121,$D138:$D140,'Pricing details'!AU$12:AU$121)</f>
        <v>21905320.022236262</v>
      </c>
      <c r="W138" s="161">
        <f>SUMIF('Pricing details'!$H$12:$H$121,$D138:$D140,'Pricing details'!AV$12:AV$121)</f>
        <v>22060402.118755314</v>
      </c>
      <c r="X138" s="161">
        <f>SUMIF('Pricing details'!$H$12:$H$121,$D138:$D140,'Pricing details'!AW$12:AW$121)</f>
        <v>22217035.036239561</v>
      </c>
      <c r="Y138" s="161">
        <f>SUMIF('Pricing details'!$H$12:$H$121,$D138:$D140,'Pricing details'!AX$12:AX$121)</f>
        <v>22735340.826658152</v>
      </c>
      <c r="Z138" s="161">
        <f>SUMIF('Pricing details'!$H$12:$H$121,$D138:$D140,'Pricing details'!AY$12:AY$121)</f>
        <v>88918098.003889292</v>
      </c>
      <c r="AA138" s="161"/>
      <c r="AB138" s="161">
        <f t="shared" ref="AB138:AB140" si="120">Z138/(1-T138)</f>
        <v>94845971.204148576</v>
      </c>
    </row>
    <row r="139" spans="1:29" x14ac:dyDescent="0.35">
      <c r="A139">
        <v>11</v>
      </c>
      <c r="C139" t="s">
        <v>119</v>
      </c>
      <c r="D139" t="str">
        <f t="shared" si="118"/>
        <v>11ODCS</v>
      </c>
      <c r="E139" s="221">
        <v>6.25E-2</v>
      </c>
      <c r="G139" s="161">
        <f>SUMIF('Pricing details'!$H$12:$H$121,$D139:$D141,'Pricing details'!AM$12:AM$121)</f>
        <v>5407567.7556192679</v>
      </c>
      <c r="H139" s="161">
        <f>SUMIF('Pricing details'!$H$12:$H$121,$D139:$D141,'Pricing details'!AN$12:AN$121)</f>
        <v>7255078.7703131288</v>
      </c>
      <c r="I139" s="161">
        <f>SUMIF('Pricing details'!$H$12:$H$121,$D139:$D141,'Pricing details'!AO$12:AO$121)</f>
        <v>6725603.7703131288</v>
      </c>
      <c r="J139" s="161">
        <f>SUMIF('Pricing details'!$H$12:$H$121,$D139:$D141,'Pricing details'!AP$12:AP$121)</f>
        <v>6725603.7703131288</v>
      </c>
      <c r="K139" s="161">
        <f>SUMIF('Pricing details'!$H$12:$H$121,$D139:$D141,'Pricing details'!AQ$12:AQ$121)</f>
        <v>6761996.2703131288</v>
      </c>
      <c r="L139" s="161">
        <f>SUMIF('Pricing details'!$H$12:$H$121,$D139:$D141,'Pricing details'!AR$12:AR$121)</f>
        <v>6761996.2703131288</v>
      </c>
      <c r="M139" s="161">
        <f t="shared" ref="M139:M140" si="121">SUM(G139:L139)</f>
        <v>39637846.607184917</v>
      </c>
      <c r="O139" s="215">
        <f>M139/(1-E139)</f>
        <v>42280369.714330576</v>
      </c>
      <c r="Q139" s="162"/>
      <c r="R139" t="s">
        <v>119</v>
      </c>
      <c r="S139" t="str">
        <f t="shared" si="119"/>
        <v>ODCS</v>
      </c>
      <c r="T139" s="221">
        <v>6.25E-2</v>
      </c>
      <c r="V139" s="161">
        <f>SUMIF('Pricing details'!$H$12:$H$121,$D139:$D141,'Pricing details'!AU$12:AU$121)</f>
        <v>6793373.4728131285</v>
      </c>
      <c r="W139" s="161">
        <f>SUMIF('Pricing details'!$H$12:$H$121,$D139:$D141,'Pricing details'!AV$12:AV$121)</f>
        <v>6793373.4728131285</v>
      </c>
      <c r="X139" s="161">
        <f>SUMIF('Pricing details'!$H$12:$H$121,$D139:$D141,'Pricing details'!AW$12:AW$121)</f>
        <v>6793373.4728131285</v>
      </c>
      <c r="Y139" s="161">
        <f>SUMIF('Pricing details'!$H$12:$H$121,$D139:$D141,'Pricing details'!AX$12:AX$121)</f>
        <v>6793373.4728131285</v>
      </c>
      <c r="Z139" s="161">
        <f>SUMIF('Pricing details'!$H$12:$H$121,$D139:$D141,'Pricing details'!AY$12:AY$121)</f>
        <v>27173493.891252514</v>
      </c>
      <c r="AA139" s="161"/>
      <c r="AB139" s="161">
        <f t="shared" si="120"/>
        <v>28985060.150669347</v>
      </c>
    </row>
    <row r="140" spans="1:29" x14ac:dyDescent="0.35">
      <c r="A140">
        <v>11</v>
      </c>
      <c r="C140" t="s">
        <v>218</v>
      </c>
      <c r="D140" t="str">
        <f t="shared" si="118"/>
        <v>11Capital</v>
      </c>
      <c r="E140" s="221">
        <v>6.25E-2</v>
      </c>
      <c r="G140" s="161">
        <f>SUMIF('Pricing details'!$H$12:$H$121,$D140:$D142,'Pricing details'!AM$12:AM$121)</f>
        <v>0</v>
      </c>
      <c r="H140" s="161">
        <f>SUMIF('Pricing details'!$H$12:$H$121,$D140:$D142,'Pricing details'!AN$12:AN$121)</f>
        <v>37500</v>
      </c>
      <c r="I140" s="161">
        <f>SUMIF('Pricing details'!$H$12:$H$121,$D140:$D142,'Pricing details'!AO$12:AO$121)</f>
        <v>37500</v>
      </c>
      <c r="J140" s="161">
        <f>SUMIF('Pricing details'!$H$12:$H$121,$D140:$D142,'Pricing details'!AP$12:AP$121)</f>
        <v>37500</v>
      </c>
      <c r="K140" s="161">
        <f>SUMIF('Pricing details'!$H$12:$H$121,$D140:$D142,'Pricing details'!AQ$12:AQ$121)</f>
        <v>37500</v>
      </c>
      <c r="L140" s="161">
        <f>SUMIF('Pricing details'!$H$12:$H$121,$D140:$D142,'Pricing details'!AR$12:AR$121)</f>
        <v>37500</v>
      </c>
      <c r="M140" s="161">
        <f t="shared" si="121"/>
        <v>187500</v>
      </c>
      <c r="O140" s="215">
        <f>M140/(1-E140)</f>
        <v>200000</v>
      </c>
      <c r="Q140" s="162"/>
      <c r="R140" t="s">
        <v>218</v>
      </c>
      <c r="S140" t="str">
        <f t="shared" si="119"/>
        <v>Capital</v>
      </c>
      <c r="T140" s="221">
        <v>6.25E-2</v>
      </c>
      <c r="V140" s="161">
        <f>SUMIF('Pricing details'!$H$12:$H$121,$D140:$D142,'Pricing details'!AU$12:AU$121)</f>
        <v>471700</v>
      </c>
      <c r="W140" s="161">
        <f>SUMIF('Pricing details'!$H$12:$H$121,$D140:$D142,'Pricing details'!AV$12:AV$121)</f>
        <v>37500</v>
      </c>
      <c r="X140" s="161">
        <f>SUMIF('Pricing details'!$H$12:$H$121,$D140:$D142,'Pricing details'!AW$12:AW$121)</f>
        <v>37500</v>
      </c>
      <c r="Y140" s="161">
        <f>SUMIF('Pricing details'!$H$12:$H$121,$D140:$D142,'Pricing details'!AX$12:AX$121)</f>
        <v>37500</v>
      </c>
      <c r="Z140" s="161">
        <f>SUMIF('Pricing details'!$H$12:$H$121,$D140:$D142,'Pricing details'!AY$12:AY$121)</f>
        <v>584200</v>
      </c>
      <c r="AA140" s="161"/>
      <c r="AB140" s="161">
        <f t="shared" si="120"/>
        <v>623146.66666666663</v>
      </c>
    </row>
    <row r="141" spans="1:29" x14ac:dyDescent="0.35">
      <c r="G141" s="161">
        <f t="shared" ref="G141" si="122">SUM(G138:G140)</f>
        <v>21457726.253534097</v>
      </c>
      <c r="H141" s="161">
        <f t="shared" ref="H141:L141" si="123">SUM(H138:H140)</f>
        <v>27902369.329682816</v>
      </c>
      <c r="I141" s="161">
        <f t="shared" si="123"/>
        <v>27696078.489263907</v>
      </c>
      <c r="J141" s="161">
        <f t="shared" si="123"/>
        <v>28026006.037760429</v>
      </c>
      <c r="K141" s="161">
        <f t="shared" si="123"/>
        <v>28399243.295781128</v>
      </c>
      <c r="L141" s="161">
        <f t="shared" si="123"/>
        <v>28551269.662332505</v>
      </c>
      <c r="M141" s="161">
        <f>SUM(M138:M140)</f>
        <v>162032693.0683549</v>
      </c>
      <c r="O141" s="215">
        <f>SUM(O138:O140)</f>
        <v>172834872.60624522</v>
      </c>
      <c r="Q141" s="162"/>
      <c r="V141" s="161">
        <f>SUM(V138:V140)</f>
        <v>29170393.495049391</v>
      </c>
      <c r="W141" s="161">
        <f t="shared" ref="W141" si="124">SUM(W138:W140)</f>
        <v>28891275.591568444</v>
      </c>
      <c r="X141" s="161">
        <f t="shared" ref="X141" si="125">SUM(X138:X140)</f>
        <v>29047908.50905269</v>
      </c>
      <c r="Y141" s="161">
        <f t="shared" ref="Y141" si="126">SUM(Y138:Y140)</f>
        <v>29566214.299471281</v>
      </c>
      <c r="Z141" s="161">
        <f>SUM(Z138:Z140)</f>
        <v>116675791.89514181</v>
      </c>
      <c r="AA141" s="161"/>
      <c r="AB141" s="215">
        <f>SUM(AB138:AB140)</f>
        <v>124454178.0214846</v>
      </c>
    </row>
    <row r="142" spans="1:29" x14ac:dyDescent="0.35">
      <c r="M142" s="161">
        <f>SUM(G141:L141)</f>
        <v>162032693.0683549</v>
      </c>
      <c r="O142" s="215">
        <f>O141-M142</f>
        <v>10802179.537890315</v>
      </c>
      <c r="P142" s="161">
        <f>M147-M142</f>
        <v>5802179.5378903151</v>
      </c>
      <c r="Q142" s="162"/>
      <c r="Z142" s="161">
        <f>SUM(V141:Y141)</f>
        <v>116675791.89514181</v>
      </c>
      <c r="AB142" s="215">
        <f>AB141-Z141</f>
        <v>7778386.1263427883</v>
      </c>
      <c r="AC142" s="215">
        <f>Z147-Z142</f>
        <v>4445052.79300946</v>
      </c>
    </row>
    <row r="143" spans="1:29" x14ac:dyDescent="0.35">
      <c r="G143" s="226">
        <f>G138/(1-$T138)</f>
        <v>17120169.064442482</v>
      </c>
      <c r="H143" s="226">
        <f>H138/(1-$T138)</f>
        <v>21983776.596660998</v>
      </c>
      <c r="I143" s="226">
        <f t="shared" ref="I143:L143" si="127">I138/(1-$T138)</f>
        <v>22328506.36688083</v>
      </c>
      <c r="J143" s="226">
        <f t="shared" si="127"/>
        <v>22680429.085277122</v>
      </c>
      <c r="K143" s="226">
        <f t="shared" si="127"/>
        <v>23039730.1604992</v>
      </c>
      <c r="L143" s="226">
        <f t="shared" si="127"/>
        <v>23201891.618154</v>
      </c>
      <c r="M143" s="226">
        <f t="shared" ref="M143:M145" si="128">SUM(G143:L143)</f>
        <v>130354502.89191464</v>
      </c>
      <c r="O143">
        <f>O141/SUM(G83:L83)</f>
        <v>15.820125639015581</v>
      </c>
      <c r="Q143" s="162"/>
      <c r="V143" s="161">
        <f>V138/(1-$T138)</f>
        <v>23365674.690385345</v>
      </c>
      <c r="W143" s="161">
        <f t="shared" ref="W143:Y143" si="129">W138/(1-$T138)</f>
        <v>23531095.593339004</v>
      </c>
      <c r="X143" s="161">
        <f t="shared" si="129"/>
        <v>23698170.705322199</v>
      </c>
      <c r="Y143" s="161">
        <f t="shared" si="129"/>
        <v>24251030.215102028</v>
      </c>
      <c r="Z143" s="215"/>
      <c r="AA143" t="s">
        <v>497</v>
      </c>
    </row>
    <row r="144" spans="1:29" x14ac:dyDescent="0.35">
      <c r="G144" s="226">
        <f t="shared" ref="G144" si="130">G139/(1-$T139)</f>
        <v>5768072.2726605525</v>
      </c>
      <c r="H144" s="226">
        <f t="shared" ref="H144:L144" si="131">H139/(1-$T139)</f>
        <v>7738750.688334004</v>
      </c>
      <c r="I144" s="226">
        <f t="shared" si="131"/>
        <v>7173977.355000671</v>
      </c>
      <c r="J144" s="226">
        <f t="shared" si="131"/>
        <v>7173977.355000671</v>
      </c>
      <c r="K144" s="226">
        <f t="shared" si="131"/>
        <v>7212796.021667337</v>
      </c>
      <c r="L144" s="226">
        <f t="shared" si="131"/>
        <v>7212796.021667337</v>
      </c>
      <c r="M144" s="226">
        <f t="shared" si="128"/>
        <v>42280369.714330576</v>
      </c>
      <c r="Q144" s="162"/>
      <c r="V144" s="161">
        <f t="shared" ref="V144:Y145" si="132">V139/(1-$T139)</f>
        <v>7246265.0376673369</v>
      </c>
      <c r="W144" s="161">
        <f t="shared" si="132"/>
        <v>7246265.0376673369</v>
      </c>
      <c r="X144" s="161">
        <f t="shared" si="132"/>
        <v>7246265.0376673369</v>
      </c>
      <c r="Y144" s="161">
        <f t="shared" si="132"/>
        <v>7246265.0376673369</v>
      </c>
      <c r="Z144" s="215"/>
    </row>
    <row r="145" spans="3:29" x14ac:dyDescent="0.35">
      <c r="G145" s="226">
        <f t="shared" ref="G145" si="133">G140/(1-$T140)</f>
        <v>0</v>
      </c>
      <c r="H145" s="226">
        <f t="shared" ref="H145:L145" si="134">H140/(1-$T140)</f>
        <v>40000</v>
      </c>
      <c r="I145" s="226">
        <f t="shared" si="134"/>
        <v>40000</v>
      </c>
      <c r="J145" s="226">
        <f t="shared" si="134"/>
        <v>40000</v>
      </c>
      <c r="K145" s="226">
        <f t="shared" si="134"/>
        <v>40000</v>
      </c>
      <c r="L145" s="226">
        <f t="shared" si="134"/>
        <v>40000</v>
      </c>
      <c r="M145" s="226">
        <f t="shared" si="128"/>
        <v>200000</v>
      </c>
      <c r="Q145" s="162"/>
      <c r="V145" s="161">
        <f t="shared" si="132"/>
        <v>503146.66666666669</v>
      </c>
      <c r="W145" s="161">
        <f t="shared" si="132"/>
        <v>40000</v>
      </c>
      <c r="X145" s="161">
        <f t="shared" si="132"/>
        <v>40000</v>
      </c>
      <c r="Y145" s="161">
        <f t="shared" si="132"/>
        <v>40000</v>
      </c>
      <c r="Z145" s="215"/>
    </row>
    <row r="146" spans="3:29" x14ac:dyDescent="0.35">
      <c r="G146" s="226">
        <f>SUM(G143:G145)</f>
        <v>22888241.337103035</v>
      </c>
      <c r="H146" s="226">
        <f>SUM(H143:H145)</f>
        <v>29762527.284995001</v>
      </c>
      <c r="I146" s="226">
        <f t="shared" ref="I146:M146" si="135">SUM(I143:I145)</f>
        <v>29542483.721881501</v>
      </c>
      <c r="J146" s="226">
        <f t="shared" si="135"/>
        <v>29894406.440277793</v>
      </c>
      <c r="K146" s="226">
        <f t="shared" si="135"/>
        <v>30292526.182166539</v>
      </c>
      <c r="L146" s="226">
        <f t="shared" si="135"/>
        <v>30454687.639821336</v>
      </c>
      <c r="M146" s="226">
        <f t="shared" si="135"/>
        <v>172834872.60624522</v>
      </c>
      <c r="V146" s="161">
        <f>SUM(V143:V145)</f>
        <v>31115086.394719351</v>
      </c>
      <c r="W146" s="161">
        <f t="shared" ref="W146:Y146" si="136">SUM(W143:W145)</f>
        <v>30817360.631006341</v>
      </c>
      <c r="X146" s="161">
        <f t="shared" si="136"/>
        <v>30984435.742989536</v>
      </c>
      <c r="Y146" s="161">
        <f t="shared" si="136"/>
        <v>31537295.252769366</v>
      </c>
      <c r="Z146" s="161">
        <f>SUM(V146:Y146)</f>
        <v>124454178.0214846</v>
      </c>
    </row>
    <row r="147" spans="3:29" x14ac:dyDescent="0.35">
      <c r="C147" t="s">
        <v>511</v>
      </c>
      <c r="E147" s="226">
        <v>5000000</v>
      </c>
      <c r="G147" s="226">
        <f>G146-$E$148</f>
        <v>22054908.003769703</v>
      </c>
      <c r="H147" s="226">
        <f t="shared" ref="H147:L147" si="137">H146-$E$148</f>
        <v>28929193.951661669</v>
      </c>
      <c r="I147" s="226">
        <f t="shared" si="137"/>
        <v>28709150.388548169</v>
      </c>
      <c r="J147" s="226">
        <f t="shared" si="137"/>
        <v>29061073.10694446</v>
      </c>
      <c r="K147" s="226">
        <f t="shared" si="137"/>
        <v>29459192.848833207</v>
      </c>
      <c r="L147" s="226">
        <f t="shared" si="137"/>
        <v>29621354.306488004</v>
      </c>
      <c r="M147" s="226">
        <f>SUM(G147:L147)</f>
        <v>167834872.60624522</v>
      </c>
      <c r="N147" s="161"/>
      <c r="U147" s="215">
        <f>AC120-750000</f>
        <v>3721500</v>
      </c>
      <c r="V147" s="226">
        <f>V146-$E$148</f>
        <v>30281753.061386019</v>
      </c>
      <c r="W147" s="226">
        <f t="shared" ref="W147:Y147" si="138">W146-$E$148</f>
        <v>29984027.297673009</v>
      </c>
      <c r="X147" s="226">
        <f t="shared" si="138"/>
        <v>30151102.409656204</v>
      </c>
      <c r="Y147" s="226">
        <f t="shared" si="138"/>
        <v>30703961.919436034</v>
      </c>
      <c r="Z147" s="161">
        <f>SUM(V147:Y147)</f>
        <v>121120844.68815127</v>
      </c>
    </row>
    <row r="148" spans="3:29" x14ac:dyDescent="0.35">
      <c r="E148" s="215">
        <f>E147/6</f>
        <v>833333.33333333337</v>
      </c>
      <c r="G148" s="303">
        <f>G147/Assumpt!D61</f>
        <v>15.477128423698037</v>
      </c>
      <c r="H148" s="303">
        <f>H147/Assumpt!E61</f>
        <v>15.225891553506141</v>
      </c>
      <c r="I148" s="303">
        <f>I147/Assumpt!F61</f>
        <v>15.110079151867458</v>
      </c>
      <c r="J148" s="303">
        <f>J147/Assumpt!G61</f>
        <v>15.295301635233926</v>
      </c>
      <c r="K148" s="303">
        <f>K147/Assumpt!H61</f>
        <v>15.504838341491162</v>
      </c>
      <c r="L148" s="303">
        <f>L147/Assumpt!I61</f>
        <v>15.59018647709895</v>
      </c>
      <c r="M148" s="129"/>
      <c r="U148" s="215">
        <f>U147/4</f>
        <v>930375</v>
      </c>
      <c r="V148" s="303">
        <f>V147/Assumpt!J61</f>
        <v>15.937764769150537</v>
      </c>
      <c r="W148" s="303">
        <f>W147/Assumpt!K61</f>
        <v>15.781066998775268</v>
      </c>
      <c r="X148" s="303">
        <f>X147/Assumpt!L61</f>
        <v>15.869001268240108</v>
      </c>
      <c r="Y148" s="303">
        <f>Y147/Assumpt!M61</f>
        <v>16.159979957597912</v>
      </c>
    </row>
    <row r="149" spans="3:29" x14ac:dyDescent="0.35">
      <c r="G149" s="129"/>
      <c r="H149" s="129"/>
      <c r="I149" s="129"/>
      <c r="J149" s="129"/>
      <c r="K149" s="129"/>
      <c r="L149" s="129"/>
      <c r="M149" s="129"/>
    </row>
    <row r="150" spans="3:29" x14ac:dyDescent="0.35">
      <c r="G150" s="293"/>
      <c r="H150" s="293"/>
      <c r="I150" s="293"/>
      <c r="J150" s="293"/>
      <c r="K150" s="293"/>
      <c r="L150" s="293"/>
      <c r="P150" s="161">
        <f>SUM(P93:P142)</f>
        <v>13222201.340027068</v>
      </c>
      <c r="V150" s="293"/>
      <c r="W150" s="293"/>
      <c r="X150" s="293"/>
      <c r="Y150" s="293"/>
      <c r="AC150" s="161">
        <f>SUM(AC93:AC142)</f>
        <v>8916552.79300946</v>
      </c>
    </row>
    <row r="152" spans="3:29" x14ac:dyDescent="0.35">
      <c r="P152" s="161">
        <f>M146-M147</f>
        <v>5000000</v>
      </c>
      <c r="U152" t="s">
        <v>498</v>
      </c>
      <c r="V152" s="293">
        <f>V146/Assumpt!J61</f>
        <v>16.376361260378605</v>
      </c>
      <c r="W152" s="293">
        <f>W146/Assumpt!K61</f>
        <v>16.219663490003338</v>
      </c>
      <c r="X152" s="293">
        <f>X146/Assumpt!L61</f>
        <v>16.307597759468177</v>
      </c>
      <c r="Y152" s="293">
        <f>Y146/Assumpt!M61</f>
        <v>16.59857644882598</v>
      </c>
      <c r="AC152" s="161"/>
    </row>
    <row r="156" spans="3:29" x14ac:dyDescent="0.35">
      <c r="G156" s="161">
        <f t="shared" ref="G156:L156" si="139">G141+G134+G128+G117+G109+G104+G98+G93</f>
        <v>25165256.472764865</v>
      </c>
      <c r="H156" s="161">
        <f t="shared" si="139"/>
        <v>28036995.329682816</v>
      </c>
      <c r="I156" s="161">
        <f t="shared" si="139"/>
        <v>27830703.489263907</v>
      </c>
      <c r="J156" s="161">
        <f t="shared" si="139"/>
        <v>28160631.037760429</v>
      </c>
      <c r="K156" s="161">
        <f t="shared" si="139"/>
        <v>28533868.295781128</v>
      </c>
      <c r="L156" s="161">
        <f t="shared" si="139"/>
        <v>28685894.662332505</v>
      </c>
      <c r="M156" s="161">
        <f>SUM(G156:L156)</f>
        <v>166413349.28758565</v>
      </c>
    </row>
    <row r="162" spans="7:17" x14ac:dyDescent="0.35"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</row>
    <row r="163" spans="7:17" x14ac:dyDescent="0.35">
      <c r="G163" s="129"/>
      <c r="H163" s="129" t="s">
        <v>501</v>
      </c>
      <c r="I163" s="129" t="s">
        <v>502</v>
      </c>
      <c r="J163" s="129" t="s">
        <v>503</v>
      </c>
      <c r="K163" s="129"/>
      <c r="L163" s="129"/>
      <c r="M163" s="129"/>
      <c r="N163" s="129" t="s">
        <v>504</v>
      </c>
      <c r="O163" s="129" t="s">
        <v>505</v>
      </c>
      <c r="P163" s="129"/>
    </row>
    <row r="164" spans="7:17" x14ac:dyDescent="0.35">
      <c r="G164" s="129" t="s">
        <v>500</v>
      </c>
      <c r="H164" s="129">
        <v>1000</v>
      </c>
      <c r="I164" s="129">
        <v>72.540000000000006</v>
      </c>
      <c r="J164" s="129">
        <v>9</v>
      </c>
      <c r="K164" s="129">
        <f>H164*I164*J164</f>
        <v>652860</v>
      </c>
      <c r="L164" s="129">
        <v>205000</v>
      </c>
      <c r="M164" s="129">
        <f>K164/L164</f>
        <v>3.1846829268292685</v>
      </c>
      <c r="N164" s="129">
        <v>0.79</v>
      </c>
      <c r="O164" s="291">
        <f>M164+N164</f>
        <v>3.9746829268292685</v>
      </c>
      <c r="P164" s="129">
        <f>O164*L164</f>
        <v>814810</v>
      </c>
    </row>
    <row r="165" spans="7:17" x14ac:dyDescent="0.35">
      <c r="G165" s="129" t="s">
        <v>499</v>
      </c>
      <c r="H165" s="129">
        <v>1000</v>
      </c>
      <c r="I165" s="129">
        <v>75</v>
      </c>
      <c r="J165" s="129">
        <v>12</v>
      </c>
      <c r="K165" s="129">
        <f>H165*I165*J165</f>
        <v>900000</v>
      </c>
      <c r="L165" s="129">
        <v>255000</v>
      </c>
      <c r="M165" s="129">
        <f>K165/L165</f>
        <v>3.5294117647058822</v>
      </c>
      <c r="N165" s="129">
        <v>1.5</v>
      </c>
      <c r="O165" s="291">
        <f>M165+N165</f>
        <v>5.0294117647058822</v>
      </c>
      <c r="P165" s="129">
        <f>O165*L165</f>
        <v>1282500</v>
      </c>
      <c r="Q165" s="156"/>
    </row>
    <row r="166" spans="7:17" x14ac:dyDescent="0.35"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</row>
    <row r="170" spans="7:17" x14ac:dyDescent="0.35">
      <c r="G170" s="160"/>
      <c r="H170" s="160"/>
      <c r="I170" s="160"/>
      <c r="J170" s="160"/>
      <c r="K170" s="160"/>
      <c r="L170" s="160"/>
    </row>
    <row r="171" spans="7:17" x14ac:dyDescent="0.35">
      <c r="L171" s="128"/>
    </row>
  </sheetData>
  <phoneticPr fontId="30" type="noConversion"/>
  <pageMargins left="0.7" right="0.7" top="0.75" bottom="0.75" header="0.3" footer="0.3"/>
  <pageSetup scale="33" fitToHeight="0" orientation="landscape" r:id="rId1"/>
  <headerFooter>
    <oddHeader>&amp;L&amp;"Franklin Gothic Book"&amp;10&amp;K000000Sensitive&amp;1#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CABA-CDF1-4112-BBBB-36B14DDBA759}">
  <sheetPr>
    <pageSetUpPr fitToPage="1"/>
  </sheetPr>
  <dimension ref="A1:U40"/>
  <sheetViews>
    <sheetView zoomScale="145" zoomScaleNormal="145" workbookViewId="0">
      <selection activeCell="E17" sqref="E17"/>
    </sheetView>
  </sheetViews>
  <sheetFormatPr defaultRowHeight="14.5" x14ac:dyDescent="0.35"/>
  <cols>
    <col min="1" max="1" width="5.81640625" customWidth="1"/>
    <col min="2" max="2" width="46.54296875" customWidth="1"/>
    <col min="3" max="3" width="14.1796875" customWidth="1"/>
    <col min="4" max="4" width="19.1796875" customWidth="1"/>
    <col min="5" max="10" width="13.81640625" customWidth="1"/>
    <col min="11" max="11" width="30.453125" customWidth="1"/>
    <col min="12" max="12" width="13.81640625" customWidth="1"/>
    <col min="13" max="13" width="15.54296875" customWidth="1"/>
    <col min="14" max="15" width="13.81640625" customWidth="1"/>
    <col min="17" max="17" width="9.1796875" customWidth="1"/>
    <col min="18" max="18" width="41.7265625" customWidth="1"/>
    <col min="19" max="19" width="32.453125" customWidth="1"/>
    <col min="20" max="20" width="38.453125" customWidth="1"/>
    <col min="21" max="21" width="29" customWidth="1"/>
    <col min="22" max="22" width="30.26953125" customWidth="1"/>
  </cols>
  <sheetData>
    <row r="1" spans="1:21" ht="60" customHeight="1" x14ac:dyDescent="0.35">
      <c r="A1" s="411" t="s">
        <v>435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3"/>
    </row>
    <row r="2" spans="1:21" ht="27.75" customHeight="1" x14ac:dyDescent="0.35">
      <c r="A2" s="414" t="s">
        <v>436</v>
      </c>
      <c r="B2" s="415"/>
      <c r="C2" s="415"/>
      <c r="D2" s="416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</row>
    <row r="3" spans="1:21" ht="35.25" customHeight="1" x14ac:dyDescent="0.35">
      <c r="A3" s="414" t="s">
        <v>437</v>
      </c>
      <c r="B3" s="415"/>
      <c r="C3" s="415"/>
      <c r="D3" s="416"/>
      <c r="E3" s="418" t="s">
        <v>438</v>
      </c>
      <c r="F3" s="418"/>
      <c r="G3" s="418"/>
      <c r="H3" s="418"/>
      <c r="I3" s="418"/>
      <c r="J3" s="418"/>
      <c r="K3" s="418"/>
      <c r="L3" s="418"/>
      <c r="M3" s="418"/>
      <c r="N3" s="418"/>
      <c r="O3" s="418"/>
    </row>
    <row r="4" spans="1:21" ht="88.75" customHeight="1" x14ac:dyDescent="0.35">
      <c r="A4" s="409" t="s">
        <v>439</v>
      </c>
      <c r="B4" s="410"/>
      <c r="C4" s="249" t="s">
        <v>440</v>
      </c>
      <c r="D4" s="249" t="s">
        <v>441</v>
      </c>
      <c r="E4" s="249" t="s">
        <v>442</v>
      </c>
      <c r="F4" s="249" t="s">
        <v>443</v>
      </c>
      <c r="G4" s="249" t="s">
        <v>444</v>
      </c>
      <c r="H4" s="249" t="s">
        <v>445</v>
      </c>
      <c r="I4" s="249" t="s">
        <v>446</v>
      </c>
      <c r="J4" s="249" t="s">
        <v>447</v>
      </c>
      <c r="K4" s="249" t="s">
        <v>448</v>
      </c>
      <c r="L4" s="249" t="s">
        <v>449</v>
      </c>
      <c r="M4" s="249" t="s">
        <v>450</v>
      </c>
      <c r="N4" s="249" t="s">
        <v>451</v>
      </c>
      <c r="O4" s="249" t="s">
        <v>452</v>
      </c>
    </row>
    <row r="5" spans="1:21" ht="15" customHeight="1" x14ac:dyDescent="0.35">
      <c r="A5" s="397" t="s">
        <v>453</v>
      </c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9"/>
      <c r="T5" s="220" t="s">
        <v>561</v>
      </c>
      <c r="U5" s="220"/>
    </row>
    <row r="6" spans="1:21" ht="35.25" customHeight="1" x14ac:dyDescent="0.65">
      <c r="A6" s="250">
        <v>1</v>
      </c>
      <c r="B6" s="251" t="s">
        <v>454</v>
      </c>
      <c r="C6" s="252">
        <v>1</v>
      </c>
      <c r="D6" s="252" t="s">
        <v>455</v>
      </c>
      <c r="E6" s="400"/>
      <c r="F6" s="401"/>
      <c r="G6" s="401"/>
      <c r="H6" s="401"/>
      <c r="I6" s="401"/>
      <c r="J6" s="401"/>
      <c r="K6" s="253">
        <f>'cash flow'!O93</f>
        <v>81251.111111111124</v>
      </c>
      <c r="L6" s="401"/>
      <c r="M6" s="401"/>
      <c r="N6" s="401"/>
      <c r="O6" s="404"/>
      <c r="T6" s="311">
        <f>'cash flow'!M54</f>
        <v>81251.111111111124</v>
      </c>
      <c r="U6" s="312">
        <f>K6-T6</f>
        <v>0</v>
      </c>
    </row>
    <row r="7" spans="1:21" ht="30.75" customHeight="1" x14ac:dyDescent="0.65">
      <c r="A7" s="250">
        <v>2</v>
      </c>
      <c r="B7" s="251" t="s">
        <v>456</v>
      </c>
      <c r="C7" s="252">
        <v>1</v>
      </c>
      <c r="D7" s="252" t="s">
        <v>455</v>
      </c>
      <c r="E7" s="402"/>
      <c r="F7" s="403"/>
      <c r="G7" s="403"/>
      <c r="H7" s="403"/>
      <c r="I7" s="403"/>
      <c r="J7" s="403"/>
      <c r="K7" s="253">
        <f>'cash flow'!O98</f>
        <v>323798.07692307694</v>
      </c>
      <c r="L7" s="403"/>
      <c r="M7" s="403"/>
      <c r="N7" s="403"/>
      <c r="O7" s="405"/>
      <c r="T7" s="311">
        <f>'cash flow'!M57</f>
        <v>323798.07692307694</v>
      </c>
      <c r="U7" s="312">
        <f>K7-T7</f>
        <v>0</v>
      </c>
    </row>
    <row r="8" spans="1:21" ht="15" customHeight="1" x14ac:dyDescent="0.35">
      <c r="A8" s="394" t="s">
        <v>457</v>
      </c>
      <c r="B8" s="395"/>
      <c r="C8" s="395"/>
      <c r="D8" s="395"/>
      <c r="E8" s="395"/>
      <c r="F8" s="395"/>
      <c r="G8" s="395"/>
      <c r="H8" s="395"/>
      <c r="I8" s="395"/>
      <c r="J8" s="395"/>
      <c r="K8" s="395"/>
      <c r="L8" s="395"/>
      <c r="M8" s="395"/>
      <c r="N8" s="395"/>
      <c r="O8" s="396"/>
      <c r="T8" s="311"/>
      <c r="U8" s="220"/>
    </row>
    <row r="9" spans="1:21" ht="63" customHeight="1" x14ac:dyDescent="0.65">
      <c r="A9" s="250">
        <v>3</v>
      </c>
      <c r="B9" s="251" t="s">
        <v>458</v>
      </c>
      <c r="C9" s="254">
        <v>1250</v>
      </c>
      <c r="D9" s="252" t="s">
        <v>459</v>
      </c>
      <c r="E9" s="255"/>
      <c r="F9" s="256">
        <f>'cash flow'!O104</f>
        <v>2178.666666666667</v>
      </c>
      <c r="G9" s="256"/>
      <c r="H9" s="256"/>
      <c r="I9" s="256"/>
      <c r="J9" s="256"/>
      <c r="K9" s="257">
        <f>SUM(F9:J9)*C9</f>
        <v>2723333.3333333335</v>
      </c>
      <c r="L9" s="256"/>
      <c r="M9" s="258"/>
      <c r="N9" s="258"/>
      <c r="O9" s="258"/>
      <c r="P9" s="259"/>
      <c r="T9" s="311">
        <f>'cash flow'!M61</f>
        <v>2723333.3333333335</v>
      </c>
      <c r="U9" s="312">
        <f>K9-T9</f>
        <v>0</v>
      </c>
    </row>
    <row r="10" spans="1:21" ht="40.5" x14ac:dyDescent="0.65">
      <c r="A10" s="250">
        <v>4</v>
      </c>
      <c r="B10" s="251" t="s">
        <v>460</v>
      </c>
      <c r="C10" s="254">
        <v>1250</v>
      </c>
      <c r="D10" s="252" t="s">
        <v>459</v>
      </c>
      <c r="E10" s="260"/>
      <c r="F10" s="256">
        <v>0</v>
      </c>
      <c r="G10" s="256"/>
      <c r="H10" s="256"/>
      <c r="I10" s="256"/>
      <c r="J10" s="256"/>
      <c r="K10" s="257">
        <f>SUM(F10:J10)*C10</f>
        <v>0</v>
      </c>
      <c r="L10" s="256"/>
      <c r="M10" s="258"/>
      <c r="N10" s="258"/>
      <c r="O10" s="258"/>
      <c r="T10" s="311"/>
      <c r="U10" s="220"/>
    </row>
    <row r="11" spans="1:21" ht="40.5" x14ac:dyDescent="0.65">
      <c r="A11" s="250">
        <v>5</v>
      </c>
      <c r="B11" s="251" t="s">
        <v>461</v>
      </c>
      <c r="C11" s="254">
        <v>205000</v>
      </c>
      <c r="D11" s="252" t="s">
        <v>459</v>
      </c>
      <c r="E11" s="261">
        <f>'cash flow'!G120</f>
        <v>3.9746829268292685</v>
      </c>
      <c r="F11" s="262"/>
      <c r="G11" s="262"/>
      <c r="H11" s="262"/>
      <c r="I11" s="262"/>
      <c r="J11" s="263"/>
      <c r="K11" s="264">
        <f>SUM(E11)*C11</f>
        <v>814810</v>
      </c>
      <c r="L11" s="265"/>
      <c r="M11" s="266"/>
      <c r="N11" s="266"/>
      <c r="O11" s="267"/>
      <c r="T11" s="311">
        <f>'cash flow'!G72</f>
        <v>814810</v>
      </c>
      <c r="U11" s="312">
        <f>K11-T11</f>
        <v>0</v>
      </c>
    </row>
    <row r="12" spans="1:21" ht="42" x14ac:dyDescent="0.65">
      <c r="A12" s="250">
        <v>6</v>
      </c>
      <c r="B12" s="251" t="s">
        <v>424</v>
      </c>
      <c r="C12" s="254">
        <v>255000</v>
      </c>
      <c r="D12" s="252" t="s">
        <v>459</v>
      </c>
      <c r="E12" s="268"/>
      <c r="F12" s="256">
        <f>'cash flow'!$H$120</f>
        <v>5.0294117647058822</v>
      </c>
      <c r="G12" s="256">
        <f>F12</f>
        <v>5.0294117647058822</v>
      </c>
      <c r="H12" s="256">
        <f t="shared" ref="H12:J12" si="0">G12</f>
        <v>5.0294117647058822</v>
      </c>
      <c r="I12" s="256">
        <f t="shared" si="0"/>
        <v>5.0294117647058822</v>
      </c>
      <c r="J12" s="256">
        <f t="shared" si="0"/>
        <v>5.0294117647058822</v>
      </c>
      <c r="K12" s="257">
        <f>SUM(F12:J12)*C12</f>
        <v>6412500</v>
      </c>
      <c r="L12" s="256">
        <f>J12</f>
        <v>5.0294117647058822</v>
      </c>
      <c r="M12" s="256">
        <f>L12</f>
        <v>5.0294117647058822</v>
      </c>
      <c r="N12" s="256">
        <f t="shared" ref="N12:O12" si="1">L12</f>
        <v>5.0294117647058822</v>
      </c>
      <c r="O12" s="256">
        <f t="shared" si="1"/>
        <v>5.0294117647058822</v>
      </c>
      <c r="T12" s="311">
        <f>SUM('cash flow'!H72:L72)</f>
        <v>6412500</v>
      </c>
      <c r="U12" s="312">
        <f>K12-T12</f>
        <v>0</v>
      </c>
    </row>
    <row r="13" spans="1:21" s="220" customFormat="1" ht="60" customHeight="1" x14ac:dyDescent="0.65">
      <c r="A13" s="269">
        <v>7</v>
      </c>
      <c r="B13" s="251" t="s">
        <v>462</v>
      </c>
      <c r="C13" s="254">
        <v>1250</v>
      </c>
      <c r="D13" s="252" t="s">
        <v>459</v>
      </c>
      <c r="E13" s="270"/>
      <c r="F13" s="256"/>
      <c r="G13" s="256"/>
      <c r="H13" s="256"/>
      <c r="I13" s="256"/>
      <c r="J13" s="256"/>
      <c r="K13" s="257">
        <f>SUM(F13:J13)*C13</f>
        <v>0</v>
      </c>
      <c r="L13" s="271"/>
      <c r="M13" s="272"/>
      <c r="N13" s="272"/>
      <c r="O13" s="272"/>
      <c r="T13" s="311"/>
    </row>
    <row r="14" spans="1:21" ht="15" customHeight="1" x14ac:dyDescent="0.35">
      <c r="A14" s="394" t="s">
        <v>463</v>
      </c>
      <c r="B14" s="395"/>
      <c r="C14" s="395"/>
      <c r="D14" s="395"/>
      <c r="E14" s="395"/>
      <c r="F14" s="395"/>
      <c r="G14" s="395"/>
      <c r="H14" s="395"/>
      <c r="I14" s="395"/>
      <c r="J14" s="395"/>
      <c r="K14" s="395"/>
      <c r="L14" s="395"/>
      <c r="M14" s="395"/>
      <c r="N14" s="395"/>
      <c r="O14" s="396"/>
      <c r="T14" s="311"/>
      <c r="U14" s="220"/>
    </row>
    <row r="15" spans="1:21" ht="42.75" customHeight="1" x14ac:dyDescent="0.65">
      <c r="A15" s="269">
        <v>8</v>
      </c>
      <c r="B15" s="251" t="s">
        <v>464</v>
      </c>
      <c r="C15" s="252">
        <v>150</v>
      </c>
      <c r="D15" s="252" t="s">
        <v>459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7"/>
      <c r="L15" s="256">
        <v>0</v>
      </c>
      <c r="M15" s="256">
        <v>0</v>
      </c>
      <c r="N15" s="256">
        <v>0</v>
      </c>
      <c r="O15" s="256">
        <v>0</v>
      </c>
      <c r="T15" s="311"/>
      <c r="U15" s="220"/>
    </row>
    <row r="16" spans="1:21" ht="67.5" customHeight="1" x14ac:dyDescent="0.65">
      <c r="A16" s="269">
        <v>9</v>
      </c>
      <c r="B16" s="251" t="s">
        <v>465</v>
      </c>
      <c r="C16" s="252">
        <v>125</v>
      </c>
      <c r="D16" s="252" t="s">
        <v>459</v>
      </c>
      <c r="E16" s="256">
        <f>'cash flow'!O129</f>
        <v>11559.884</v>
      </c>
      <c r="F16" s="256">
        <v>0</v>
      </c>
      <c r="G16" s="256">
        <v>0</v>
      </c>
      <c r="H16" s="256">
        <v>0</v>
      </c>
      <c r="I16" s="256">
        <v>0</v>
      </c>
      <c r="J16" s="256">
        <v>0</v>
      </c>
      <c r="K16" s="257">
        <f>SUM(E16:J16)*C16</f>
        <v>1444985.5</v>
      </c>
      <c r="L16" s="256">
        <v>0</v>
      </c>
      <c r="M16" s="256">
        <v>0</v>
      </c>
      <c r="N16" s="256">
        <v>0</v>
      </c>
      <c r="O16" s="256">
        <v>0</v>
      </c>
      <c r="P16" s="259"/>
      <c r="T16" s="311">
        <f>'cash flow'!M76</f>
        <v>1444985.5</v>
      </c>
      <c r="U16" s="312">
        <f>K16-T16</f>
        <v>0</v>
      </c>
    </row>
    <row r="17" spans="1:21" ht="74.25" customHeight="1" x14ac:dyDescent="0.65">
      <c r="A17" s="269">
        <v>10</v>
      </c>
      <c r="B17" s="251" t="s">
        <v>466</v>
      </c>
      <c r="C17" s="254">
        <v>1425000</v>
      </c>
      <c r="D17" s="252" t="s">
        <v>459</v>
      </c>
      <c r="E17" s="273">
        <f>'cash flow'!G85</f>
        <v>15.477128423698037</v>
      </c>
      <c r="F17" s="274"/>
      <c r="G17" s="274"/>
      <c r="H17" s="274"/>
      <c r="I17" s="274"/>
      <c r="J17" s="274"/>
      <c r="K17" s="257">
        <f>SUM(E17)*C17</f>
        <v>22054908.003769703</v>
      </c>
      <c r="L17" s="274"/>
      <c r="M17" s="275"/>
      <c r="N17" s="275"/>
      <c r="O17" s="276"/>
      <c r="T17" s="311">
        <f>'cash flow'!G86</f>
        <v>22054908.003769703</v>
      </c>
      <c r="U17" s="312">
        <f>K17-T17</f>
        <v>0</v>
      </c>
    </row>
    <row r="18" spans="1:21" ht="57.75" customHeight="1" x14ac:dyDescent="0.65">
      <c r="A18" s="269">
        <v>11</v>
      </c>
      <c r="B18" s="251" t="s">
        <v>467</v>
      </c>
      <c r="C18" s="254">
        <v>1900000</v>
      </c>
      <c r="D18" s="252" t="s">
        <v>459</v>
      </c>
      <c r="E18" s="277"/>
      <c r="F18" s="256">
        <f>'cash flow'!H85</f>
        <v>15.225891553506141</v>
      </c>
      <c r="G18" s="256">
        <f>'cash flow'!I148</f>
        <v>15.110079151867458</v>
      </c>
      <c r="H18" s="256">
        <f>'cash flow'!J148</f>
        <v>15.295301635233926</v>
      </c>
      <c r="I18" s="256">
        <f>'cash flow'!K148</f>
        <v>15.504838341491162</v>
      </c>
      <c r="J18" s="256">
        <f>'cash flow'!L148</f>
        <v>15.59018647709895</v>
      </c>
      <c r="K18" s="257">
        <f>SUM(F18:J18)*C18</f>
        <v>145779964.60247552</v>
      </c>
      <c r="L18" s="256">
        <f>'cash flow'!V85</f>
        <v>15.937764769150537</v>
      </c>
      <c r="M18" s="256">
        <f>'cash flow'!W85</f>
        <v>15.781066998775268</v>
      </c>
      <c r="N18" s="256">
        <f>'cash flow'!X85</f>
        <v>15.869001268240108</v>
      </c>
      <c r="O18" s="256">
        <f>'cash flow'!Y85</f>
        <v>16.159979957597912</v>
      </c>
      <c r="T18" s="311">
        <f>SUM('cash flow'!H86:L86)</f>
        <v>145779964.60247549</v>
      </c>
      <c r="U18" s="312">
        <f>K18-T18</f>
        <v>0</v>
      </c>
    </row>
    <row r="19" spans="1:21" ht="32.15" customHeight="1" x14ac:dyDescent="0.65">
      <c r="A19" s="406" t="s">
        <v>448</v>
      </c>
      <c r="B19" s="407"/>
      <c r="C19" s="407"/>
      <c r="D19" s="407"/>
      <c r="E19" s="407"/>
      <c r="F19" s="407"/>
      <c r="G19" s="407"/>
      <c r="H19" s="407"/>
      <c r="I19" s="407"/>
      <c r="J19" s="407"/>
      <c r="K19" s="257">
        <f>SUM(K6:K18)</f>
        <v>179635550.62761274</v>
      </c>
      <c r="L19" s="406"/>
      <c r="M19" s="407"/>
      <c r="N19" s="407"/>
      <c r="O19" s="408"/>
      <c r="R19" t="s">
        <v>468</v>
      </c>
      <c r="S19" s="215">
        <f>K6</f>
        <v>81251.111111111124</v>
      </c>
      <c r="T19" s="311">
        <f>SUM(T6:T18)</f>
        <v>179635550.62761271</v>
      </c>
      <c r="U19" s="312">
        <f>K19-T19</f>
        <v>0</v>
      </c>
    </row>
    <row r="20" spans="1:21" x14ac:dyDescent="0.35">
      <c r="A20" s="388" t="s">
        <v>469</v>
      </c>
      <c r="B20" s="389"/>
      <c r="C20" s="389"/>
      <c r="D20" s="389"/>
      <c r="E20" s="389"/>
      <c r="F20" s="389"/>
      <c r="G20" s="389"/>
      <c r="H20" s="389"/>
      <c r="I20" s="389"/>
      <c r="J20" s="389"/>
      <c r="K20" s="389"/>
      <c r="L20" s="389"/>
      <c r="M20" s="389"/>
      <c r="N20" s="389"/>
      <c r="O20" s="390"/>
      <c r="R20" t="s">
        <v>470</v>
      </c>
    </row>
    <row r="21" spans="1:21" ht="26.5" x14ac:dyDescent="0.35">
      <c r="A21" s="250">
        <v>12</v>
      </c>
      <c r="B21" s="278" t="s">
        <v>471</v>
      </c>
      <c r="C21" s="252">
        <v>1</v>
      </c>
      <c r="D21" s="252" t="s">
        <v>472</v>
      </c>
      <c r="E21" s="279"/>
      <c r="F21" s="279"/>
      <c r="G21" s="279"/>
      <c r="H21" s="279"/>
      <c r="I21" s="279"/>
      <c r="J21" s="279"/>
      <c r="K21" s="280"/>
      <c r="L21" s="279"/>
      <c r="M21" s="279"/>
      <c r="N21" s="279"/>
      <c r="O21" s="279"/>
      <c r="R21" t="s">
        <v>473</v>
      </c>
      <c r="S21" s="281">
        <f>S19-S20</f>
        <v>81251.111111111124</v>
      </c>
    </row>
    <row r="22" spans="1:21" ht="26.5" x14ac:dyDescent="0.35">
      <c r="A22" s="250">
        <v>13</v>
      </c>
      <c r="B22" s="251" t="s">
        <v>474</v>
      </c>
      <c r="C22" s="252">
        <v>1</v>
      </c>
      <c r="D22" s="252" t="s">
        <v>472</v>
      </c>
      <c r="E22" s="256">
        <v>121.52400295000001</v>
      </c>
      <c r="F22" s="256">
        <v>122.73924297950001</v>
      </c>
      <c r="G22" s="256">
        <v>123.96663540929501</v>
      </c>
      <c r="H22" s="256">
        <v>125.20630176338796</v>
      </c>
      <c r="I22" s="256">
        <v>126.45836478102184</v>
      </c>
      <c r="J22" s="256">
        <v>127.72294842883205</v>
      </c>
      <c r="K22" s="391"/>
      <c r="L22" s="256">
        <v>129.00017791312038</v>
      </c>
      <c r="M22" s="282">
        <v>130.2901796922516</v>
      </c>
      <c r="N22" s="258">
        <v>131.59308148917412</v>
      </c>
      <c r="O22" s="258">
        <v>132.90901230406587</v>
      </c>
    </row>
    <row r="23" spans="1:21" ht="26.5" x14ac:dyDescent="0.35">
      <c r="A23" s="250">
        <v>14</v>
      </c>
      <c r="B23" s="278" t="s">
        <v>475</v>
      </c>
      <c r="C23" s="252">
        <v>1</v>
      </c>
      <c r="D23" s="252" t="s">
        <v>472</v>
      </c>
      <c r="E23" s="256">
        <v>81.541884768749995</v>
      </c>
      <c r="F23" s="256">
        <v>82.357303616437491</v>
      </c>
      <c r="G23" s="256">
        <v>83.180876652601867</v>
      </c>
      <c r="H23" s="256">
        <v>84.012685419127891</v>
      </c>
      <c r="I23" s="256">
        <v>84.852812273319174</v>
      </c>
      <c r="J23" s="256">
        <v>85.701340396052373</v>
      </c>
      <c r="K23" s="392"/>
      <c r="L23" s="256">
        <v>86.558353800012895</v>
      </c>
      <c r="M23" s="282">
        <v>87.423937338013019</v>
      </c>
      <c r="N23" s="258">
        <v>88.298176711393154</v>
      </c>
      <c r="O23" s="258">
        <v>89.181158478507086</v>
      </c>
    </row>
    <row r="24" spans="1:21" ht="26.5" x14ac:dyDescent="0.35">
      <c r="A24" s="250">
        <v>15</v>
      </c>
      <c r="B24" s="278" t="s">
        <v>476</v>
      </c>
      <c r="C24" s="252">
        <v>1</v>
      </c>
      <c r="D24" s="252" t="s">
        <v>472</v>
      </c>
      <c r="E24" s="256">
        <v>119.5947643275</v>
      </c>
      <c r="F24" s="256">
        <v>120.79071197077501</v>
      </c>
      <c r="G24" s="256">
        <v>121.99861909048276</v>
      </c>
      <c r="H24" s="256">
        <v>123.2186052813876</v>
      </c>
      <c r="I24" s="256">
        <v>124.45079133420147</v>
      </c>
      <c r="J24" s="256">
        <v>125.69529924754349</v>
      </c>
      <c r="K24" s="392"/>
      <c r="L24" s="256">
        <v>126.95225224001892</v>
      </c>
      <c r="M24" s="282">
        <v>128.2217747624191</v>
      </c>
      <c r="N24" s="258">
        <v>129.5039925100433</v>
      </c>
      <c r="O24" s="258">
        <v>130.79903243514374</v>
      </c>
    </row>
    <row r="25" spans="1:21" ht="26.5" x14ac:dyDescent="0.35">
      <c r="A25" s="250">
        <v>16</v>
      </c>
      <c r="B25" s="278" t="s">
        <v>477</v>
      </c>
      <c r="C25" s="252">
        <v>1</v>
      </c>
      <c r="D25" s="252" t="s">
        <v>472</v>
      </c>
      <c r="E25" s="256">
        <v>89.152460680500027</v>
      </c>
      <c r="F25" s="256">
        <v>90.043985287305034</v>
      </c>
      <c r="G25" s="256">
        <v>90.944425140178083</v>
      </c>
      <c r="H25" s="256">
        <v>91.853869391579863</v>
      </c>
      <c r="I25" s="256">
        <v>92.77240808549567</v>
      </c>
      <c r="J25" s="256">
        <v>93.700132166350627</v>
      </c>
      <c r="K25" s="392"/>
      <c r="L25" s="256">
        <v>94.637133488014129</v>
      </c>
      <c r="M25" s="282">
        <v>95.58350482289427</v>
      </c>
      <c r="N25" s="258">
        <v>96.539339871123218</v>
      </c>
      <c r="O25" s="258">
        <v>97.504733269834446</v>
      </c>
    </row>
    <row r="26" spans="1:21" ht="26.5" x14ac:dyDescent="0.35">
      <c r="A26" s="250">
        <v>17</v>
      </c>
      <c r="B26" s="278" t="s">
        <v>478</v>
      </c>
      <c r="C26" s="252">
        <v>1</v>
      </c>
      <c r="D26" s="252" t="s">
        <v>472</v>
      </c>
      <c r="E26" s="256">
        <v>108.72251302500001</v>
      </c>
      <c r="F26" s="256">
        <v>109.80973815525002</v>
      </c>
      <c r="G26" s="256">
        <v>110.90783553680252</v>
      </c>
      <c r="H26" s="256">
        <v>112.01691389217055</v>
      </c>
      <c r="I26" s="256">
        <v>113.13708303109226</v>
      </c>
      <c r="J26" s="256">
        <v>114.26845386140319</v>
      </c>
      <c r="K26" s="392"/>
      <c r="L26" s="256">
        <v>115.41113840001722</v>
      </c>
      <c r="M26" s="282">
        <v>116.5652497840174</v>
      </c>
      <c r="N26" s="258">
        <v>117.73090228185757</v>
      </c>
      <c r="O26" s="258">
        <v>118.90821130467614</v>
      </c>
    </row>
    <row r="27" spans="1:21" ht="26.5" x14ac:dyDescent="0.35">
      <c r="A27" s="250">
        <v>18</v>
      </c>
      <c r="B27" s="278" t="s">
        <v>479</v>
      </c>
      <c r="C27" s="252">
        <v>1</v>
      </c>
      <c r="D27" s="252" t="s">
        <v>472</v>
      </c>
      <c r="E27" s="256">
        <v>192.02750037999999</v>
      </c>
      <c r="F27" s="256">
        <v>193.94777538380001</v>
      </c>
      <c r="G27" s="256">
        <v>195.887253137638</v>
      </c>
      <c r="H27" s="256">
        <v>197.84612566901438</v>
      </c>
      <c r="I27" s="256">
        <v>199.82458692570452</v>
      </c>
      <c r="J27" s="256">
        <v>201.82283279496156</v>
      </c>
      <c r="K27" s="392"/>
      <c r="L27" s="256">
        <v>203.84106112291119</v>
      </c>
      <c r="M27" s="282">
        <v>205.87947173414031</v>
      </c>
      <c r="N27" s="258">
        <v>207.93826645148172</v>
      </c>
      <c r="O27" s="258">
        <v>210.01764911599653</v>
      </c>
    </row>
    <row r="28" spans="1:21" ht="26.5" x14ac:dyDescent="0.35">
      <c r="A28" s="250">
        <v>19</v>
      </c>
      <c r="B28" s="278" t="s">
        <v>480</v>
      </c>
      <c r="C28" s="252">
        <v>1</v>
      </c>
      <c r="D28" s="252" t="s">
        <v>472</v>
      </c>
      <c r="E28" s="256">
        <v>192.02234887500001</v>
      </c>
      <c r="F28" s="256">
        <v>193.94257236375</v>
      </c>
      <c r="G28" s="256">
        <v>195.8819980873875</v>
      </c>
      <c r="H28" s="256">
        <v>197.84081806826137</v>
      </c>
      <c r="I28" s="256">
        <v>199.81922624894398</v>
      </c>
      <c r="J28" s="256">
        <v>201.81741851143343</v>
      </c>
      <c r="K28" s="392"/>
      <c r="L28" s="256">
        <v>203.83559269654776</v>
      </c>
      <c r="M28" s="282">
        <v>205.87394862351323</v>
      </c>
      <c r="N28" s="258">
        <v>207.93268810974837</v>
      </c>
      <c r="O28" s="258">
        <v>210.01201499084584</v>
      </c>
    </row>
    <row r="29" spans="1:21" ht="26.5" x14ac:dyDescent="0.35">
      <c r="A29" s="250">
        <v>20</v>
      </c>
      <c r="B29" s="278" t="s">
        <v>481</v>
      </c>
      <c r="C29" s="252">
        <v>1</v>
      </c>
      <c r="D29" s="252" t="s">
        <v>472</v>
      </c>
      <c r="E29" s="256">
        <v>81.541884768749995</v>
      </c>
      <c r="F29" s="256">
        <v>82.357303616437491</v>
      </c>
      <c r="G29" s="256">
        <v>83.180876652601867</v>
      </c>
      <c r="H29" s="256">
        <v>84.012685419127891</v>
      </c>
      <c r="I29" s="256">
        <v>84.852812273319174</v>
      </c>
      <c r="J29" s="256">
        <v>85.701340396052373</v>
      </c>
      <c r="K29" s="393"/>
      <c r="L29" s="256">
        <v>86.558353800012895</v>
      </c>
      <c r="M29" s="282">
        <v>87.423937338013019</v>
      </c>
      <c r="N29" s="258">
        <v>88.298176711393154</v>
      </c>
      <c r="O29" s="258">
        <v>89.181158478507086</v>
      </c>
    </row>
    <row r="30" spans="1:21" x14ac:dyDescent="0.35">
      <c r="A30" s="394" t="s">
        <v>482</v>
      </c>
      <c r="B30" s="395"/>
      <c r="C30" s="395"/>
      <c r="D30" s="395"/>
      <c r="E30" s="395"/>
      <c r="F30" s="395"/>
      <c r="G30" s="395"/>
      <c r="H30" s="395"/>
      <c r="I30" s="395"/>
      <c r="J30" s="395"/>
      <c r="K30" s="395"/>
      <c r="L30" s="395"/>
      <c r="M30" s="395"/>
      <c r="N30" s="395"/>
      <c r="O30" s="396"/>
    </row>
    <row r="31" spans="1:21" ht="26.5" x14ac:dyDescent="0.35">
      <c r="A31" s="250">
        <v>21</v>
      </c>
      <c r="B31" s="278" t="s">
        <v>483</v>
      </c>
      <c r="C31" s="252">
        <v>1</v>
      </c>
      <c r="D31" s="252" t="s">
        <v>484</v>
      </c>
      <c r="E31" s="279"/>
      <c r="F31" s="279"/>
      <c r="G31" s="279"/>
      <c r="H31" s="279"/>
      <c r="I31" s="279"/>
      <c r="J31" s="279"/>
      <c r="K31" s="391"/>
      <c r="L31" s="279"/>
      <c r="M31" s="279"/>
      <c r="N31" s="279"/>
      <c r="O31" s="279"/>
    </row>
    <row r="32" spans="1:21" ht="26.5" x14ac:dyDescent="0.35">
      <c r="A32" s="250">
        <v>22</v>
      </c>
      <c r="B32" s="278" t="s">
        <v>485</v>
      </c>
      <c r="C32" s="252">
        <v>1</v>
      </c>
      <c r="D32" s="252" t="s">
        <v>484</v>
      </c>
      <c r="E32" s="279"/>
      <c r="F32" s="279"/>
      <c r="G32" s="279"/>
      <c r="H32" s="279"/>
      <c r="I32" s="279"/>
      <c r="J32" s="279"/>
      <c r="K32" s="392"/>
      <c r="L32" s="279"/>
      <c r="M32" s="279"/>
      <c r="N32" s="279"/>
      <c r="O32" s="279"/>
    </row>
    <row r="33" spans="1:15" ht="26.5" x14ac:dyDescent="0.35">
      <c r="A33" s="250">
        <v>23</v>
      </c>
      <c r="B33" s="278" t="s">
        <v>486</v>
      </c>
      <c r="C33" s="252">
        <v>1</v>
      </c>
      <c r="D33" s="252" t="s">
        <v>484</v>
      </c>
      <c r="E33" s="279"/>
      <c r="F33" s="279"/>
      <c r="G33" s="279"/>
      <c r="H33" s="279"/>
      <c r="I33" s="279"/>
      <c r="J33" s="279"/>
      <c r="K33" s="392"/>
      <c r="L33" s="279"/>
      <c r="M33" s="279"/>
      <c r="N33" s="279"/>
      <c r="O33" s="279"/>
    </row>
    <row r="34" spans="1:15" ht="26.5" x14ac:dyDescent="0.35">
      <c r="A34" s="250">
        <v>24</v>
      </c>
      <c r="B34" s="278" t="s">
        <v>487</v>
      </c>
      <c r="C34" s="252">
        <v>1</v>
      </c>
      <c r="D34" s="252" t="s">
        <v>484</v>
      </c>
      <c r="E34" s="279"/>
      <c r="F34" s="279"/>
      <c r="G34" s="279"/>
      <c r="H34" s="279"/>
      <c r="I34" s="279"/>
      <c r="J34" s="279"/>
      <c r="K34" s="392"/>
      <c r="L34" s="279"/>
      <c r="M34" s="279"/>
      <c r="N34" s="279"/>
      <c r="O34" s="279"/>
    </row>
    <row r="35" spans="1:15" ht="26.5" x14ac:dyDescent="0.35">
      <c r="A35" s="250">
        <v>25</v>
      </c>
      <c r="B35" s="278" t="s">
        <v>488</v>
      </c>
      <c r="C35" s="252">
        <v>1</v>
      </c>
      <c r="D35" s="252" t="s">
        <v>484</v>
      </c>
      <c r="E35" s="279"/>
      <c r="F35" s="279"/>
      <c r="G35" s="279"/>
      <c r="H35" s="279"/>
      <c r="I35" s="279"/>
      <c r="J35" s="279"/>
      <c r="K35" s="392"/>
      <c r="L35" s="279"/>
      <c r="M35" s="279"/>
      <c r="N35" s="279"/>
      <c r="O35" s="279"/>
    </row>
    <row r="36" spans="1:15" ht="26.5" x14ac:dyDescent="0.35">
      <c r="A36" s="250">
        <v>26</v>
      </c>
      <c r="B36" s="278" t="s">
        <v>489</v>
      </c>
      <c r="C36" s="252">
        <v>1</v>
      </c>
      <c r="D36" s="252" t="s">
        <v>484</v>
      </c>
      <c r="E36" s="279"/>
      <c r="F36" s="279"/>
      <c r="G36" s="279"/>
      <c r="H36" s="279"/>
      <c r="I36" s="279"/>
      <c r="J36" s="279"/>
      <c r="K36" s="392"/>
      <c r="L36" s="279"/>
      <c r="M36" s="279"/>
      <c r="N36" s="279"/>
      <c r="O36" s="279"/>
    </row>
    <row r="37" spans="1:15" ht="26.5" x14ac:dyDescent="0.35">
      <c r="A37" s="250">
        <v>27</v>
      </c>
      <c r="B37" s="278" t="s">
        <v>490</v>
      </c>
      <c r="C37" s="252">
        <v>1</v>
      </c>
      <c r="D37" s="252" t="s">
        <v>484</v>
      </c>
      <c r="E37" s="279"/>
      <c r="F37" s="279"/>
      <c r="G37" s="279"/>
      <c r="H37" s="279"/>
      <c r="I37" s="279"/>
      <c r="J37" s="279"/>
      <c r="K37" s="392"/>
      <c r="L37" s="279"/>
      <c r="M37" s="279"/>
      <c r="N37" s="279"/>
      <c r="O37" s="279"/>
    </row>
    <row r="38" spans="1:15" ht="26.5" x14ac:dyDescent="0.35">
      <c r="A38" s="250">
        <v>28</v>
      </c>
      <c r="B38" s="278" t="s">
        <v>491</v>
      </c>
      <c r="C38" s="252">
        <v>1</v>
      </c>
      <c r="D38" s="252" t="s">
        <v>484</v>
      </c>
      <c r="E38" s="279"/>
      <c r="F38" s="279"/>
      <c r="G38" s="279"/>
      <c r="H38" s="279"/>
      <c r="I38" s="279"/>
      <c r="J38" s="279"/>
      <c r="K38" s="392"/>
      <c r="L38" s="279"/>
      <c r="M38" s="279"/>
      <c r="N38" s="279"/>
      <c r="O38" s="279"/>
    </row>
    <row r="39" spans="1:15" ht="26.5" x14ac:dyDescent="0.35">
      <c r="A39" s="250">
        <v>29</v>
      </c>
      <c r="B39" s="283" t="s">
        <v>492</v>
      </c>
      <c r="C39" s="252">
        <v>1</v>
      </c>
      <c r="D39" s="252" t="s">
        <v>484</v>
      </c>
      <c r="E39" s="279"/>
      <c r="F39" s="279"/>
      <c r="G39" s="279"/>
      <c r="H39" s="279"/>
      <c r="I39" s="279"/>
      <c r="J39" s="279"/>
      <c r="K39" s="392"/>
      <c r="L39" s="279"/>
      <c r="M39" s="279"/>
      <c r="N39" s="279"/>
      <c r="O39" s="279"/>
    </row>
    <row r="40" spans="1:15" ht="26.5" x14ac:dyDescent="0.35">
      <c r="A40" s="250">
        <v>30</v>
      </c>
      <c r="B40" s="278" t="s">
        <v>493</v>
      </c>
      <c r="C40" s="284">
        <v>1</v>
      </c>
      <c r="D40" s="252" t="s">
        <v>484</v>
      </c>
      <c r="E40" s="279"/>
      <c r="F40" s="279"/>
      <c r="G40" s="279"/>
      <c r="H40" s="279"/>
      <c r="I40" s="279"/>
      <c r="J40" s="279"/>
      <c r="K40" s="393"/>
      <c r="L40" s="279"/>
      <c r="M40" s="279"/>
      <c r="N40" s="279"/>
      <c r="O40" s="285"/>
    </row>
  </sheetData>
  <mergeCells count="17">
    <mergeCell ref="A4:B4"/>
    <mergeCell ref="A1:O1"/>
    <mergeCell ref="A2:D2"/>
    <mergeCell ref="E2:O2"/>
    <mergeCell ref="A3:D3"/>
    <mergeCell ref="E3:O3"/>
    <mergeCell ref="A20:O20"/>
    <mergeCell ref="K22:K29"/>
    <mergeCell ref="A30:O30"/>
    <mergeCell ref="K31:K40"/>
    <mergeCell ref="A5:O5"/>
    <mergeCell ref="E6:J7"/>
    <mergeCell ref="L6:O7"/>
    <mergeCell ref="A8:O8"/>
    <mergeCell ref="A14:O14"/>
    <mergeCell ref="A19:J19"/>
    <mergeCell ref="L19:O19"/>
  </mergeCells>
  <pageMargins left="0.2" right="0.2" top="0.25" bottom="0.25" header="0.3" footer="0.3"/>
  <pageSetup paperSize="5" scale="51" fitToHeight="0" orientation="landscape" r:id="rId1"/>
  <headerFooter>
    <oddHeader>&amp;L&amp;"Franklin Gothic Book"&amp;10&amp;K000000Sensitive&amp;1#</oddHeader>
  </headerFooter>
  <rowBreaks count="1" manualBreakCount="1">
    <brk id="19" max="1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E936-93A6-4CDE-8BA2-D82ECF878911}">
  <dimension ref="A1:M171"/>
  <sheetViews>
    <sheetView topLeftCell="A137" zoomScale="85" zoomScaleNormal="85" workbookViewId="0">
      <selection activeCell="J165" sqref="J165"/>
    </sheetView>
  </sheetViews>
  <sheetFormatPr defaultColWidth="9.1796875" defaultRowHeight="14.5" x14ac:dyDescent="0.35"/>
  <cols>
    <col min="1" max="1" width="31" style="108" customWidth="1"/>
    <col min="2" max="3" width="13.1796875" style="108" customWidth="1"/>
    <col min="4" max="4" width="15.1796875" style="108" customWidth="1"/>
    <col min="5" max="5" width="14.7265625" style="108" bestFit="1" customWidth="1"/>
    <col min="6" max="6" width="19.453125" style="108" customWidth="1"/>
    <col min="7" max="7" width="12.7265625" style="108" customWidth="1"/>
    <col min="8" max="8" width="16.81640625" style="108" customWidth="1"/>
    <col min="9" max="9" width="9.1796875" style="108"/>
    <col min="10" max="10" width="55.1796875" style="108" customWidth="1"/>
    <col min="11" max="16384" width="9.1796875" style="108"/>
  </cols>
  <sheetData>
    <row r="1" spans="1:10" x14ac:dyDescent="0.35">
      <c r="A1" s="108" t="s">
        <v>128</v>
      </c>
      <c r="B1" s="108">
        <f>120000/2080</f>
        <v>57.692307692307693</v>
      </c>
      <c r="E1" s="108" t="s">
        <v>129</v>
      </c>
      <c r="F1" s="108" t="s">
        <v>130</v>
      </c>
      <c r="G1" s="108" t="s">
        <v>50</v>
      </c>
      <c r="H1" s="108" t="s">
        <v>131</v>
      </c>
      <c r="J1" s="108" t="s">
        <v>132</v>
      </c>
    </row>
    <row r="2" spans="1:10" x14ac:dyDescent="0.35">
      <c r="A2" s="108" t="s">
        <v>82</v>
      </c>
      <c r="B2" s="108">
        <v>1.3</v>
      </c>
      <c r="C2" s="108">
        <f>100000/2080</f>
        <v>48.07692307692308</v>
      </c>
    </row>
    <row r="3" spans="1:10" x14ac:dyDescent="0.35">
      <c r="A3" s="108" t="s">
        <v>133</v>
      </c>
      <c r="B3" s="108">
        <v>0.75</v>
      </c>
      <c r="C3" s="108">
        <f>C2*0.8</f>
        <v>38.461538461538467</v>
      </c>
      <c r="E3" s="108">
        <v>0.2</v>
      </c>
      <c r="F3" s="108">
        <v>0.8</v>
      </c>
    </row>
    <row r="4" spans="1:10" x14ac:dyDescent="0.35">
      <c r="A4" s="108" t="s">
        <v>134</v>
      </c>
      <c r="B4" s="109">
        <f>B1*B2*B3</f>
        <v>56.25</v>
      </c>
      <c r="C4" s="109">
        <f>B4/0.13</f>
        <v>432.69230769230768</v>
      </c>
    </row>
    <row r="5" spans="1:10" ht="18.5" x14ac:dyDescent="0.35">
      <c r="A5" s="110" t="s">
        <v>135</v>
      </c>
      <c r="B5" s="113">
        <f>B4/1.3</f>
        <v>43.269230769230766</v>
      </c>
      <c r="C5" s="108" t="s">
        <v>136</v>
      </c>
    </row>
    <row r="6" spans="1:10" x14ac:dyDescent="0.35">
      <c r="A6" s="111"/>
    </row>
    <row r="7" spans="1:10" x14ac:dyDescent="0.35">
      <c r="A7" s="112" t="s">
        <v>137</v>
      </c>
      <c r="C7" s="108">
        <v>1</v>
      </c>
      <c r="D7" s="113">
        <f>$B$4*E7</f>
        <v>1687.5</v>
      </c>
      <c r="E7" s="108">
        <f>$E$3*G7</f>
        <v>30</v>
      </c>
      <c r="G7" s="108">
        <v>150</v>
      </c>
      <c r="H7" s="113">
        <f>$B$4*G7</f>
        <v>8437.5</v>
      </c>
    </row>
    <row r="8" spans="1:10" x14ac:dyDescent="0.35">
      <c r="A8" s="111"/>
      <c r="C8" s="108">
        <v>2</v>
      </c>
      <c r="D8" s="113">
        <f>$B$4*F8</f>
        <v>6750</v>
      </c>
      <c r="F8" s="108">
        <f>$F$3*G7</f>
        <v>120</v>
      </c>
    </row>
    <row r="9" spans="1:10" x14ac:dyDescent="0.35">
      <c r="A9" s="111"/>
    </row>
    <row r="10" spans="1:10" x14ac:dyDescent="0.35">
      <c r="A10" s="112" t="s">
        <v>138</v>
      </c>
      <c r="C10" s="108">
        <v>1</v>
      </c>
      <c r="D10" s="113">
        <f>$B$4*E10</f>
        <v>1125</v>
      </c>
      <c r="E10" s="108">
        <f>$E$3*G10</f>
        <v>20</v>
      </c>
      <c r="G10" s="108">
        <v>100</v>
      </c>
      <c r="H10" s="113">
        <f>$B$4*G10</f>
        <v>5625</v>
      </c>
    </row>
    <row r="11" spans="1:10" ht="18.5" x14ac:dyDescent="0.35">
      <c r="A11" s="110"/>
      <c r="C11" s="108">
        <v>2</v>
      </c>
      <c r="D11" s="113">
        <f>$B$4*F11</f>
        <v>4500</v>
      </c>
      <c r="F11" s="108">
        <f>$F$3*G10</f>
        <v>80</v>
      </c>
    </row>
    <row r="12" spans="1:10" ht="18.5" x14ac:dyDescent="0.35">
      <c r="A12" s="110" t="s">
        <v>139</v>
      </c>
    </row>
    <row r="13" spans="1:10" x14ac:dyDescent="0.35">
      <c r="A13" s="114" t="s">
        <v>140</v>
      </c>
      <c r="C13" s="108">
        <v>1</v>
      </c>
      <c r="D13" s="113">
        <f>$B$4*E13</f>
        <v>1125</v>
      </c>
      <c r="E13" s="108">
        <f>$E$3*G13</f>
        <v>20</v>
      </c>
      <c r="G13" s="108">
        <v>100</v>
      </c>
      <c r="H13" s="113">
        <f>$B$4*G13</f>
        <v>5625</v>
      </c>
    </row>
    <row r="14" spans="1:10" x14ac:dyDescent="0.35">
      <c r="A14" s="115"/>
      <c r="C14" s="108">
        <v>2</v>
      </c>
      <c r="D14" s="113">
        <f>$B$4*F14</f>
        <v>4500</v>
      </c>
      <c r="F14" s="108">
        <f>$F$3*G13</f>
        <v>80</v>
      </c>
    </row>
    <row r="15" spans="1:10" x14ac:dyDescent="0.35">
      <c r="A15" s="115"/>
    </row>
    <row r="16" spans="1:10" x14ac:dyDescent="0.35">
      <c r="A16" s="114" t="s">
        <v>141</v>
      </c>
      <c r="C16" s="108">
        <v>1</v>
      </c>
      <c r="D16" s="113">
        <f>$B$4*E16</f>
        <v>1125</v>
      </c>
      <c r="E16" s="108">
        <f>$E$3*G16</f>
        <v>20</v>
      </c>
      <c r="G16" s="108">
        <v>100</v>
      </c>
      <c r="H16" s="113">
        <f>$B$4*G16</f>
        <v>5625</v>
      </c>
    </row>
    <row r="17" spans="1:8" x14ac:dyDescent="0.35">
      <c r="A17" s="115"/>
      <c r="C17" s="108">
        <v>2</v>
      </c>
      <c r="D17" s="113">
        <f>$B$4*F17</f>
        <v>4500</v>
      </c>
      <c r="F17" s="108">
        <f>$F$3*G16</f>
        <v>80</v>
      </c>
    </row>
    <row r="18" spans="1:8" x14ac:dyDescent="0.35">
      <c r="A18" s="115"/>
    </row>
    <row r="19" spans="1:8" x14ac:dyDescent="0.35">
      <c r="A19" s="114" t="s">
        <v>142</v>
      </c>
      <c r="C19" s="108">
        <v>1</v>
      </c>
      <c r="D19" s="113">
        <f>$B$4*E19</f>
        <v>1125</v>
      </c>
      <c r="E19" s="108">
        <f>$E$3*G19</f>
        <v>20</v>
      </c>
      <c r="G19" s="108">
        <v>100</v>
      </c>
      <c r="H19" s="113">
        <f>$B$4*G19</f>
        <v>5625</v>
      </c>
    </row>
    <row r="20" spans="1:8" x14ac:dyDescent="0.35">
      <c r="A20" s="115"/>
      <c r="C20" s="108">
        <v>2</v>
      </c>
      <c r="D20" s="113">
        <f>$B$4*F20</f>
        <v>4500</v>
      </c>
      <c r="F20" s="108">
        <f>$F$3*G19</f>
        <v>80</v>
      </c>
    </row>
    <row r="21" spans="1:8" ht="18.5" x14ac:dyDescent="0.35">
      <c r="A21" s="110" t="s">
        <v>143</v>
      </c>
    </row>
    <row r="22" spans="1:8" ht="18.5" x14ac:dyDescent="0.35">
      <c r="A22" s="110"/>
    </row>
    <row r="23" spans="1:8" ht="15.5" x14ac:dyDescent="0.35">
      <c r="A23" s="116" t="s">
        <v>144</v>
      </c>
      <c r="C23" s="108">
        <v>1</v>
      </c>
      <c r="D23" s="113">
        <f>$B$4*E23</f>
        <v>1125</v>
      </c>
      <c r="E23" s="108">
        <f>$E$3*G23</f>
        <v>20</v>
      </c>
      <c r="G23" s="108">
        <v>100</v>
      </c>
      <c r="H23" s="113">
        <f>$B$4*G23</f>
        <v>5625</v>
      </c>
    </row>
    <row r="24" spans="1:8" ht="15.5" x14ac:dyDescent="0.35">
      <c r="A24" s="116"/>
      <c r="C24" s="108">
        <v>2</v>
      </c>
      <c r="D24" s="113">
        <f>$B$4*F24</f>
        <v>4500</v>
      </c>
      <c r="F24" s="108">
        <f>$F$3*G23</f>
        <v>80</v>
      </c>
    </row>
    <row r="25" spans="1:8" hidden="1" x14ac:dyDescent="0.35">
      <c r="A25" s="111" t="s">
        <v>145</v>
      </c>
    </row>
    <row r="26" spans="1:8" hidden="1" x14ac:dyDescent="0.35">
      <c r="A26" s="111" t="s">
        <v>146</v>
      </c>
    </row>
    <row r="27" spans="1:8" hidden="1" x14ac:dyDescent="0.35">
      <c r="A27" s="111" t="s">
        <v>147</v>
      </c>
    </row>
    <row r="28" spans="1:8" hidden="1" x14ac:dyDescent="0.35">
      <c r="A28" s="111" t="s">
        <v>148</v>
      </c>
    </row>
    <row r="29" spans="1:8" hidden="1" x14ac:dyDescent="0.35">
      <c r="A29" s="111" t="s">
        <v>149</v>
      </c>
    </row>
    <row r="30" spans="1:8" hidden="1" x14ac:dyDescent="0.35">
      <c r="A30" s="111" t="s">
        <v>150</v>
      </c>
    </row>
    <row r="31" spans="1:8" hidden="1" x14ac:dyDescent="0.35">
      <c r="A31" s="111" t="s">
        <v>151</v>
      </c>
    </row>
    <row r="32" spans="1:8" x14ac:dyDescent="0.35">
      <c r="A32" s="111"/>
    </row>
    <row r="33" spans="1:8" ht="15.5" x14ac:dyDescent="0.35">
      <c r="A33" s="116" t="s">
        <v>152</v>
      </c>
      <c r="C33" s="108">
        <v>1</v>
      </c>
      <c r="D33" s="113">
        <f>$B$4*E33</f>
        <v>1125</v>
      </c>
      <c r="E33" s="108">
        <f>$E$3*G33</f>
        <v>20</v>
      </c>
      <c r="G33" s="108">
        <v>100</v>
      </c>
      <c r="H33" s="113">
        <f>$B$4*G33</f>
        <v>5625</v>
      </c>
    </row>
    <row r="34" spans="1:8" ht="15.5" x14ac:dyDescent="0.35">
      <c r="A34" s="116"/>
      <c r="C34" s="108">
        <v>2</v>
      </c>
      <c r="D34" s="113">
        <f>$B$4*F34</f>
        <v>4500</v>
      </c>
      <c r="F34" s="108">
        <f>$F$3*G33</f>
        <v>80</v>
      </c>
    </row>
    <row r="35" spans="1:8" hidden="1" x14ac:dyDescent="0.35">
      <c r="A35" s="111" t="s">
        <v>153</v>
      </c>
      <c r="C35" s="108">
        <v>2</v>
      </c>
    </row>
    <row r="36" spans="1:8" hidden="1" x14ac:dyDescent="0.35">
      <c r="A36" s="111" t="s">
        <v>154</v>
      </c>
    </row>
    <row r="37" spans="1:8" hidden="1" x14ac:dyDescent="0.35">
      <c r="A37" s="111" t="s">
        <v>155</v>
      </c>
    </row>
    <row r="38" spans="1:8" hidden="1" x14ac:dyDescent="0.35">
      <c r="A38" s="111" t="s">
        <v>156</v>
      </c>
    </row>
    <row r="39" spans="1:8" x14ac:dyDescent="0.35">
      <c r="A39" s="111"/>
    </row>
    <row r="40" spans="1:8" ht="15.5" x14ac:dyDescent="0.35">
      <c r="A40" s="116" t="s">
        <v>157</v>
      </c>
      <c r="C40" s="108">
        <v>1</v>
      </c>
      <c r="D40" s="113">
        <f>$B$4*E40</f>
        <v>1125</v>
      </c>
      <c r="E40" s="108">
        <f>$E$3*G40</f>
        <v>20</v>
      </c>
      <c r="G40" s="108">
        <v>100</v>
      </c>
      <c r="H40" s="113">
        <f>$B$4*G40</f>
        <v>5625</v>
      </c>
    </row>
    <row r="41" spans="1:8" ht="15.5" x14ac:dyDescent="0.35">
      <c r="A41" s="116"/>
      <c r="C41" s="108">
        <v>2</v>
      </c>
      <c r="D41" s="113">
        <f>$B$4*F41</f>
        <v>4500</v>
      </c>
      <c r="F41" s="108">
        <f>$F$3*G40</f>
        <v>80</v>
      </c>
    </row>
    <row r="42" spans="1:8" hidden="1" x14ac:dyDescent="0.35">
      <c r="A42" s="111" t="s">
        <v>158</v>
      </c>
    </row>
    <row r="43" spans="1:8" hidden="1" x14ac:dyDescent="0.35">
      <c r="A43" s="111" t="s">
        <v>159</v>
      </c>
    </row>
    <row r="44" spans="1:8" hidden="1" x14ac:dyDescent="0.35">
      <c r="A44" s="111" t="s">
        <v>160</v>
      </c>
    </row>
    <row r="45" spans="1:8" hidden="1" x14ac:dyDescent="0.35">
      <c r="A45" s="111" t="s">
        <v>161</v>
      </c>
    </row>
    <row r="46" spans="1:8" x14ac:dyDescent="0.35">
      <c r="A46" s="111"/>
    </row>
    <row r="47" spans="1:8" ht="15.5" x14ac:dyDescent="0.35">
      <c r="A47" s="116" t="s">
        <v>162</v>
      </c>
      <c r="C47" s="108">
        <v>1</v>
      </c>
      <c r="D47" s="113">
        <f>$B$4*E47</f>
        <v>1125</v>
      </c>
      <c r="E47" s="108">
        <f>$E$3*G47</f>
        <v>20</v>
      </c>
      <c r="G47" s="108">
        <v>100</v>
      </c>
      <c r="H47" s="113">
        <f>$B$4*G47</f>
        <v>5625</v>
      </c>
    </row>
    <row r="48" spans="1:8" ht="15.5" x14ac:dyDescent="0.35">
      <c r="A48" s="116"/>
      <c r="C48" s="108">
        <v>2</v>
      </c>
      <c r="D48" s="113">
        <f>$B$4*F48</f>
        <v>4500</v>
      </c>
      <c r="F48" s="108">
        <f>$F$3*G47</f>
        <v>80</v>
      </c>
    </row>
    <row r="49" spans="1:8" x14ac:dyDescent="0.35">
      <c r="A49" s="111"/>
    </row>
    <row r="50" spans="1:8" ht="15.5" x14ac:dyDescent="0.35">
      <c r="A50" s="116" t="s">
        <v>163</v>
      </c>
      <c r="C50" s="108">
        <v>1</v>
      </c>
      <c r="D50" s="113">
        <f>$B$4*E50</f>
        <v>1125</v>
      </c>
      <c r="E50" s="108">
        <f>$E$3*G50</f>
        <v>20</v>
      </c>
      <c r="G50" s="108">
        <v>100</v>
      </c>
      <c r="H50" s="113">
        <f>$B$4*G50</f>
        <v>5625</v>
      </c>
    </row>
    <row r="51" spans="1:8" ht="15.5" x14ac:dyDescent="0.35">
      <c r="A51" s="116"/>
      <c r="C51" s="108">
        <v>2</v>
      </c>
      <c r="D51" s="113">
        <f>$B$4*F51</f>
        <v>4500</v>
      </c>
      <c r="F51" s="108">
        <f>$F$3*G50</f>
        <v>80</v>
      </c>
    </row>
    <row r="52" spans="1:8" hidden="1" x14ac:dyDescent="0.35">
      <c r="A52" s="111" t="s">
        <v>164</v>
      </c>
    </row>
    <row r="53" spans="1:8" hidden="1" x14ac:dyDescent="0.35">
      <c r="A53" s="111" t="s">
        <v>165</v>
      </c>
    </row>
    <row r="54" spans="1:8" x14ac:dyDescent="0.35">
      <c r="A54" s="111"/>
    </row>
    <row r="55" spans="1:8" ht="15.5" x14ac:dyDescent="0.35">
      <c r="A55" s="116" t="s">
        <v>166</v>
      </c>
      <c r="C55" s="108">
        <v>1</v>
      </c>
      <c r="D55" s="113">
        <f>$B$4*E55</f>
        <v>1125</v>
      </c>
      <c r="E55" s="108">
        <f>$E$3*G55</f>
        <v>20</v>
      </c>
      <c r="G55" s="108">
        <v>100</v>
      </c>
      <c r="H55" s="113">
        <f>$B$4*G55</f>
        <v>5625</v>
      </c>
    </row>
    <row r="56" spans="1:8" ht="15.5" x14ac:dyDescent="0.35">
      <c r="A56" s="116"/>
      <c r="C56" s="108">
        <v>2</v>
      </c>
      <c r="D56" s="113">
        <f>$B$4*F56</f>
        <v>4500</v>
      </c>
      <c r="F56" s="108">
        <f>$F$3*G55</f>
        <v>80</v>
      </c>
    </row>
    <row r="57" spans="1:8" hidden="1" x14ac:dyDescent="0.35">
      <c r="A57" s="111" t="s">
        <v>167</v>
      </c>
    </row>
    <row r="58" spans="1:8" x14ac:dyDescent="0.35">
      <c r="A58" s="111"/>
    </row>
    <row r="59" spans="1:8" ht="15.5" x14ac:dyDescent="0.35">
      <c r="A59" s="116" t="s">
        <v>168</v>
      </c>
      <c r="C59" s="108">
        <v>1</v>
      </c>
      <c r="D59" s="113">
        <f>$B$4*E59</f>
        <v>1125</v>
      </c>
      <c r="E59" s="108">
        <f>$E$3*G59</f>
        <v>20</v>
      </c>
      <c r="G59" s="108">
        <v>100</v>
      </c>
      <c r="H59" s="113">
        <f>$B$4*G59</f>
        <v>5625</v>
      </c>
    </row>
    <row r="60" spans="1:8" ht="15.5" x14ac:dyDescent="0.35">
      <c r="A60" s="116"/>
      <c r="C60" s="108">
        <v>2</v>
      </c>
      <c r="D60" s="113">
        <f>$B$4*F60</f>
        <v>4500</v>
      </c>
      <c r="F60" s="108">
        <f>$F$3*G59</f>
        <v>80</v>
      </c>
    </row>
    <row r="61" spans="1:8" hidden="1" x14ac:dyDescent="0.35">
      <c r="A61" s="111" t="s">
        <v>169</v>
      </c>
    </row>
    <row r="62" spans="1:8" hidden="1" x14ac:dyDescent="0.35">
      <c r="A62" s="111" t="s">
        <v>170</v>
      </c>
    </row>
    <row r="63" spans="1:8" hidden="1" x14ac:dyDescent="0.35">
      <c r="A63" s="111" t="s">
        <v>171</v>
      </c>
    </row>
    <row r="64" spans="1:8" hidden="1" x14ac:dyDescent="0.35">
      <c r="A64" s="111" t="s">
        <v>172</v>
      </c>
    </row>
    <row r="65" spans="1:8" hidden="1" x14ac:dyDescent="0.35">
      <c r="A65" s="111" t="s">
        <v>173</v>
      </c>
    </row>
    <row r="66" spans="1:8" hidden="1" x14ac:dyDescent="0.35">
      <c r="A66" s="111" t="s">
        <v>174</v>
      </c>
    </row>
    <row r="67" spans="1:8" hidden="1" x14ac:dyDescent="0.35">
      <c r="A67" s="111" t="s">
        <v>175</v>
      </c>
    </row>
    <row r="68" spans="1:8" hidden="1" x14ac:dyDescent="0.35">
      <c r="A68" s="111" t="s">
        <v>176</v>
      </c>
    </row>
    <row r="69" spans="1:8" hidden="1" x14ac:dyDescent="0.35">
      <c r="A69" s="111" t="s">
        <v>177</v>
      </c>
    </row>
    <row r="70" spans="1:8" hidden="1" x14ac:dyDescent="0.35">
      <c r="A70" s="111" t="s">
        <v>178</v>
      </c>
    </row>
    <row r="71" spans="1:8" x14ac:dyDescent="0.35">
      <c r="A71" s="111"/>
    </row>
    <row r="72" spans="1:8" ht="15.5" x14ac:dyDescent="0.35">
      <c r="A72" s="117" t="s">
        <v>179</v>
      </c>
      <c r="C72" s="108">
        <v>1</v>
      </c>
      <c r="D72" s="113">
        <f>$B$4*E72</f>
        <v>8437.5</v>
      </c>
      <c r="E72" s="108">
        <f>$E$3*G72</f>
        <v>150</v>
      </c>
      <c r="G72" s="108">
        <v>750</v>
      </c>
      <c r="H72" s="113">
        <f>$B$4*G72</f>
        <v>42187.5</v>
      </c>
    </row>
    <row r="73" spans="1:8" hidden="1" x14ac:dyDescent="0.35">
      <c r="A73" s="111" t="s">
        <v>179</v>
      </c>
      <c r="C73" s="108">
        <v>2</v>
      </c>
      <c r="D73" s="113">
        <f>$B$4*F73</f>
        <v>33750</v>
      </c>
      <c r="F73" s="108">
        <f>$F$3*G72</f>
        <v>600</v>
      </c>
    </row>
    <row r="74" spans="1:8" x14ac:dyDescent="0.35">
      <c r="A74" s="111"/>
      <c r="C74" s="108">
        <v>2</v>
      </c>
      <c r="F74" s="108">
        <f>$F$3*G73</f>
        <v>0</v>
      </c>
    </row>
    <row r="75" spans="1:8" x14ac:dyDescent="0.35">
      <c r="A75" s="111"/>
    </row>
    <row r="76" spans="1:8" ht="15.5" x14ac:dyDescent="0.35">
      <c r="A76" s="117" t="s">
        <v>180</v>
      </c>
      <c r="C76" s="108">
        <v>1</v>
      </c>
      <c r="D76" s="113">
        <f>$B$4*E76</f>
        <v>2812.5</v>
      </c>
      <c r="E76" s="108">
        <f>$E$3*G76</f>
        <v>50</v>
      </c>
      <c r="G76" s="108">
        <v>250</v>
      </c>
      <c r="H76" s="113">
        <f>$B$4*G76</f>
        <v>14062.5</v>
      </c>
    </row>
    <row r="77" spans="1:8" ht="15.5" x14ac:dyDescent="0.35">
      <c r="A77" s="116"/>
      <c r="C77" s="108">
        <v>2</v>
      </c>
      <c r="D77" s="113">
        <f>$B$4*F77</f>
        <v>11250</v>
      </c>
      <c r="F77" s="108">
        <f>$F$3*G76</f>
        <v>200</v>
      </c>
    </row>
    <row r="78" spans="1:8" hidden="1" x14ac:dyDescent="0.35">
      <c r="A78" s="111" t="s">
        <v>181</v>
      </c>
      <c r="B78" s="108">
        <v>2</v>
      </c>
    </row>
    <row r="79" spans="1:8" hidden="1" x14ac:dyDescent="0.35">
      <c r="A79" s="111" t="s">
        <v>182</v>
      </c>
    </row>
    <row r="80" spans="1:8" x14ac:dyDescent="0.35">
      <c r="A80" s="111"/>
    </row>
    <row r="81" spans="1:12" x14ac:dyDescent="0.35">
      <c r="A81" s="118" t="s">
        <v>183</v>
      </c>
      <c r="C81" s="108">
        <v>1</v>
      </c>
      <c r="D81" s="113">
        <f>$B$4*E81</f>
        <v>1125</v>
      </c>
      <c r="E81" s="108">
        <f>$E$3*G81</f>
        <v>20</v>
      </c>
      <c r="G81" s="108">
        <v>100</v>
      </c>
      <c r="H81" s="113">
        <f>$B$4*G81</f>
        <v>5625</v>
      </c>
    </row>
    <row r="82" spans="1:12" x14ac:dyDescent="0.35">
      <c r="A82" s="111"/>
      <c r="C82" s="108">
        <v>2</v>
      </c>
      <c r="D82" s="113">
        <f>$B$4*F82</f>
        <v>4500</v>
      </c>
      <c r="F82" s="108">
        <f>$F$3*G81</f>
        <v>80</v>
      </c>
    </row>
    <row r="83" spans="1:12" x14ac:dyDescent="0.35">
      <c r="A83" s="111"/>
    </row>
    <row r="84" spans="1:12" x14ac:dyDescent="0.35">
      <c r="A84" s="112" t="s">
        <v>184</v>
      </c>
      <c r="C84" s="108">
        <v>1</v>
      </c>
      <c r="D84" s="113">
        <f>$B$4*E84</f>
        <v>2025</v>
      </c>
      <c r="E84" s="108">
        <f>$E$3*G84</f>
        <v>36</v>
      </c>
      <c r="G84" s="108">
        <v>180</v>
      </c>
      <c r="H84" s="113">
        <f>$B$4*G84</f>
        <v>10125</v>
      </c>
    </row>
    <row r="85" spans="1:12" x14ac:dyDescent="0.35">
      <c r="A85" s="111"/>
      <c r="C85" s="108">
        <v>2</v>
      </c>
      <c r="D85" s="113">
        <f>$B$4*F85</f>
        <v>8100</v>
      </c>
      <c r="F85" s="108">
        <f>$F$3*G84</f>
        <v>144</v>
      </c>
    </row>
    <row r="86" spans="1:12" x14ac:dyDescent="0.35">
      <c r="A86" s="111"/>
    </row>
    <row r="87" spans="1:12" x14ac:dyDescent="0.35">
      <c r="A87" s="112" t="s">
        <v>185</v>
      </c>
      <c r="C87" s="108">
        <v>1</v>
      </c>
      <c r="D87" s="113">
        <f>$B$4*E87</f>
        <v>3150</v>
      </c>
      <c r="E87" s="108">
        <f>$E$3*G87</f>
        <v>56</v>
      </c>
      <c r="G87" s="108">
        <v>280</v>
      </c>
      <c r="H87" s="113">
        <f>$B$4*G87</f>
        <v>15750</v>
      </c>
    </row>
    <row r="88" spans="1:12" x14ac:dyDescent="0.35">
      <c r="A88" s="111"/>
      <c r="C88" s="108">
        <v>2</v>
      </c>
      <c r="D88" s="113">
        <f>$B$4*F88</f>
        <v>12600</v>
      </c>
      <c r="F88" s="108">
        <f>$F$3*G87</f>
        <v>224</v>
      </c>
    </row>
    <row r="89" spans="1:12" x14ac:dyDescent="0.35">
      <c r="A89" s="111"/>
    </row>
    <row r="90" spans="1:12" x14ac:dyDescent="0.35">
      <c r="A90" s="112" t="s">
        <v>186</v>
      </c>
      <c r="C90" s="108">
        <v>1</v>
      </c>
      <c r="D90" s="113">
        <f>$B$4*E90</f>
        <v>5850</v>
      </c>
      <c r="E90" s="108">
        <f>$E$3*G90</f>
        <v>104</v>
      </c>
      <c r="G90" s="108">
        <v>520</v>
      </c>
      <c r="H90" s="113">
        <f>$B$4*G90</f>
        <v>29250</v>
      </c>
      <c r="K90" s="108">
        <v>120</v>
      </c>
      <c r="L90" s="108">
        <v>400</v>
      </c>
    </row>
    <row r="91" spans="1:12" x14ac:dyDescent="0.35">
      <c r="A91" s="111"/>
      <c r="C91" s="108">
        <v>2</v>
      </c>
      <c r="D91" s="113">
        <f>$B$4*F91</f>
        <v>23400</v>
      </c>
      <c r="F91" s="108">
        <f>$F$3*G90</f>
        <v>416</v>
      </c>
    </row>
    <row r="92" spans="1:12" x14ac:dyDescent="0.35">
      <c r="A92" s="111"/>
    </row>
    <row r="93" spans="1:12" x14ac:dyDescent="0.35">
      <c r="A93" s="112" t="s">
        <v>187</v>
      </c>
      <c r="C93" s="108">
        <v>1</v>
      </c>
      <c r="D93" s="113">
        <f>$B$4*E93</f>
        <v>1125</v>
      </c>
      <c r="E93" s="108">
        <f>$E$3*G93</f>
        <v>20</v>
      </c>
      <c r="G93" s="108">
        <v>100</v>
      </c>
      <c r="H93" s="113">
        <f>$B$4*G93</f>
        <v>5625</v>
      </c>
    </row>
    <row r="94" spans="1:12" x14ac:dyDescent="0.35">
      <c r="A94" s="111"/>
      <c r="C94" s="108">
        <v>2</v>
      </c>
      <c r="D94" s="113">
        <f>$B$4*F94</f>
        <v>4500</v>
      </c>
      <c r="F94" s="108">
        <f>$F$3*G93</f>
        <v>80</v>
      </c>
    </row>
    <row r="95" spans="1:12" x14ac:dyDescent="0.35">
      <c r="A95" s="111"/>
    </row>
    <row r="96" spans="1:12" x14ac:dyDescent="0.35">
      <c r="A96" s="112" t="s">
        <v>188</v>
      </c>
      <c r="C96" s="108">
        <v>1</v>
      </c>
      <c r="D96" s="113">
        <f>$B$4*E96</f>
        <v>1125</v>
      </c>
      <c r="E96" s="108">
        <f>$E$3*G96</f>
        <v>20</v>
      </c>
      <c r="G96" s="108">
        <v>100</v>
      </c>
      <c r="H96" s="113">
        <f>$B$4*G96</f>
        <v>5625</v>
      </c>
      <c r="J96" s="108" t="s">
        <v>189</v>
      </c>
    </row>
    <row r="97" spans="1:13" x14ac:dyDescent="0.35">
      <c r="A97" s="111"/>
      <c r="C97" s="108">
        <v>2</v>
      </c>
      <c r="D97" s="113">
        <f>$B$4*F97</f>
        <v>4500</v>
      </c>
      <c r="F97" s="108">
        <f>$F$3*G96</f>
        <v>80</v>
      </c>
    </row>
    <row r="98" spans="1:13" x14ac:dyDescent="0.35">
      <c r="A98" s="111"/>
    </row>
    <row r="99" spans="1:13" x14ac:dyDescent="0.35">
      <c r="A99" s="119" t="s">
        <v>190</v>
      </c>
      <c r="C99" s="108">
        <v>1</v>
      </c>
      <c r="D99" s="113">
        <f>$B$4*E99</f>
        <v>1125</v>
      </c>
      <c r="E99" s="108">
        <f>$E$3*G99</f>
        <v>20</v>
      </c>
      <c r="G99" s="108">
        <v>100</v>
      </c>
      <c r="H99" s="113">
        <f>$B$4*G99</f>
        <v>5625</v>
      </c>
      <c r="J99" s="108" t="s">
        <v>191</v>
      </c>
    </row>
    <row r="100" spans="1:13" x14ac:dyDescent="0.35">
      <c r="C100" s="108">
        <v>2</v>
      </c>
      <c r="D100" s="113">
        <f>$B$4*F100</f>
        <v>4500</v>
      </c>
      <c r="F100" s="108">
        <f>$F$3*G99</f>
        <v>80</v>
      </c>
    </row>
    <row r="102" spans="1:13" x14ac:dyDescent="0.35">
      <c r="A102" s="120" t="s">
        <v>192</v>
      </c>
      <c r="C102" s="108">
        <v>1</v>
      </c>
      <c r="D102" s="113">
        <f>$B$4*E102</f>
        <v>2700</v>
      </c>
      <c r="E102" s="108">
        <f>$E$3*G102</f>
        <v>48</v>
      </c>
      <c r="G102" s="108">
        <v>240</v>
      </c>
      <c r="H102" s="113">
        <f>$B$4*G102</f>
        <v>13500</v>
      </c>
    </row>
    <row r="103" spans="1:13" x14ac:dyDescent="0.35">
      <c r="C103" s="108">
        <v>2</v>
      </c>
      <c r="D103" s="113">
        <f>$B$4*F103</f>
        <v>10800</v>
      </c>
      <c r="F103" s="108">
        <f>$F$3*G102</f>
        <v>192</v>
      </c>
    </row>
    <row r="105" spans="1:13" x14ac:dyDescent="0.35">
      <c r="A105" s="120" t="s">
        <v>193</v>
      </c>
      <c r="C105" s="108">
        <v>1</v>
      </c>
      <c r="D105" s="113">
        <f>$B$4*E105</f>
        <v>0</v>
      </c>
      <c r="E105" s="108">
        <f>$E$3*G105</f>
        <v>0</v>
      </c>
      <c r="H105" s="113">
        <f>$B$4*G105</f>
        <v>0</v>
      </c>
      <c r="J105" s="119" t="s">
        <v>565</v>
      </c>
      <c r="K105" s="108">
        <v>65</v>
      </c>
      <c r="L105" s="108">
        <v>8</v>
      </c>
      <c r="M105" s="108">
        <f>K105*L105</f>
        <v>520</v>
      </c>
    </row>
    <row r="106" spans="1:13" x14ac:dyDescent="0.35">
      <c r="C106" s="108">
        <v>2</v>
      </c>
      <c r="D106" s="113">
        <f>$B$4*F106</f>
        <v>0</v>
      </c>
      <c r="F106" s="108">
        <f>$F$3*G105</f>
        <v>0</v>
      </c>
    </row>
    <row r="107" spans="1:13" x14ac:dyDescent="0.35">
      <c r="D107" s="113"/>
    </row>
    <row r="108" spans="1:13" x14ac:dyDescent="0.35">
      <c r="A108" s="119" t="s">
        <v>194</v>
      </c>
      <c r="C108" s="108">
        <v>1</v>
      </c>
      <c r="D108" s="113">
        <f>$B$4*E108</f>
        <v>1125</v>
      </c>
      <c r="E108" s="108">
        <f>$E$3*G108</f>
        <v>20</v>
      </c>
      <c r="G108" s="108">
        <v>100</v>
      </c>
      <c r="H108" s="113">
        <f>$B$4*G108</f>
        <v>5625</v>
      </c>
    </row>
    <row r="109" spans="1:13" x14ac:dyDescent="0.35">
      <c r="C109" s="108">
        <v>2</v>
      </c>
      <c r="D109" s="113">
        <f>$B$4*F109</f>
        <v>4500</v>
      </c>
      <c r="F109" s="108">
        <f>$F$3*G108</f>
        <v>80</v>
      </c>
    </row>
    <row r="110" spans="1:13" x14ac:dyDescent="0.35">
      <c r="D110" s="113"/>
    </row>
    <row r="111" spans="1:13" x14ac:dyDescent="0.35">
      <c r="A111" s="119" t="s">
        <v>195</v>
      </c>
      <c r="C111" s="108">
        <v>1</v>
      </c>
      <c r="D111" s="113">
        <f>$B$4*E111</f>
        <v>1125</v>
      </c>
      <c r="E111" s="108">
        <f>$E$3*G111</f>
        <v>20</v>
      </c>
      <c r="G111" s="108">
        <v>100</v>
      </c>
      <c r="H111" s="113">
        <f>$B$4*G111</f>
        <v>5625</v>
      </c>
    </row>
    <row r="112" spans="1:13" x14ac:dyDescent="0.35">
      <c r="C112" s="108">
        <v>2</v>
      </c>
      <c r="D112" s="113">
        <f>$B$4*F112</f>
        <v>4500</v>
      </c>
      <c r="F112" s="108">
        <f>$F$3*G111</f>
        <v>80</v>
      </c>
    </row>
    <row r="114" spans="1:10" x14ac:dyDescent="0.35">
      <c r="A114" s="119" t="s">
        <v>196</v>
      </c>
      <c r="C114" s="108">
        <v>1</v>
      </c>
      <c r="D114" s="113">
        <f>$B$4*E114</f>
        <v>1125</v>
      </c>
      <c r="E114" s="108">
        <f>$E$3*G114</f>
        <v>20</v>
      </c>
      <c r="G114" s="108">
        <v>100</v>
      </c>
      <c r="H114" s="113">
        <f>$B$4*G114</f>
        <v>5625</v>
      </c>
    </row>
    <row r="115" spans="1:10" x14ac:dyDescent="0.35">
      <c r="C115" s="108">
        <v>2</v>
      </c>
      <c r="D115" s="113">
        <f>$B$4*F115</f>
        <v>4500</v>
      </c>
      <c r="F115" s="108">
        <f>$F$3*G114</f>
        <v>80</v>
      </c>
    </row>
    <row r="117" spans="1:10" x14ac:dyDescent="0.35">
      <c r="A117" s="119" t="s">
        <v>197</v>
      </c>
      <c r="C117" s="108">
        <v>1</v>
      </c>
      <c r="D117" s="113">
        <f>$B$4*E117</f>
        <v>2250</v>
      </c>
      <c r="E117" s="108">
        <f>$E$3*G117</f>
        <v>40</v>
      </c>
      <c r="G117" s="108">
        <v>200</v>
      </c>
      <c r="H117" s="113">
        <f>$B$4*G117</f>
        <v>11250</v>
      </c>
    </row>
    <row r="118" spans="1:10" x14ac:dyDescent="0.35">
      <c r="C118" s="108">
        <v>2</v>
      </c>
      <c r="D118" s="113">
        <f>$B$4*F118</f>
        <v>9000</v>
      </c>
      <c r="F118" s="108">
        <f>$F$3*G117</f>
        <v>160</v>
      </c>
    </row>
    <row r="120" spans="1:10" s="121" customFormat="1" x14ac:dyDescent="0.35">
      <c r="A120" s="121" t="s">
        <v>198</v>
      </c>
      <c r="C120" s="121">
        <v>0</v>
      </c>
      <c r="D120" s="122">
        <f>$B$4*E120</f>
        <v>0</v>
      </c>
      <c r="E120" s="121">
        <f>$E$3*G120</f>
        <v>0</v>
      </c>
      <c r="G120" s="121">
        <v>0</v>
      </c>
      <c r="H120" s="122">
        <f>$B$4*G120</f>
        <v>0</v>
      </c>
      <c r="J120" s="121" t="s">
        <v>199</v>
      </c>
    </row>
    <row r="121" spans="1:10" s="121" customFormat="1" x14ac:dyDescent="0.35">
      <c r="C121" s="121">
        <v>0</v>
      </c>
      <c r="D121" s="122">
        <f>$B$4*F121</f>
        <v>0</v>
      </c>
      <c r="F121" s="121">
        <f>$F$3*G120</f>
        <v>0</v>
      </c>
    </row>
    <row r="122" spans="1:10" x14ac:dyDescent="0.35">
      <c r="D122" s="113"/>
    </row>
    <row r="123" spans="1:10" x14ac:dyDescent="0.35">
      <c r="A123" s="120" t="s">
        <v>200</v>
      </c>
      <c r="C123" s="108">
        <v>1</v>
      </c>
      <c r="D123" s="113">
        <f>$B$4*E123</f>
        <v>0</v>
      </c>
      <c r="E123" s="108">
        <f>$E$3*G123</f>
        <v>0</v>
      </c>
      <c r="H123" s="113">
        <f>$B$4*G123</f>
        <v>0</v>
      </c>
      <c r="J123" s="119" t="s">
        <v>564</v>
      </c>
    </row>
    <row r="124" spans="1:10" x14ac:dyDescent="0.35">
      <c r="C124" s="108">
        <v>2</v>
      </c>
      <c r="D124" s="113">
        <f>$B$4*F124</f>
        <v>0</v>
      </c>
      <c r="F124" s="108">
        <f>$F$3*G123</f>
        <v>0</v>
      </c>
    </row>
    <row r="125" spans="1:10" x14ac:dyDescent="0.35">
      <c r="D125" s="113"/>
    </row>
    <row r="126" spans="1:10" x14ac:dyDescent="0.35">
      <c r="A126" s="120" t="s">
        <v>201</v>
      </c>
      <c r="C126" s="108">
        <v>1</v>
      </c>
      <c r="D126" s="113">
        <f>$B$4*E126</f>
        <v>1125</v>
      </c>
      <c r="E126" s="108">
        <f>$E$3*G126</f>
        <v>20</v>
      </c>
      <c r="G126" s="108">
        <v>100</v>
      </c>
      <c r="H126" s="113">
        <f>$B$4*G126</f>
        <v>5625</v>
      </c>
      <c r="J126" s="108" t="s">
        <v>202</v>
      </c>
    </row>
    <row r="127" spans="1:10" x14ac:dyDescent="0.35">
      <c r="C127" s="108">
        <v>2</v>
      </c>
      <c r="D127" s="113">
        <f>$B$4*F127</f>
        <v>4500</v>
      </c>
      <c r="F127" s="108">
        <f>$F$3*G126</f>
        <v>80</v>
      </c>
    </row>
    <row r="128" spans="1:10" x14ac:dyDescent="0.35">
      <c r="D128" s="113"/>
    </row>
    <row r="129" spans="1:10" x14ac:dyDescent="0.35">
      <c r="A129" s="120" t="s">
        <v>203</v>
      </c>
      <c r="C129" s="108">
        <v>1</v>
      </c>
      <c r="D129" s="113">
        <f>$B$4*E129</f>
        <v>1125</v>
      </c>
      <c r="E129" s="108">
        <f>$E$3*G129</f>
        <v>20</v>
      </c>
      <c r="G129" s="108">
        <v>100</v>
      </c>
      <c r="H129" s="113">
        <f>$B$4*G129</f>
        <v>5625</v>
      </c>
    </row>
    <row r="130" spans="1:10" x14ac:dyDescent="0.35">
      <c r="A130" s="120"/>
      <c r="C130" s="108">
        <v>2</v>
      </c>
      <c r="D130" s="113">
        <f>$B$4*F130</f>
        <v>4500</v>
      </c>
      <c r="F130" s="108">
        <f>$F$3*G129</f>
        <v>80</v>
      </c>
    </row>
    <row r="131" spans="1:10" x14ac:dyDescent="0.35">
      <c r="D131" s="113"/>
    </row>
    <row r="133" spans="1:10" x14ac:dyDescent="0.35">
      <c r="A133" s="120" t="s">
        <v>204</v>
      </c>
      <c r="C133" s="108">
        <v>1</v>
      </c>
      <c r="D133" s="113">
        <f>$B$4*E133</f>
        <v>1125</v>
      </c>
      <c r="E133" s="108">
        <f>$E$3*G133</f>
        <v>20</v>
      </c>
      <c r="G133" s="108">
        <v>100</v>
      </c>
      <c r="H133" s="113">
        <f>$B$4*G133</f>
        <v>5625</v>
      </c>
      <c r="J133" s="108" t="s">
        <v>205</v>
      </c>
    </row>
    <row r="134" spans="1:10" x14ac:dyDescent="0.35">
      <c r="C134" s="108">
        <v>2</v>
      </c>
      <c r="D134" s="113">
        <f>$B$4*F134</f>
        <v>4500</v>
      </c>
      <c r="F134" s="108">
        <f>$F$3*G133</f>
        <v>80</v>
      </c>
    </row>
    <row r="135" spans="1:10" x14ac:dyDescent="0.35">
      <c r="D135" s="113"/>
    </row>
    <row r="136" spans="1:10" x14ac:dyDescent="0.35">
      <c r="A136" s="120" t="s">
        <v>206</v>
      </c>
      <c r="C136" s="108">
        <v>1</v>
      </c>
      <c r="D136" s="113">
        <f>$B$4*E136</f>
        <v>3375</v>
      </c>
      <c r="E136" s="108">
        <f>$E$3*G136</f>
        <v>60</v>
      </c>
      <c r="G136" s="108">
        <v>300</v>
      </c>
      <c r="H136" s="113">
        <f>$B$4*G136</f>
        <v>16875</v>
      </c>
    </row>
    <row r="137" spans="1:10" x14ac:dyDescent="0.35">
      <c r="C137" s="108">
        <v>2</v>
      </c>
      <c r="D137" s="113">
        <f>$B$4*F137</f>
        <v>13500</v>
      </c>
      <c r="F137" s="108">
        <f>$F$3*G136</f>
        <v>240</v>
      </c>
    </row>
    <row r="138" spans="1:10" x14ac:dyDescent="0.35">
      <c r="D138" s="113"/>
    </row>
    <row r="139" spans="1:10" x14ac:dyDescent="0.35">
      <c r="A139" s="313" t="s">
        <v>207</v>
      </c>
      <c r="C139" s="108">
        <v>1</v>
      </c>
      <c r="D139" s="113">
        <f>$B$4*E139</f>
        <v>56250</v>
      </c>
      <c r="E139" s="108">
        <f>$E$3*G139</f>
        <v>1000</v>
      </c>
      <c r="G139" s="108">
        <v>5000</v>
      </c>
      <c r="H139" s="113">
        <f>$B$4*G139</f>
        <v>281250</v>
      </c>
      <c r="J139" s="119" t="s">
        <v>567</v>
      </c>
    </row>
    <row r="140" spans="1:10" x14ac:dyDescent="0.35">
      <c r="C140" s="108">
        <v>2</v>
      </c>
      <c r="D140" s="113">
        <f>$B$4*F140</f>
        <v>225000</v>
      </c>
      <c r="F140" s="108">
        <f>$F$3*G139</f>
        <v>4000</v>
      </c>
    </row>
    <row r="141" spans="1:10" x14ac:dyDescent="0.35">
      <c r="D141" s="113"/>
    </row>
    <row r="142" spans="1:10" x14ac:dyDescent="0.35">
      <c r="A142" s="120" t="s">
        <v>208</v>
      </c>
      <c r="C142" s="108">
        <v>1</v>
      </c>
      <c r="D142" s="113">
        <f>$B$4*E142</f>
        <v>0</v>
      </c>
      <c r="E142" s="108">
        <f>$E$3*G142</f>
        <v>0</v>
      </c>
      <c r="G142" s="108">
        <v>0</v>
      </c>
      <c r="H142" s="113">
        <f>$B$4*G142</f>
        <v>0</v>
      </c>
    </row>
    <row r="143" spans="1:10" x14ac:dyDescent="0.35">
      <c r="C143" s="108">
        <v>2</v>
      </c>
      <c r="D143" s="113">
        <f>$B$4*F143</f>
        <v>0</v>
      </c>
      <c r="F143" s="108">
        <f>$F$3*G142</f>
        <v>0</v>
      </c>
    </row>
    <row r="144" spans="1:10" x14ac:dyDescent="0.35">
      <c r="D144" s="113"/>
    </row>
    <row r="145" spans="1:10" x14ac:dyDescent="0.35">
      <c r="A145" s="120" t="s">
        <v>209</v>
      </c>
      <c r="C145" s="108">
        <v>1</v>
      </c>
      <c r="D145" s="113">
        <f>$B$4*E145</f>
        <v>4500</v>
      </c>
      <c r="E145" s="108">
        <f>$E$3*G145</f>
        <v>80</v>
      </c>
      <c r="G145" s="108">
        <v>400</v>
      </c>
      <c r="H145" s="113">
        <f>$B$4*G145</f>
        <v>22500</v>
      </c>
    </row>
    <row r="146" spans="1:10" x14ac:dyDescent="0.35">
      <c r="C146" s="108">
        <v>2</v>
      </c>
      <c r="D146" s="113">
        <f>$B$4*F146</f>
        <v>18000</v>
      </c>
      <c r="F146" s="108">
        <f>$F$3*G145</f>
        <v>320</v>
      </c>
    </row>
    <row r="147" spans="1:10" x14ac:dyDescent="0.35">
      <c r="D147" s="113"/>
    </row>
    <row r="148" spans="1:10" x14ac:dyDescent="0.35">
      <c r="A148" s="108" t="s">
        <v>210</v>
      </c>
      <c r="C148" s="108">
        <v>1</v>
      </c>
      <c r="D148" s="113">
        <f>$B$4*E148</f>
        <v>1125</v>
      </c>
      <c r="E148" s="108">
        <f>$E$3*G148</f>
        <v>20</v>
      </c>
      <c r="G148" s="108">
        <v>100</v>
      </c>
      <c r="H148" s="113">
        <f>$B$4*G148</f>
        <v>5625</v>
      </c>
    </row>
    <row r="149" spans="1:10" x14ac:dyDescent="0.35">
      <c r="C149" s="108">
        <v>2</v>
      </c>
      <c r="D149" s="113">
        <f>$B$4*F149</f>
        <v>4500</v>
      </c>
      <c r="F149" s="108">
        <f>$F$3*G148</f>
        <v>80</v>
      </c>
    </row>
    <row r="150" spans="1:10" x14ac:dyDescent="0.35">
      <c r="D150" s="113"/>
    </row>
    <row r="151" spans="1:10" x14ac:dyDescent="0.35">
      <c r="A151" s="108" t="s">
        <v>211</v>
      </c>
      <c r="C151" s="108">
        <v>1</v>
      </c>
      <c r="D151" s="113">
        <f>$B$4*E151</f>
        <v>1125</v>
      </c>
      <c r="E151" s="108">
        <f>$E$3*G151</f>
        <v>20</v>
      </c>
      <c r="G151" s="108">
        <v>100</v>
      </c>
      <c r="H151" s="113">
        <f>$B$4*G151</f>
        <v>5625</v>
      </c>
    </row>
    <row r="152" spans="1:10" x14ac:dyDescent="0.35">
      <c r="C152" s="108">
        <v>2</v>
      </c>
      <c r="D152" s="113">
        <f>$B$4*F152</f>
        <v>4500</v>
      </c>
      <c r="F152" s="108">
        <f>$F$3*G151</f>
        <v>80</v>
      </c>
    </row>
    <row r="153" spans="1:10" x14ac:dyDescent="0.35">
      <c r="D153" s="113"/>
    </row>
    <row r="154" spans="1:10" x14ac:dyDescent="0.35">
      <c r="A154" s="119" t="s">
        <v>212</v>
      </c>
      <c r="C154" s="108">
        <v>1</v>
      </c>
      <c r="D154" s="113">
        <f>$B$4*E154</f>
        <v>7374.375</v>
      </c>
      <c r="E154" s="108">
        <f>$E$3*G154</f>
        <v>131.1</v>
      </c>
      <c r="G154" s="108">
        <f>SUM(G6:G123)*A155</f>
        <v>655.5</v>
      </c>
      <c r="H154" s="113">
        <f>$B$4*G154</f>
        <v>36871.875</v>
      </c>
      <c r="J154" s="119" t="s">
        <v>566</v>
      </c>
    </row>
    <row r="155" spans="1:10" x14ac:dyDescent="0.35">
      <c r="A155" s="108">
        <v>0.15</v>
      </c>
      <c r="C155" s="108">
        <v>2</v>
      </c>
      <c r="D155" s="113">
        <f>$B$4*F155</f>
        <v>29497.5</v>
      </c>
      <c r="F155" s="108">
        <f>$F$3*G154</f>
        <v>524.4</v>
      </c>
    </row>
    <row r="156" spans="1:10" x14ac:dyDescent="0.35">
      <c r="D156" s="113"/>
    </row>
    <row r="158" spans="1:10" x14ac:dyDescent="0.35">
      <c r="A158" s="108" t="s">
        <v>213</v>
      </c>
      <c r="C158" s="108">
        <v>1</v>
      </c>
      <c r="D158" s="113">
        <f>$B$4*E158</f>
        <v>0</v>
      </c>
      <c r="H158" s="113">
        <f>$B$4*G158</f>
        <v>0</v>
      </c>
      <c r="I158" s="108" t="s">
        <v>562</v>
      </c>
    </row>
    <row r="159" spans="1:10" x14ac:dyDescent="0.35">
      <c r="A159" s="108">
        <v>0.1</v>
      </c>
      <c r="C159" s="108">
        <v>2</v>
      </c>
      <c r="D159" s="113">
        <f>$B$4*F159</f>
        <v>0</v>
      </c>
      <c r="I159" s="108" t="s">
        <v>562</v>
      </c>
    </row>
    <row r="160" spans="1:10" x14ac:dyDescent="0.35">
      <c r="D160" s="113"/>
    </row>
    <row r="163" spans="1:10" x14ac:dyDescent="0.35">
      <c r="D163" s="123">
        <f>SUM(D6:D161)</f>
        <v>631434.375</v>
      </c>
      <c r="E163" s="108">
        <f>SUM(E6:E161)*0.75</f>
        <v>1683.8249999999998</v>
      </c>
      <c r="F163" s="108">
        <f>SUM(F6:F161)*0.75</f>
        <v>6735.2999999999993</v>
      </c>
      <c r="G163" s="108">
        <f>SUM(G6:G161)</f>
        <v>11225.5</v>
      </c>
      <c r="H163" s="109">
        <f>SUM(H6:H161)</f>
        <v>631434.375</v>
      </c>
      <c r="I163" s="108" t="s">
        <v>563</v>
      </c>
      <c r="J163" s="124"/>
    </row>
    <row r="164" spans="1:10" x14ac:dyDescent="0.35">
      <c r="D164" s="113"/>
      <c r="G164" s="121" t="b">
        <f>(G163=SUM(E163:F163))</f>
        <v>0</v>
      </c>
      <c r="H164" s="121" t="b">
        <f>(D163=H163)</f>
        <v>1</v>
      </c>
    </row>
    <row r="165" spans="1:10" x14ac:dyDescent="0.35">
      <c r="D165" s="113"/>
      <c r="F165" s="108">
        <f>F163+E163</f>
        <v>8419.125</v>
      </c>
      <c r="H165" s="124">
        <f>H163-D163</f>
        <v>0</v>
      </c>
      <c r="J165" s="113">
        <f>G163*B5</f>
        <v>485718.74999999994</v>
      </c>
    </row>
    <row r="166" spans="1:10" x14ac:dyDescent="0.35">
      <c r="A166" s="108" t="s">
        <v>136</v>
      </c>
      <c r="C166" s="108">
        <v>1</v>
      </c>
      <c r="D166" s="109">
        <f>SUMIF(C6:C159,C166,D6:D159)</f>
        <v>126286.875</v>
      </c>
      <c r="F166" s="113">
        <f>F165*B5</f>
        <v>364289.0625</v>
      </c>
    </row>
    <row r="167" spans="1:10" x14ac:dyDescent="0.35">
      <c r="C167" s="108">
        <v>2</v>
      </c>
      <c r="D167" s="109">
        <f>SUMIF(C6:C159,C167,D6:D159)</f>
        <v>505147.5</v>
      </c>
      <c r="H167" s="113">
        <f>H163-H158</f>
        <v>631434.375</v>
      </c>
    </row>
    <row r="168" spans="1:10" x14ac:dyDescent="0.35">
      <c r="C168" s="108" t="s">
        <v>214</v>
      </c>
      <c r="D168" s="113">
        <f>SUM(D166:D167)</f>
        <v>631434.375</v>
      </c>
    </row>
    <row r="169" spans="1:10" x14ac:dyDescent="0.35">
      <c r="D169" s="113"/>
    </row>
    <row r="171" spans="1:10" x14ac:dyDescent="0.35">
      <c r="D171" s="113"/>
    </row>
  </sheetData>
  <pageMargins left="0.7" right="0.7" top="0.75" bottom="0.75" header="0.3" footer="0.3"/>
  <pageSetup orientation="portrait" r:id="rId1"/>
  <headerFooter>
    <oddHeader>&amp;L&amp;"Franklin Gothic Book"&amp;10&amp;K000000Sensitive&amp;1#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756F-296B-4553-A989-F7AD6C50DBAB}">
  <dimension ref="A1:AD59"/>
  <sheetViews>
    <sheetView topLeftCell="J43" workbookViewId="0">
      <selection activeCell="Y58" sqref="Y58"/>
    </sheetView>
  </sheetViews>
  <sheetFormatPr defaultColWidth="9.1796875" defaultRowHeight="14.5" x14ac:dyDescent="0.35"/>
  <cols>
    <col min="1" max="1" width="2.7265625" style="108" customWidth="1"/>
    <col min="2" max="2" width="21.54296875" style="108" customWidth="1"/>
    <col min="3" max="3" width="9.1796875" style="108"/>
    <col min="4" max="4" width="24.7265625" style="108" customWidth="1"/>
    <col min="5" max="5" width="13.26953125" style="108" customWidth="1"/>
    <col min="6" max="16" width="9.1796875" style="108"/>
    <col min="17" max="17" width="21.81640625" style="108" customWidth="1"/>
    <col min="18" max="18" width="9.1796875" style="168"/>
    <col min="19" max="23" width="9.1796875" style="108"/>
    <col min="24" max="24" width="12.54296875" style="108" bestFit="1" customWidth="1"/>
    <col min="25" max="29" width="9.1796875" style="108"/>
    <col min="30" max="30" width="9.81640625" style="108" bestFit="1" customWidth="1"/>
    <col min="31" max="16384" width="9.1796875" style="108"/>
  </cols>
  <sheetData>
    <row r="1" spans="1:29" x14ac:dyDescent="0.35">
      <c r="A1" s="166"/>
      <c r="B1" s="167" t="s">
        <v>303</v>
      </c>
      <c r="C1" s="167"/>
      <c r="D1" s="167" t="s">
        <v>97</v>
      </c>
      <c r="E1" s="167" t="s">
        <v>304</v>
      </c>
      <c r="F1" s="419" t="s">
        <v>305</v>
      </c>
      <c r="G1" s="420"/>
      <c r="H1" s="420"/>
      <c r="I1" s="421"/>
      <c r="J1" s="422" t="s">
        <v>306</v>
      </c>
      <c r="K1" s="423"/>
      <c r="L1" s="423"/>
      <c r="M1" s="424"/>
      <c r="N1" s="422" t="s">
        <v>307</v>
      </c>
      <c r="O1" s="423"/>
      <c r="P1" s="423"/>
      <c r="Q1" s="424"/>
      <c r="S1" s="169"/>
      <c r="T1" s="169"/>
      <c r="U1" s="169"/>
      <c r="V1" s="169"/>
      <c r="W1" s="169"/>
      <c r="X1" s="169"/>
      <c r="Y1" s="169"/>
      <c r="Z1" s="169"/>
      <c r="AA1" s="169"/>
      <c r="AB1" s="169"/>
    </row>
    <row r="2" spans="1:29" ht="73.5" x14ac:dyDescent="0.35">
      <c r="A2" s="166" t="s">
        <v>308</v>
      </c>
      <c r="B2" s="170" t="s">
        <v>309</v>
      </c>
      <c r="C2" s="170"/>
      <c r="D2" s="171"/>
      <c r="E2" s="171"/>
      <c r="F2" s="172"/>
      <c r="G2" s="172"/>
      <c r="H2" s="172"/>
      <c r="I2" s="172"/>
      <c r="J2" s="173"/>
      <c r="K2" s="174"/>
      <c r="L2" s="166"/>
      <c r="M2" s="166"/>
      <c r="N2" s="166"/>
      <c r="O2" s="175"/>
      <c r="P2" s="166"/>
      <c r="Q2" s="176" t="s">
        <v>310</v>
      </c>
      <c r="S2" s="176"/>
      <c r="T2" s="176"/>
      <c r="U2" s="176"/>
      <c r="V2" s="176"/>
      <c r="W2" s="176"/>
      <c r="X2" s="176"/>
      <c r="Y2" s="176"/>
      <c r="Z2" s="176"/>
      <c r="AA2" s="176"/>
      <c r="AB2" s="176"/>
    </row>
    <row r="3" spans="1:29" x14ac:dyDescent="0.35">
      <c r="A3" s="166"/>
      <c r="B3" s="176"/>
      <c r="C3" s="176"/>
      <c r="D3" s="173"/>
      <c r="E3" s="173"/>
      <c r="F3" s="177"/>
      <c r="G3" s="177"/>
      <c r="H3" s="177"/>
      <c r="I3" s="177"/>
      <c r="J3" s="166"/>
      <c r="K3" s="175"/>
      <c r="L3" s="166"/>
      <c r="M3" s="166"/>
      <c r="N3" s="166"/>
      <c r="O3" s="175"/>
      <c r="P3" s="166"/>
      <c r="Q3" s="171"/>
      <c r="S3" s="171"/>
      <c r="T3" s="171"/>
      <c r="U3" s="171"/>
      <c r="V3" s="171"/>
      <c r="W3" s="171"/>
      <c r="X3" s="171"/>
      <c r="Y3" s="171"/>
      <c r="Z3" s="171"/>
      <c r="AA3" s="171"/>
      <c r="AB3" s="171"/>
    </row>
    <row r="4" spans="1:29" x14ac:dyDescent="0.35">
      <c r="A4" s="166" t="s">
        <v>102</v>
      </c>
      <c r="B4" s="167" t="s">
        <v>303</v>
      </c>
      <c r="C4" s="167"/>
      <c r="D4" s="167" t="s">
        <v>97</v>
      </c>
      <c r="E4" s="178" t="s">
        <v>304</v>
      </c>
      <c r="F4" s="179" t="s">
        <v>311</v>
      </c>
      <c r="G4" s="179" t="s">
        <v>312</v>
      </c>
      <c r="H4" s="179" t="s">
        <v>313</v>
      </c>
      <c r="I4" s="179" t="s">
        <v>314</v>
      </c>
      <c r="J4" s="422" t="s">
        <v>306</v>
      </c>
      <c r="K4" s="423"/>
      <c r="L4" s="423"/>
      <c r="M4" s="424"/>
      <c r="N4" s="422" t="s">
        <v>307</v>
      </c>
      <c r="O4" s="423"/>
      <c r="P4" s="423"/>
      <c r="Q4" s="424"/>
      <c r="R4" s="168" t="s">
        <v>315</v>
      </c>
      <c r="S4" s="169" t="s">
        <v>33</v>
      </c>
      <c r="T4" s="169" t="s">
        <v>34</v>
      </c>
      <c r="U4" s="169" t="s">
        <v>35</v>
      </c>
      <c r="V4" s="169" t="s">
        <v>36</v>
      </c>
      <c r="W4" s="169" t="s">
        <v>37</v>
      </c>
      <c r="X4" s="169" t="s">
        <v>316</v>
      </c>
      <c r="Y4" s="169" t="s">
        <v>38</v>
      </c>
      <c r="Z4" s="169" t="s">
        <v>39</v>
      </c>
      <c r="AA4" s="169" t="s">
        <v>40</v>
      </c>
      <c r="AB4" s="169" t="s">
        <v>41</v>
      </c>
      <c r="AC4" s="169" t="s">
        <v>317</v>
      </c>
    </row>
    <row r="5" spans="1:29" x14ac:dyDescent="0.35">
      <c r="A5" s="166" t="str">
        <f t="shared" ref="A5:A6" si="0">IF(W5&gt;0,"x","")</f>
        <v>x</v>
      </c>
      <c r="B5" s="180" t="s">
        <v>318</v>
      </c>
      <c r="C5" s="180"/>
      <c r="D5" s="181" t="s">
        <v>319</v>
      </c>
      <c r="E5" s="181" t="s">
        <v>320</v>
      </c>
      <c r="F5" s="182"/>
      <c r="G5" s="183">
        <v>1</v>
      </c>
      <c r="H5" s="183"/>
      <c r="I5" s="182"/>
      <c r="J5" s="184">
        <v>1</v>
      </c>
      <c r="K5" s="185">
        <v>5000</v>
      </c>
      <c r="L5" s="186">
        <f>J5*K5</f>
        <v>5000</v>
      </c>
      <c r="M5" s="185"/>
      <c r="N5" s="184">
        <f>J5</f>
        <v>1</v>
      </c>
      <c r="O5" s="185">
        <f>2656*12*N5</f>
        <v>31872</v>
      </c>
      <c r="P5" s="186">
        <f>O5*N5</f>
        <v>31872</v>
      </c>
      <c r="Q5" s="180"/>
      <c r="R5" s="168">
        <f>L5+P5</f>
        <v>36872</v>
      </c>
      <c r="S5" s="168">
        <f>P5</f>
        <v>31872</v>
      </c>
      <c r="T5" s="168">
        <f>S5</f>
        <v>31872</v>
      </c>
      <c r="U5" s="168">
        <f t="shared" ref="U5:W5" si="1">T5</f>
        <v>31872</v>
      </c>
      <c r="V5" s="168">
        <f t="shared" si="1"/>
        <v>31872</v>
      </c>
      <c r="W5" s="168">
        <f t="shared" si="1"/>
        <v>31872</v>
      </c>
      <c r="X5" s="168">
        <f t="shared" ref="X5:X54" si="2">IF(C5="R",L5,)</f>
        <v>0</v>
      </c>
      <c r="Y5" s="168">
        <f>V5</f>
        <v>31872</v>
      </c>
      <c r="Z5" s="168">
        <f>W5</f>
        <v>31872</v>
      </c>
      <c r="AA5" s="168">
        <f>Z5</f>
        <v>31872</v>
      </c>
      <c r="AB5" s="168">
        <f t="shared" ref="AB5" si="3">AA5</f>
        <v>31872</v>
      </c>
      <c r="AC5" s="168">
        <f t="shared" ref="AC5:AC54" si="4">SUM(R5:AB5)</f>
        <v>323720</v>
      </c>
    </row>
    <row r="6" spans="1:29" ht="20" x14ac:dyDescent="0.35">
      <c r="A6" s="166" t="str">
        <f t="shared" si="0"/>
        <v/>
      </c>
      <c r="B6" s="180" t="s">
        <v>321</v>
      </c>
      <c r="C6" s="180"/>
      <c r="D6" s="180"/>
      <c r="E6" s="180" t="s">
        <v>322</v>
      </c>
      <c r="F6" s="187"/>
      <c r="G6" s="187">
        <v>1</v>
      </c>
      <c r="H6" s="187"/>
      <c r="I6" s="187"/>
      <c r="J6" s="184">
        <v>1</v>
      </c>
      <c r="K6" s="185">
        <v>2000</v>
      </c>
      <c r="L6" s="186">
        <f>J6*K6</f>
        <v>2000</v>
      </c>
      <c r="M6" s="185"/>
      <c r="N6" s="184">
        <v>1</v>
      </c>
      <c r="O6" s="188"/>
      <c r="P6" s="186">
        <f>O6*N6</f>
        <v>0</v>
      </c>
      <c r="Q6" s="180"/>
      <c r="R6" s="168">
        <f t="shared" ref="R6:R54" si="5">L6+P6</f>
        <v>2000</v>
      </c>
      <c r="S6" s="168">
        <f t="shared" ref="S6:S54" si="6">P6</f>
        <v>0</v>
      </c>
      <c r="T6" s="168">
        <f t="shared" ref="T6:W21" si="7">S6</f>
        <v>0</v>
      </c>
      <c r="U6" s="168">
        <f t="shared" si="7"/>
        <v>0</v>
      </c>
      <c r="V6" s="168">
        <f t="shared" si="7"/>
        <v>0</v>
      </c>
      <c r="W6" s="168">
        <f t="shared" si="7"/>
        <v>0</v>
      </c>
      <c r="X6" s="168">
        <f t="shared" si="2"/>
        <v>0</v>
      </c>
      <c r="Y6" s="168">
        <f t="shared" ref="Y6:Z54" si="8">V6</f>
        <v>0</v>
      </c>
      <c r="Z6" s="168">
        <f t="shared" si="8"/>
        <v>0</v>
      </c>
      <c r="AA6" s="168">
        <f t="shared" ref="AA6:AB21" si="9">Z6</f>
        <v>0</v>
      </c>
      <c r="AB6" s="168">
        <f t="shared" si="9"/>
        <v>0</v>
      </c>
      <c r="AC6" s="168">
        <f t="shared" si="4"/>
        <v>2000</v>
      </c>
    </row>
    <row r="7" spans="1:29" ht="30" x14ac:dyDescent="0.35">
      <c r="A7" s="166" t="str">
        <f>IF(W7&gt;0,"x","")</f>
        <v>x</v>
      </c>
      <c r="B7" s="189" t="s">
        <v>323</v>
      </c>
      <c r="C7" s="189" t="s">
        <v>324</v>
      </c>
      <c r="D7" s="180" t="s">
        <v>325</v>
      </c>
      <c r="E7" s="180" t="s">
        <v>326</v>
      </c>
      <c r="F7" s="187"/>
      <c r="G7" s="187">
        <v>1</v>
      </c>
      <c r="H7" s="187"/>
      <c r="I7" s="187"/>
      <c r="J7" s="184">
        <v>2</v>
      </c>
      <c r="K7" s="185">
        <v>24000</v>
      </c>
      <c r="L7" s="186">
        <f>J7*K7</f>
        <v>48000</v>
      </c>
      <c r="M7" s="171" t="s">
        <v>327</v>
      </c>
      <c r="N7" s="184">
        <f>J7</f>
        <v>2</v>
      </c>
      <c r="O7" s="185">
        <f>21%*K7</f>
        <v>5040</v>
      </c>
      <c r="P7" s="186">
        <f>O7*N7</f>
        <v>10080</v>
      </c>
      <c r="Q7" s="190" t="s">
        <v>328</v>
      </c>
      <c r="R7" s="168">
        <f t="shared" si="5"/>
        <v>58080</v>
      </c>
      <c r="S7" s="168">
        <f t="shared" si="6"/>
        <v>10080</v>
      </c>
      <c r="T7" s="168">
        <f t="shared" si="7"/>
        <v>10080</v>
      </c>
      <c r="U7" s="168">
        <f t="shared" si="7"/>
        <v>10080</v>
      </c>
      <c r="V7" s="168">
        <f t="shared" si="7"/>
        <v>10080</v>
      </c>
      <c r="W7" s="168">
        <f t="shared" si="7"/>
        <v>10080</v>
      </c>
      <c r="X7" s="168">
        <f t="shared" si="2"/>
        <v>48000</v>
      </c>
      <c r="Y7" s="168">
        <f t="shared" si="8"/>
        <v>10080</v>
      </c>
      <c r="Z7" s="168">
        <f t="shared" si="8"/>
        <v>10080</v>
      </c>
      <c r="AA7" s="168">
        <f t="shared" si="9"/>
        <v>10080</v>
      </c>
      <c r="AB7" s="168">
        <f t="shared" si="9"/>
        <v>10080</v>
      </c>
      <c r="AC7" s="168">
        <f t="shared" si="4"/>
        <v>196800</v>
      </c>
    </row>
    <row r="8" spans="1:29" ht="40" x14ac:dyDescent="0.35">
      <c r="A8" s="166" t="str">
        <f t="shared" ref="A8:A54" si="10">IF(W8&gt;0,"x","")</f>
        <v>x</v>
      </c>
      <c r="B8" s="180" t="s">
        <v>329</v>
      </c>
      <c r="C8" s="180"/>
      <c r="D8" s="180" t="s">
        <v>330</v>
      </c>
      <c r="E8" s="180" t="s">
        <v>331</v>
      </c>
      <c r="F8" s="187"/>
      <c r="G8" s="187">
        <v>0.5</v>
      </c>
      <c r="H8" s="187"/>
      <c r="I8" s="187">
        <v>0.5</v>
      </c>
      <c r="J8" s="184">
        <v>2</v>
      </c>
      <c r="K8" s="185">
        <v>40000</v>
      </c>
      <c r="L8" s="186">
        <f>J8*K8</f>
        <v>80000</v>
      </c>
      <c r="M8" s="180" t="s">
        <v>327</v>
      </c>
      <c r="N8" s="184">
        <f t="shared" ref="N8:N13" si="11">J8</f>
        <v>2</v>
      </c>
      <c r="O8" s="185">
        <f>15%*K8</f>
        <v>6000</v>
      </c>
      <c r="P8" s="186">
        <f t="shared" ref="P8:P10" si="12">O8*N8</f>
        <v>12000</v>
      </c>
      <c r="Q8" s="190" t="s">
        <v>328</v>
      </c>
      <c r="R8" s="168">
        <f t="shared" si="5"/>
        <v>92000</v>
      </c>
      <c r="S8" s="168">
        <f t="shared" si="6"/>
        <v>12000</v>
      </c>
      <c r="T8" s="168">
        <f t="shared" si="7"/>
        <v>12000</v>
      </c>
      <c r="U8" s="168">
        <f t="shared" si="7"/>
        <v>12000</v>
      </c>
      <c r="V8" s="168">
        <f t="shared" si="7"/>
        <v>12000</v>
      </c>
      <c r="W8" s="168">
        <f t="shared" si="7"/>
        <v>12000</v>
      </c>
      <c r="X8" s="168">
        <f t="shared" si="2"/>
        <v>0</v>
      </c>
      <c r="Y8" s="168">
        <f t="shared" si="8"/>
        <v>12000</v>
      </c>
      <c r="Z8" s="168">
        <f t="shared" si="8"/>
        <v>12000</v>
      </c>
      <c r="AA8" s="168">
        <f t="shared" si="9"/>
        <v>12000</v>
      </c>
      <c r="AB8" s="168">
        <f t="shared" si="9"/>
        <v>12000</v>
      </c>
      <c r="AC8" s="168">
        <f t="shared" si="4"/>
        <v>200000</v>
      </c>
    </row>
    <row r="9" spans="1:29" ht="30" x14ac:dyDescent="0.35">
      <c r="A9" s="166" t="str">
        <f t="shared" si="10"/>
        <v>x</v>
      </c>
      <c r="B9" s="189" t="s">
        <v>332</v>
      </c>
      <c r="C9" s="189" t="s">
        <v>324</v>
      </c>
      <c r="D9" s="180" t="s">
        <v>333</v>
      </c>
      <c r="E9" s="180" t="s">
        <v>326</v>
      </c>
      <c r="F9" s="187"/>
      <c r="G9" s="187">
        <v>1</v>
      </c>
      <c r="H9" s="187"/>
      <c r="I9" s="187"/>
      <c r="J9" s="184">
        <v>1</v>
      </c>
      <c r="K9" s="185">
        <v>8000</v>
      </c>
      <c r="L9" s="186">
        <f t="shared" ref="L9:L12" si="13">J9*K9</f>
        <v>8000</v>
      </c>
      <c r="M9" s="180" t="s">
        <v>327</v>
      </c>
      <c r="N9" s="184">
        <f t="shared" si="11"/>
        <v>1</v>
      </c>
      <c r="O9" s="185">
        <f t="shared" ref="O9:O12" si="14">21%*K9</f>
        <v>1680</v>
      </c>
      <c r="P9" s="186">
        <f t="shared" si="12"/>
        <v>1680</v>
      </c>
      <c r="Q9" s="190" t="s">
        <v>328</v>
      </c>
      <c r="R9" s="168">
        <f t="shared" si="5"/>
        <v>9680</v>
      </c>
      <c r="S9" s="168">
        <f t="shared" si="6"/>
        <v>1680</v>
      </c>
      <c r="T9" s="168">
        <f t="shared" si="7"/>
        <v>1680</v>
      </c>
      <c r="U9" s="168">
        <f t="shared" si="7"/>
        <v>1680</v>
      </c>
      <c r="V9" s="168">
        <f t="shared" si="7"/>
        <v>1680</v>
      </c>
      <c r="W9" s="168">
        <f t="shared" si="7"/>
        <v>1680</v>
      </c>
      <c r="X9" s="168">
        <f t="shared" si="2"/>
        <v>8000</v>
      </c>
      <c r="Y9" s="168">
        <f t="shared" si="8"/>
        <v>1680</v>
      </c>
      <c r="Z9" s="168">
        <f t="shared" si="8"/>
        <v>1680</v>
      </c>
      <c r="AA9" s="168">
        <f t="shared" si="9"/>
        <v>1680</v>
      </c>
      <c r="AB9" s="168">
        <f t="shared" si="9"/>
        <v>1680</v>
      </c>
      <c r="AC9" s="168">
        <f t="shared" si="4"/>
        <v>32800</v>
      </c>
    </row>
    <row r="10" spans="1:29" ht="30" x14ac:dyDescent="0.35">
      <c r="A10" s="166" t="str">
        <f t="shared" si="10"/>
        <v/>
      </c>
      <c r="B10" s="180" t="s">
        <v>334</v>
      </c>
      <c r="C10" s="180"/>
      <c r="D10" s="180" t="s">
        <v>335</v>
      </c>
      <c r="E10" s="180" t="s">
        <v>326</v>
      </c>
      <c r="F10" s="187"/>
      <c r="G10" s="187">
        <v>1</v>
      </c>
      <c r="H10" s="187"/>
      <c r="I10" s="187"/>
      <c r="J10" s="184">
        <v>0</v>
      </c>
      <c r="K10" s="185">
        <v>8000</v>
      </c>
      <c r="L10" s="186">
        <f t="shared" si="13"/>
        <v>0</v>
      </c>
      <c r="M10" s="180" t="s">
        <v>327</v>
      </c>
      <c r="N10" s="184">
        <f t="shared" si="11"/>
        <v>0</v>
      </c>
      <c r="O10" s="185">
        <f t="shared" si="14"/>
        <v>1680</v>
      </c>
      <c r="P10" s="186">
        <f t="shared" si="12"/>
        <v>0</v>
      </c>
      <c r="Q10" s="190" t="s">
        <v>328</v>
      </c>
      <c r="R10" s="168">
        <f t="shared" si="5"/>
        <v>0</v>
      </c>
      <c r="S10" s="168">
        <f t="shared" si="6"/>
        <v>0</v>
      </c>
      <c r="T10" s="168">
        <f t="shared" si="7"/>
        <v>0</v>
      </c>
      <c r="U10" s="168">
        <f t="shared" si="7"/>
        <v>0</v>
      </c>
      <c r="V10" s="168">
        <f t="shared" si="7"/>
        <v>0</v>
      </c>
      <c r="W10" s="168">
        <f t="shared" si="7"/>
        <v>0</v>
      </c>
      <c r="X10" s="168">
        <f t="shared" si="2"/>
        <v>0</v>
      </c>
      <c r="Y10" s="168">
        <f t="shared" si="8"/>
        <v>0</v>
      </c>
      <c r="Z10" s="168">
        <f t="shared" si="8"/>
        <v>0</v>
      </c>
      <c r="AA10" s="168">
        <f t="shared" si="9"/>
        <v>0</v>
      </c>
      <c r="AB10" s="168">
        <f t="shared" si="9"/>
        <v>0</v>
      </c>
      <c r="AC10" s="168">
        <f t="shared" si="4"/>
        <v>0</v>
      </c>
    </row>
    <row r="11" spans="1:29" ht="30" x14ac:dyDescent="0.35">
      <c r="A11" s="166" t="str">
        <f t="shared" si="10"/>
        <v>x</v>
      </c>
      <c r="B11" s="189" t="s">
        <v>336</v>
      </c>
      <c r="C11" s="189" t="s">
        <v>324</v>
      </c>
      <c r="D11" s="180" t="s">
        <v>337</v>
      </c>
      <c r="E11" s="180" t="s">
        <v>331</v>
      </c>
      <c r="F11" s="182"/>
      <c r="G11" s="187">
        <v>1</v>
      </c>
      <c r="H11" s="187"/>
      <c r="I11" s="187"/>
      <c r="J11" s="184">
        <v>1</v>
      </c>
      <c r="K11" s="185">
        <v>65000</v>
      </c>
      <c r="L11" s="186">
        <f t="shared" si="13"/>
        <v>65000</v>
      </c>
      <c r="M11" s="180" t="s">
        <v>327</v>
      </c>
      <c r="N11" s="184">
        <f t="shared" si="11"/>
        <v>1</v>
      </c>
      <c r="O11" s="185">
        <f t="shared" si="14"/>
        <v>13650</v>
      </c>
      <c r="P11" s="186">
        <f>O11*N11</f>
        <v>13650</v>
      </c>
      <c r="Q11" s="190" t="s">
        <v>328</v>
      </c>
      <c r="R11" s="168">
        <f t="shared" si="5"/>
        <v>78650</v>
      </c>
      <c r="S11" s="168">
        <f t="shared" si="6"/>
        <v>13650</v>
      </c>
      <c r="T11" s="168">
        <f t="shared" si="7"/>
        <v>13650</v>
      </c>
      <c r="U11" s="168">
        <f t="shared" si="7"/>
        <v>13650</v>
      </c>
      <c r="V11" s="168">
        <f t="shared" si="7"/>
        <v>13650</v>
      </c>
      <c r="W11" s="168">
        <f t="shared" si="7"/>
        <v>13650</v>
      </c>
      <c r="X11" s="168">
        <f t="shared" si="2"/>
        <v>65000</v>
      </c>
      <c r="Y11" s="168">
        <f t="shared" si="8"/>
        <v>13650</v>
      </c>
      <c r="Z11" s="168">
        <f t="shared" si="8"/>
        <v>13650</v>
      </c>
      <c r="AA11" s="168">
        <f t="shared" si="9"/>
        <v>13650</v>
      </c>
      <c r="AB11" s="168">
        <f t="shared" si="9"/>
        <v>13650</v>
      </c>
      <c r="AC11" s="168">
        <f t="shared" si="4"/>
        <v>266500</v>
      </c>
    </row>
    <row r="12" spans="1:29" ht="30" x14ac:dyDescent="0.35">
      <c r="A12" s="166" t="str">
        <f t="shared" si="10"/>
        <v/>
      </c>
      <c r="B12" s="180" t="s">
        <v>338</v>
      </c>
      <c r="C12" s="180"/>
      <c r="D12" s="180" t="s">
        <v>335</v>
      </c>
      <c r="E12" s="180" t="s">
        <v>326</v>
      </c>
      <c r="F12" s="182"/>
      <c r="G12" s="187">
        <v>1</v>
      </c>
      <c r="H12" s="187"/>
      <c r="I12" s="187"/>
      <c r="J12" s="184">
        <v>0</v>
      </c>
      <c r="K12" s="185">
        <v>8000</v>
      </c>
      <c r="L12" s="186">
        <f t="shared" si="13"/>
        <v>0</v>
      </c>
      <c r="M12" s="180" t="s">
        <v>327</v>
      </c>
      <c r="N12" s="184">
        <f t="shared" si="11"/>
        <v>0</v>
      </c>
      <c r="O12" s="185">
        <f t="shared" si="14"/>
        <v>1680</v>
      </c>
      <c r="P12" s="186">
        <f t="shared" ref="P12:P13" si="15">O12*N12</f>
        <v>0</v>
      </c>
      <c r="Q12" s="190" t="s">
        <v>328</v>
      </c>
      <c r="R12" s="168">
        <f t="shared" si="5"/>
        <v>0</v>
      </c>
      <c r="S12" s="168">
        <f t="shared" si="6"/>
        <v>0</v>
      </c>
      <c r="T12" s="168">
        <f t="shared" si="7"/>
        <v>0</v>
      </c>
      <c r="U12" s="168">
        <f t="shared" si="7"/>
        <v>0</v>
      </c>
      <c r="V12" s="168">
        <f t="shared" si="7"/>
        <v>0</v>
      </c>
      <c r="W12" s="168">
        <f t="shared" si="7"/>
        <v>0</v>
      </c>
      <c r="X12" s="168">
        <f t="shared" si="2"/>
        <v>0</v>
      </c>
      <c r="Y12" s="168">
        <f t="shared" si="8"/>
        <v>0</v>
      </c>
      <c r="Z12" s="168">
        <f t="shared" si="8"/>
        <v>0</v>
      </c>
      <c r="AA12" s="168">
        <f t="shared" si="9"/>
        <v>0</v>
      </c>
      <c r="AB12" s="168">
        <f t="shared" si="9"/>
        <v>0</v>
      </c>
      <c r="AC12" s="168">
        <f t="shared" si="4"/>
        <v>0</v>
      </c>
    </row>
    <row r="13" spans="1:29" ht="40" x14ac:dyDescent="0.35">
      <c r="A13" s="166" t="str">
        <f t="shared" si="10"/>
        <v>x</v>
      </c>
      <c r="B13" s="180" t="s">
        <v>329</v>
      </c>
      <c r="C13" s="180"/>
      <c r="D13" s="180" t="s">
        <v>339</v>
      </c>
      <c r="E13" s="180" t="s">
        <v>331</v>
      </c>
      <c r="F13" s="187"/>
      <c r="G13" s="187">
        <v>0.5</v>
      </c>
      <c r="H13" s="187"/>
      <c r="I13" s="187">
        <v>0.5</v>
      </c>
      <c r="J13" s="184">
        <v>2</v>
      </c>
      <c r="K13" s="185">
        <v>44000</v>
      </c>
      <c r="L13" s="186">
        <f>J13*K13</f>
        <v>88000</v>
      </c>
      <c r="M13" s="180" t="s">
        <v>327</v>
      </c>
      <c r="N13" s="184">
        <f t="shared" si="11"/>
        <v>2</v>
      </c>
      <c r="O13" s="185">
        <f>16%*K13</f>
        <v>7040</v>
      </c>
      <c r="P13" s="186">
        <f t="shared" si="15"/>
        <v>14080</v>
      </c>
      <c r="Q13" s="190" t="s">
        <v>328</v>
      </c>
      <c r="R13" s="168">
        <f t="shared" si="5"/>
        <v>102080</v>
      </c>
      <c r="S13" s="168">
        <f t="shared" si="6"/>
        <v>14080</v>
      </c>
      <c r="T13" s="168">
        <f t="shared" si="7"/>
        <v>14080</v>
      </c>
      <c r="U13" s="168">
        <f t="shared" si="7"/>
        <v>14080</v>
      </c>
      <c r="V13" s="168">
        <f t="shared" si="7"/>
        <v>14080</v>
      </c>
      <c r="W13" s="168">
        <f t="shared" si="7"/>
        <v>14080</v>
      </c>
      <c r="X13" s="168">
        <f t="shared" si="2"/>
        <v>0</v>
      </c>
      <c r="Y13" s="168">
        <f t="shared" si="8"/>
        <v>14080</v>
      </c>
      <c r="Z13" s="168">
        <f t="shared" si="8"/>
        <v>14080</v>
      </c>
      <c r="AA13" s="168">
        <f t="shared" si="9"/>
        <v>14080</v>
      </c>
      <c r="AB13" s="168">
        <f t="shared" si="9"/>
        <v>14080</v>
      </c>
      <c r="AC13" s="168">
        <f t="shared" si="4"/>
        <v>228800</v>
      </c>
    </row>
    <row r="14" spans="1:29" ht="30" x14ac:dyDescent="0.35">
      <c r="A14" s="166" t="str">
        <f t="shared" si="10"/>
        <v>x</v>
      </c>
      <c r="B14" s="189" t="s">
        <v>340</v>
      </c>
      <c r="C14" s="189" t="s">
        <v>324</v>
      </c>
      <c r="D14" s="180" t="s">
        <v>341</v>
      </c>
      <c r="E14" s="180" t="s">
        <v>342</v>
      </c>
      <c r="F14" s="182"/>
      <c r="G14" s="187">
        <v>1</v>
      </c>
      <c r="H14" s="187"/>
      <c r="I14" s="187"/>
      <c r="J14" s="184">
        <v>4</v>
      </c>
      <c r="K14" s="188">
        <v>20400</v>
      </c>
      <c r="L14" s="186">
        <f t="shared" ref="L14:L16" si="16">J14*K14</f>
        <v>81600</v>
      </c>
      <c r="M14" s="185" t="s">
        <v>343</v>
      </c>
      <c r="N14" s="184">
        <f>J14</f>
        <v>4</v>
      </c>
      <c r="O14" s="185">
        <f t="shared" ref="O14:O16" si="17">21%*K14</f>
        <v>4284</v>
      </c>
      <c r="P14" s="186">
        <f>O14*N14</f>
        <v>17136</v>
      </c>
      <c r="Q14" s="190" t="s">
        <v>328</v>
      </c>
      <c r="R14" s="168">
        <f t="shared" si="5"/>
        <v>98736</v>
      </c>
      <c r="S14" s="168">
        <f t="shared" si="6"/>
        <v>17136</v>
      </c>
      <c r="T14" s="168">
        <f t="shared" si="7"/>
        <v>17136</v>
      </c>
      <c r="U14" s="168">
        <f t="shared" si="7"/>
        <v>17136</v>
      </c>
      <c r="V14" s="168">
        <f t="shared" si="7"/>
        <v>17136</v>
      </c>
      <c r="W14" s="168">
        <f t="shared" si="7"/>
        <v>17136</v>
      </c>
      <c r="X14" s="168">
        <f t="shared" si="2"/>
        <v>81600</v>
      </c>
      <c r="Y14" s="168">
        <f t="shared" si="8"/>
        <v>17136</v>
      </c>
      <c r="Z14" s="168">
        <f t="shared" si="8"/>
        <v>17136</v>
      </c>
      <c r="AA14" s="168">
        <f t="shared" si="9"/>
        <v>17136</v>
      </c>
      <c r="AB14" s="168">
        <f t="shared" si="9"/>
        <v>17136</v>
      </c>
      <c r="AC14" s="168">
        <f t="shared" si="4"/>
        <v>334560</v>
      </c>
    </row>
    <row r="15" spans="1:29" ht="30" x14ac:dyDescent="0.35">
      <c r="A15" s="166" t="str">
        <f t="shared" si="10"/>
        <v>x</v>
      </c>
      <c r="B15" s="191" t="s">
        <v>344</v>
      </c>
      <c r="C15" s="191"/>
      <c r="D15" s="191" t="s">
        <v>345</v>
      </c>
      <c r="E15" s="191" t="s">
        <v>342</v>
      </c>
      <c r="F15" s="192"/>
      <c r="G15" s="192">
        <v>1</v>
      </c>
      <c r="H15" s="192"/>
      <c r="I15" s="192"/>
      <c r="J15" s="184">
        <v>36</v>
      </c>
      <c r="K15" s="193">
        <v>1200</v>
      </c>
      <c r="L15" s="194">
        <f t="shared" si="16"/>
        <v>43200</v>
      </c>
      <c r="M15" s="195"/>
      <c r="N15" s="184">
        <f t="shared" ref="N15" si="18">J15</f>
        <v>36</v>
      </c>
      <c r="O15" s="185">
        <f t="shared" si="17"/>
        <v>252</v>
      </c>
      <c r="P15" s="186">
        <f t="shared" ref="P15:P16" si="19">O15*N15</f>
        <v>9072</v>
      </c>
      <c r="Q15" s="190" t="s">
        <v>328</v>
      </c>
      <c r="R15" s="168">
        <f t="shared" si="5"/>
        <v>52272</v>
      </c>
      <c r="S15" s="168">
        <f t="shared" si="6"/>
        <v>9072</v>
      </c>
      <c r="T15" s="168">
        <f t="shared" si="7"/>
        <v>9072</v>
      </c>
      <c r="U15" s="168">
        <f t="shared" si="7"/>
        <v>9072</v>
      </c>
      <c r="V15" s="168">
        <f t="shared" si="7"/>
        <v>9072</v>
      </c>
      <c r="W15" s="168">
        <f t="shared" si="7"/>
        <v>9072</v>
      </c>
      <c r="X15" s="168">
        <f t="shared" si="2"/>
        <v>0</v>
      </c>
      <c r="Y15" s="168">
        <f t="shared" si="8"/>
        <v>9072</v>
      </c>
      <c r="Z15" s="168">
        <f t="shared" si="8"/>
        <v>9072</v>
      </c>
      <c r="AA15" s="168">
        <f t="shared" si="9"/>
        <v>9072</v>
      </c>
      <c r="AB15" s="168">
        <f t="shared" si="9"/>
        <v>9072</v>
      </c>
      <c r="AC15" s="168">
        <f t="shared" si="4"/>
        <v>133920</v>
      </c>
    </row>
    <row r="16" spans="1:29" ht="30" x14ac:dyDescent="0.35">
      <c r="A16" s="166" t="str">
        <f t="shared" si="10"/>
        <v>x</v>
      </c>
      <c r="B16" s="189" t="s">
        <v>346</v>
      </c>
      <c r="C16" s="196" t="s">
        <v>324</v>
      </c>
      <c r="D16" s="197" t="s">
        <v>347</v>
      </c>
      <c r="E16" s="198" t="s">
        <v>342</v>
      </c>
      <c r="F16" s="199"/>
      <c r="G16" s="199">
        <v>1</v>
      </c>
      <c r="H16" s="199"/>
      <c r="I16" s="199"/>
      <c r="J16" s="184">
        <v>2</v>
      </c>
      <c r="K16" s="188">
        <v>17000</v>
      </c>
      <c r="L16" s="186">
        <f t="shared" si="16"/>
        <v>34000</v>
      </c>
      <c r="M16" s="185" t="s">
        <v>343</v>
      </c>
      <c r="N16" s="184">
        <f>J16</f>
        <v>2</v>
      </c>
      <c r="O16" s="185">
        <f t="shared" si="17"/>
        <v>3570</v>
      </c>
      <c r="P16" s="186">
        <f t="shared" si="19"/>
        <v>7140</v>
      </c>
      <c r="Q16" s="190" t="s">
        <v>328</v>
      </c>
      <c r="R16" s="168">
        <f t="shared" si="5"/>
        <v>41140</v>
      </c>
      <c r="S16" s="168">
        <f t="shared" si="6"/>
        <v>7140</v>
      </c>
      <c r="T16" s="168">
        <f t="shared" si="7"/>
        <v>7140</v>
      </c>
      <c r="U16" s="168">
        <f t="shared" si="7"/>
        <v>7140</v>
      </c>
      <c r="V16" s="168">
        <f t="shared" si="7"/>
        <v>7140</v>
      </c>
      <c r="W16" s="168">
        <f t="shared" si="7"/>
        <v>7140</v>
      </c>
      <c r="X16" s="168">
        <f t="shared" si="2"/>
        <v>34000</v>
      </c>
      <c r="Y16" s="168">
        <f t="shared" si="8"/>
        <v>7140</v>
      </c>
      <c r="Z16" s="168">
        <f t="shared" si="8"/>
        <v>7140</v>
      </c>
      <c r="AA16" s="168">
        <f t="shared" si="9"/>
        <v>7140</v>
      </c>
      <c r="AB16" s="168">
        <f t="shared" si="9"/>
        <v>7140</v>
      </c>
      <c r="AC16" s="168">
        <f t="shared" si="4"/>
        <v>139400</v>
      </c>
    </row>
    <row r="17" spans="1:29" x14ac:dyDescent="0.35">
      <c r="A17" s="166" t="str">
        <f t="shared" si="10"/>
        <v/>
      </c>
      <c r="B17" s="191" t="s">
        <v>348</v>
      </c>
      <c r="C17" s="191"/>
      <c r="D17" s="191" t="s">
        <v>349</v>
      </c>
      <c r="E17" s="191"/>
      <c r="F17" s="192"/>
      <c r="G17" s="192">
        <v>1</v>
      </c>
      <c r="H17" s="192"/>
      <c r="I17" s="192"/>
      <c r="J17" s="184">
        <v>0</v>
      </c>
      <c r="K17" s="193">
        <v>1000</v>
      </c>
      <c r="L17" s="194">
        <f>J17*K17</f>
        <v>0</v>
      </c>
      <c r="M17" s="195"/>
      <c r="N17" s="184">
        <f>J17</f>
        <v>0</v>
      </c>
      <c r="O17" s="185">
        <f>12*1500</f>
        <v>18000</v>
      </c>
      <c r="P17" s="186">
        <f t="shared" ref="P17:P18" si="20">N17*O17</f>
        <v>0</v>
      </c>
      <c r="Q17" s="180"/>
      <c r="R17" s="168">
        <f t="shared" si="5"/>
        <v>0</v>
      </c>
      <c r="S17" s="168">
        <f t="shared" si="6"/>
        <v>0</v>
      </c>
      <c r="T17" s="168">
        <f t="shared" si="7"/>
        <v>0</v>
      </c>
      <c r="U17" s="168">
        <f t="shared" si="7"/>
        <v>0</v>
      </c>
      <c r="V17" s="168">
        <f t="shared" si="7"/>
        <v>0</v>
      </c>
      <c r="W17" s="168">
        <f t="shared" si="7"/>
        <v>0</v>
      </c>
      <c r="X17" s="168">
        <f t="shared" si="2"/>
        <v>0</v>
      </c>
      <c r="Y17" s="168">
        <f t="shared" si="8"/>
        <v>0</v>
      </c>
      <c r="Z17" s="168">
        <f t="shared" si="8"/>
        <v>0</v>
      </c>
      <c r="AA17" s="168">
        <f t="shared" si="9"/>
        <v>0</v>
      </c>
      <c r="AB17" s="168">
        <f t="shared" si="9"/>
        <v>0</v>
      </c>
      <c r="AC17" s="168">
        <f t="shared" si="4"/>
        <v>0</v>
      </c>
    </row>
    <row r="18" spans="1:29" x14ac:dyDescent="0.35">
      <c r="A18" s="166" t="str">
        <f t="shared" si="10"/>
        <v/>
      </c>
      <c r="B18" s="191" t="s">
        <v>350</v>
      </c>
      <c r="C18" s="191"/>
      <c r="D18" s="191" t="s">
        <v>351</v>
      </c>
      <c r="E18" s="191"/>
      <c r="F18" s="192"/>
      <c r="G18" s="192">
        <v>1</v>
      </c>
      <c r="H18" s="192"/>
      <c r="I18" s="192"/>
      <c r="J18" s="184">
        <v>0</v>
      </c>
      <c r="K18" s="193">
        <v>1000</v>
      </c>
      <c r="L18" s="194">
        <f>J18*K18</f>
        <v>0</v>
      </c>
      <c r="M18" s="195"/>
      <c r="N18" s="184">
        <f>J18</f>
        <v>0</v>
      </c>
      <c r="O18" s="185">
        <f>12*1500</f>
        <v>18000</v>
      </c>
      <c r="P18" s="186">
        <f t="shared" si="20"/>
        <v>0</v>
      </c>
      <c r="Q18" s="180"/>
      <c r="R18" s="168">
        <f t="shared" si="5"/>
        <v>0</v>
      </c>
      <c r="S18" s="168">
        <f t="shared" si="6"/>
        <v>0</v>
      </c>
      <c r="T18" s="168">
        <f t="shared" si="7"/>
        <v>0</v>
      </c>
      <c r="U18" s="168">
        <f t="shared" si="7"/>
        <v>0</v>
      </c>
      <c r="V18" s="168">
        <f t="shared" si="7"/>
        <v>0</v>
      </c>
      <c r="W18" s="168">
        <f t="shared" si="7"/>
        <v>0</v>
      </c>
      <c r="X18" s="168">
        <f t="shared" si="2"/>
        <v>0</v>
      </c>
      <c r="Y18" s="168">
        <f t="shared" si="8"/>
        <v>0</v>
      </c>
      <c r="Z18" s="168">
        <f t="shared" si="8"/>
        <v>0</v>
      </c>
      <c r="AA18" s="168">
        <f t="shared" si="9"/>
        <v>0</v>
      </c>
      <c r="AB18" s="168">
        <f t="shared" si="9"/>
        <v>0</v>
      </c>
      <c r="AC18" s="168">
        <f t="shared" si="4"/>
        <v>0</v>
      </c>
    </row>
    <row r="19" spans="1:29" x14ac:dyDescent="0.35">
      <c r="A19" s="166" t="str">
        <f t="shared" si="10"/>
        <v>x</v>
      </c>
      <c r="B19" s="200" t="s">
        <v>352</v>
      </c>
      <c r="C19" s="200"/>
      <c r="D19" s="180" t="s">
        <v>353</v>
      </c>
      <c r="E19" s="180" t="s">
        <v>331</v>
      </c>
      <c r="F19" s="187"/>
      <c r="G19" s="187">
        <v>0.5</v>
      </c>
      <c r="H19" s="187"/>
      <c r="I19" s="187">
        <v>0.5</v>
      </c>
      <c r="J19" s="201">
        <v>6</v>
      </c>
      <c r="K19" s="202">
        <v>17500</v>
      </c>
      <c r="L19" s="186">
        <f>J19*K19*60%</f>
        <v>63000</v>
      </c>
      <c r="M19" s="185" t="s">
        <v>354</v>
      </c>
      <c r="N19" s="203">
        <f t="shared" ref="N19:N21" si="21">J19</f>
        <v>6</v>
      </c>
      <c r="O19" s="204">
        <f>K19*22%*60%</f>
        <v>2310</v>
      </c>
      <c r="P19" s="186">
        <f t="shared" ref="P19:P34" si="22">O19*N19</f>
        <v>13860</v>
      </c>
      <c r="Q19" s="205"/>
      <c r="R19" s="168">
        <f t="shared" si="5"/>
        <v>76860</v>
      </c>
      <c r="S19" s="168">
        <f t="shared" si="6"/>
        <v>13860</v>
      </c>
      <c r="T19" s="168">
        <f t="shared" si="7"/>
        <v>13860</v>
      </c>
      <c r="U19" s="168">
        <f t="shared" si="7"/>
        <v>13860</v>
      </c>
      <c r="V19" s="168">
        <f t="shared" si="7"/>
        <v>13860</v>
      </c>
      <c r="W19" s="168">
        <f t="shared" si="7"/>
        <v>13860</v>
      </c>
      <c r="X19" s="168">
        <f t="shared" si="2"/>
        <v>0</v>
      </c>
      <c r="Y19" s="168">
        <f t="shared" si="8"/>
        <v>13860</v>
      </c>
      <c r="Z19" s="168">
        <f t="shared" si="8"/>
        <v>13860</v>
      </c>
      <c r="AA19" s="168">
        <f t="shared" si="9"/>
        <v>13860</v>
      </c>
      <c r="AB19" s="168">
        <f t="shared" si="9"/>
        <v>13860</v>
      </c>
      <c r="AC19" s="168">
        <f t="shared" si="4"/>
        <v>201600</v>
      </c>
    </row>
    <row r="20" spans="1:29" ht="30" x14ac:dyDescent="0.35">
      <c r="A20" s="166" t="str">
        <f t="shared" si="10"/>
        <v>x</v>
      </c>
      <c r="B20" s="200" t="s">
        <v>352</v>
      </c>
      <c r="C20" s="200"/>
      <c r="D20" s="180" t="s">
        <v>355</v>
      </c>
      <c r="E20" s="180" t="s">
        <v>331</v>
      </c>
      <c r="F20" s="187"/>
      <c r="G20" s="187">
        <v>0.5</v>
      </c>
      <c r="H20" s="187"/>
      <c r="I20" s="187">
        <v>0.5</v>
      </c>
      <c r="J20" s="201">
        <v>6</v>
      </c>
      <c r="K20" s="202">
        <v>7500</v>
      </c>
      <c r="L20" s="186">
        <f>J20*K20*60%</f>
        <v>27000</v>
      </c>
      <c r="M20" s="185" t="s">
        <v>356</v>
      </c>
      <c r="N20" s="203">
        <f t="shared" si="21"/>
        <v>6</v>
      </c>
      <c r="O20" s="204">
        <f>K20*22%*60%</f>
        <v>990</v>
      </c>
      <c r="P20" s="186">
        <f t="shared" si="22"/>
        <v>5940</v>
      </c>
      <c r="Q20" s="205"/>
      <c r="R20" s="168">
        <f t="shared" si="5"/>
        <v>32940</v>
      </c>
      <c r="S20" s="168">
        <f t="shared" si="6"/>
        <v>5940</v>
      </c>
      <c r="T20" s="168">
        <f t="shared" si="7"/>
        <v>5940</v>
      </c>
      <c r="U20" s="168">
        <f t="shared" si="7"/>
        <v>5940</v>
      </c>
      <c r="V20" s="168">
        <f t="shared" si="7"/>
        <v>5940</v>
      </c>
      <c r="W20" s="168">
        <f t="shared" si="7"/>
        <v>5940</v>
      </c>
      <c r="X20" s="168">
        <f t="shared" si="2"/>
        <v>0</v>
      </c>
      <c r="Y20" s="168">
        <f t="shared" si="8"/>
        <v>5940</v>
      </c>
      <c r="Z20" s="168">
        <f t="shared" si="8"/>
        <v>5940</v>
      </c>
      <c r="AA20" s="168">
        <f t="shared" si="9"/>
        <v>5940</v>
      </c>
      <c r="AB20" s="168">
        <f t="shared" si="9"/>
        <v>5940</v>
      </c>
      <c r="AC20" s="168">
        <f t="shared" si="4"/>
        <v>86400</v>
      </c>
    </row>
    <row r="21" spans="1:29" x14ac:dyDescent="0.35">
      <c r="A21" s="166" t="str">
        <f t="shared" si="10"/>
        <v>x</v>
      </c>
      <c r="B21" s="200" t="s">
        <v>352</v>
      </c>
      <c r="C21" s="200"/>
      <c r="D21" s="180" t="s">
        <v>357</v>
      </c>
      <c r="E21" s="180" t="s">
        <v>331</v>
      </c>
      <c r="F21" s="187"/>
      <c r="G21" s="187">
        <v>0.5</v>
      </c>
      <c r="H21" s="187"/>
      <c r="I21" s="187">
        <v>0.5</v>
      </c>
      <c r="J21" s="201">
        <v>6</v>
      </c>
      <c r="K21" s="202">
        <v>17500</v>
      </c>
      <c r="L21" s="186">
        <f>J21*K21*60%</f>
        <v>63000</v>
      </c>
      <c r="M21" s="185" t="s">
        <v>356</v>
      </c>
      <c r="N21" s="203">
        <f t="shared" si="21"/>
        <v>6</v>
      </c>
      <c r="O21" s="204">
        <f>K21*22%*60%</f>
        <v>2310</v>
      </c>
      <c r="P21" s="186">
        <f t="shared" si="22"/>
        <v>13860</v>
      </c>
      <c r="Q21" s="205"/>
      <c r="R21" s="168">
        <f t="shared" si="5"/>
        <v>76860</v>
      </c>
      <c r="S21" s="168">
        <f t="shared" si="6"/>
        <v>13860</v>
      </c>
      <c r="T21" s="168">
        <f t="shared" si="7"/>
        <v>13860</v>
      </c>
      <c r="U21" s="168">
        <f t="shared" si="7"/>
        <v>13860</v>
      </c>
      <c r="V21" s="168">
        <f t="shared" si="7"/>
        <v>13860</v>
      </c>
      <c r="W21" s="168">
        <f t="shared" si="7"/>
        <v>13860</v>
      </c>
      <c r="X21" s="168">
        <f t="shared" si="2"/>
        <v>0</v>
      </c>
      <c r="Y21" s="168">
        <f t="shared" si="8"/>
        <v>13860</v>
      </c>
      <c r="Z21" s="168">
        <f t="shared" si="8"/>
        <v>13860</v>
      </c>
      <c r="AA21" s="168">
        <f t="shared" si="9"/>
        <v>13860</v>
      </c>
      <c r="AB21" s="168">
        <f t="shared" si="9"/>
        <v>13860</v>
      </c>
      <c r="AC21" s="168">
        <f t="shared" si="4"/>
        <v>201600</v>
      </c>
    </row>
    <row r="22" spans="1:29" x14ac:dyDescent="0.35">
      <c r="A22" s="166" t="str">
        <f t="shared" si="10"/>
        <v>x</v>
      </c>
      <c r="B22" s="191" t="s">
        <v>358</v>
      </c>
      <c r="C22" s="191"/>
      <c r="D22" s="191" t="s">
        <v>359</v>
      </c>
      <c r="E22" s="206" t="s">
        <v>360</v>
      </c>
      <c r="F22" s="207"/>
      <c r="G22" s="207">
        <v>1</v>
      </c>
      <c r="H22" s="207"/>
      <c r="I22" s="207"/>
      <c r="J22" s="208"/>
      <c r="K22" s="185"/>
      <c r="L22" s="186">
        <f t="shared" ref="L22" si="23">J22*K22</f>
        <v>0</v>
      </c>
      <c r="M22" s="185"/>
      <c r="N22" s="203">
        <v>1</v>
      </c>
      <c r="O22" s="204">
        <v>13000</v>
      </c>
      <c r="P22" s="186">
        <f t="shared" si="22"/>
        <v>13000</v>
      </c>
      <c r="Q22" s="206"/>
      <c r="R22" s="168">
        <f t="shared" si="5"/>
        <v>13000</v>
      </c>
      <c r="S22" s="168">
        <f t="shared" si="6"/>
        <v>13000</v>
      </c>
      <c r="T22" s="168">
        <f t="shared" ref="T22:W37" si="24">S22</f>
        <v>13000</v>
      </c>
      <c r="U22" s="168">
        <f t="shared" si="24"/>
        <v>13000</v>
      </c>
      <c r="V22" s="168">
        <f t="shared" si="24"/>
        <v>13000</v>
      </c>
      <c r="W22" s="168">
        <f t="shared" si="24"/>
        <v>13000</v>
      </c>
      <c r="X22" s="168">
        <f t="shared" si="2"/>
        <v>0</v>
      </c>
      <c r="Y22" s="168">
        <f t="shared" si="8"/>
        <v>13000</v>
      </c>
      <c r="Z22" s="168">
        <f t="shared" si="8"/>
        <v>13000</v>
      </c>
      <c r="AA22" s="168">
        <f t="shared" ref="AA22:AB37" si="25">Z22</f>
        <v>13000</v>
      </c>
      <c r="AB22" s="168">
        <f t="shared" si="25"/>
        <v>13000</v>
      </c>
      <c r="AC22" s="168">
        <f t="shared" si="4"/>
        <v>130000</v>
      </c>
    </row>
    <row r="23" spans="1:29" x14ac:dyDescent="0.35">
      <c r="A23" s="166" t="str">
        <f t="shared" si="10"/>
        <v>x</v>
      </c>
      <c r="B23" s="191" t="s">
        <v>361</v>
      </c>
      <c r="C23" s="191"/>
      <c r="D23" s="191" t="s">
        <v>362</v>
      </c>
      <c r="E23" s="191" t="s">
        <v>363</v>
      </c>
      <c r="F23" s="192"/>
      <c r="G23" s="192">
        <v>1</v>
      </c>
      <c r="H23" s="192"/>
      <c r="I23" s="192"/>
      <c r="J23" s="184">
        <v>1</v>
      </c>
      <c r="K23" s="185">
        <f>268619.25</f>
        <v>268619.25</v>
      </c>
      <c r="L23" s="186">
        <f>J23*K23</f>
        <v>268619.25</v>
      </c>
      <c r="M23" s="185"/>
      <c r="N23" s="203">
        <v>1</v>
      </c>
      <c r="O23" s="204">
        <f>K23*20%</f>
        <v>53723.850000000006</v>
      </c>
      <c r="P23" s="186">
        <f t="shared" si="22"/>
        <v>53723.850000000006</v>
      </c>
      <c r="Q23" s="209"/>
      <c r="R23" s="168">
        <f t="shared" si="5"/>
        <v>322343.09999999998</v>
      </c>
      <c r="S23" s="168">
        <f t="shared" si="6"/>
        <v>53723.850000000006</v>
      </c>
      <c r="T23" s="168">
        <f t="shared" si="24"/>
        <v>53723.850000000006</v>
      </c>
      <c r="U23" s="168">
        <f t="shared" si="24"/>
        <v>53723.850000000006</v>
      </c>
      <c r="V23" s="168">
        <f t="shared" si="24"/>
        <v>53723.850000000006</v>
      </c>
      <c r="W23" s="168">
        <f t="shared" si="24"/>
        <v>53723.850000000006</v>
      </c>
      <c r="X23" s="168">
        <f t="shared" si="2"/>
        <v>0</v>
      </c>
      <c r="Y23" s="168">
        <f t="shared" si="8"/>
        <v>53723.850000000006</v>
      </c>
      <c r="Z23" s="168">
        <f t="shared" si="8"/>
        <v>53723.850000000006</v>
      </c>
      <c r="AA23" s="168">
        <f t="shared" si="25"/>
        <v>53723.850000000006</v>
      </c>
      <c r="AB23" s="168">
        <f t="shared" si="25"/>
        <v>53723.850000000006</v>
      </c>
      <c r="AC23" s="168">
        <f t="shared" si="4"/>
        <v>805857.74999999977</v>
      </c>
    </row>
    <row r="24" spans="1:29" x14ac:dyDescent="0.35">
      <c r="A24" s="166" t="str">
        <f t="shared" si="10"/>
        <v>x</v>
      </c>
      <c r="B24" s="180" t="s">
        <v>364</v>
      </c>
      <c r="C24" s="180"/>
      <c r="D24" s="191" t="s">
        <v>365</v>
      </c>
      <c r="E24" s="191" t="s">
        <v>366</v>
      </c>
      <c r="F24" s="192"/>
      <c r="G24" s="192">
        <v>1</v>
      </c>
      <c r="H24" s="192"/>
      <c r="I24" s="192"/>
      <c r="J24" s="184"/>
      <c r="K24" s="185"/>
      <c r="L24" s="186">
        <f>J24*K24</f>
        <v>0</v>
      </c>
      <c r="M24" s="185"/>
      <c r="N24" s="184">
        <v>1</v>
      </c>
      <c r="O24" s="185">
        <v>10000</v>
      </c>
      <c r="P24" s="186">
        <f t="shared" si="22"/>
        <v>10000</v>
      </c>
      <c r="Q24" s="180"/>
      <c r="R24" s="168">
        <f t="shared" si="5"/>
        <v>10000</v>
      </c>
      <c r="S24" s="168">
        <f t="shared" si="6"/>
        <v>10000</v>
      </c>
      <c r="T24" s="168">
        <f t="shared" si="24"/>
        <v>10000</v>
      </c>
      <c r="U24" s="168">
        <f t="shared" si="24"/>
        <v>10000</v>
      </c>
      <c r="V24" s="168">
        <f t="shared" si="24"/>
        <v>10000</v>
      </c>
      <c r="W24" s="168">
        <f t="shared" si="24"/>
        <v>10000</v>
      </c>
      <c r="X24" s="168">
        <f t="shared" si="2"/>
        <v>0</v>
      </c>
      <c r="Y24" s="168">
        <f t="shared" si="8"/>
        <v>10000</v>
      </c>
      <c r="Z24" s="168">
        <f t="shared" si="8"/>
        <v>10000</v>
      </c>
      <c r="AA24" s="168">
        <f t="shared" si="25"/>
        <v>10000</v>
      </c>
      <c r="AB24" s="168">
        <f t="shared" si="25"/>
        <v>10000</v>
      </c>
      <c r="AC24" s="168">
        <f t="shared" si="4"/>
        <v>100000</v>
      </c>
    </row>
    <row r="25" spans="1:29" x14ac:dyDescent="0.35">
      <c r="A25" s="166" t="str">
        <f t="shared" si="10"/>
        <v>x</v>
      </c>
      <c r="B25" s="180" t="s">
        <v>364</v>
      </c>
      <c r="C25" s="180"/>
      <c r="D25" s="191" t="s">
        <v>367</v>
      </c>
      <c r="E25" s="191" t="s">
        <v>366</v>
      </c>
      <c r="F25" s="192"/>
      <c r="G25" s="192">
        <v>1</v>
      </c>
      <c r="H25" s="192"/>
      <c r="I25" s="192"/>
      <c r="J25" s="184"/>
      <c r="K25" s="185"/>
      <c r="L25" s="186">
        <f>J25*K25</f>
        <v>0</v>
      </c>
      <c r="M25" s="185"/>
      <c r="N25" s="184">
        <v>200</v>
      </c>
      <c r="O25" s="185">
        <v>192</v>
      </c>
      <c r="P25" s="186">
        <f t="shared" si="22"/>
        <v>38400</v>
      </c>
      <c r="Q25" s="180"/>
      <c r="R25" s="168">
        <f t="shared" si="5"/>
        <v>38400</v>
      </c>
      <c r="S25" s="168">
        <f t="shared" si="6"/>
        <v>38400</v>
      </c>
      <c r="T25" s="168">
        <f t="shared" si="24"/>
        <v>38400</v>
      </c>
      <c r="U25" s="168">
        <f t="shared" si="24"/>
        <v>38400</v>
      </c>
      <c r="V25" s="168">
        <f t="shared" si="24"/>
        <v>38400</v>
      </c>
      <c r="W25" s="168">
        <f t="shared" si="24"/>
        <v>38400</v>
      </c>
      <c r="X25" s="168">
        <f t="shared" si="2"/>
        <v>0</v>
      </c>
      <c r="Y25" s="168">
        <f t="shared" si="8"/>
        <v>38400</v>
      </c>
      <c r="Z25" s="168">
        <f t="shared" si="8"/>
        <v>38400</v>
      </c>
      <c r="AA25" s="168">
        <f t="shared" si="25"/>
        <v>38400</v>
      </c>
      <c r="AB25" s="168">
        <f t="shared" si="25"/>
        <v>38400</v>
      </c>
      <c r="AC25" s="168">
        <f t="shared" si="4"/>
        <v>384000</v>
      </c>
    </row>
    <row r="26" spans="1:29" x14ac:dyDescent="0.35">
      <c r="A26" s="166" t="str">
        <f t="shared" si="10"/>
        <v/>
      </c>
      <c r="B26" s="180" t="s">
        <v>368</v>
      </c>
      <c r="C26" s="180"/>
      <c r="D26" s="180" t="s">
        <v>369</v>
      </c>
      <c r="E26" s="180" t="s">
        <v>370</v>
      </c>
      <c r="F26" s="187"/>
      <c r="G26" s="187">
        <v>0.5</v>
      </c>
      <c r="H26" s="187"/>
      <c r="I26" s="187">
        <v>0.5</v>
      </c>
      <c r="J26" s="184">
        <v>2</v>
      </c>
      <c r="K26" s="185">
        <v>5000</v>
      </c>
      <c r="L26" s="186">
        <f>J26*K26</f>
        <v>10000</v>
      </c>
      <c r="M26" s="185"/>
      <c r="N26" s="203">
        <f>J26</f>
        <v>2</v>
      </c>
      <c r="O26" s="185"/>
      <c r="P26" s="186">
        <f t="shared" si="22"/>
        <v>0</v>
      </c>
      <c r="Q26" s="180"/>
      <c r="R26" s="168">
        <f t="shared" si="5"/>
        <v>10000</v>
      </c>
      <c r="S26" s="168">
        <f t="shared" si="6"/>
        <v>0</v>
      </c>
      <c r="T26" s="168">
        <f t="shared" si="24"/>
        <v>0</v>
      </c>
      <c r="U26" s="168">
        <f t="shared" si="24"/>
        <v>0</v>
      </c>
      <c r="V26" s="168">
        <f t="shared" si="24"/>
        <v>0</v>
      </c>
      <c r="W26" s="168">
        <f t="shared" si="24"/>
        <v>0</v>
      </c>
      <c r="X26" s="168">
        <f t="shared" si="2"/>
        <v>0</v>
      </c>
      <c r="Y26" s="168">
        <f t="shared" si="8"/>
        <v>0</v>
      </c>
      <c r="Z26" s="168">
        <f t="shared" si="8"/>
        <v>0</v>
      </c>
      <c r="AA26" s="168">
        <f t="shared" si="25"/>
        <v>0</v>
      </c>
      <c r="AB26" s="168">
        <f t="shared" si="25"/>
        <v>0</v>
      </c>
      <c r="AC26" s="168">
        <f t="shared" si="4"/>
        <v>10000</v>
      </c>
    </row>
    <row r="27" spans="1:29" ht="20" x14ac:dyDescent="0.35">
      <c r="A27" s="166" t="str">
        <f t="shared" si="10"/>
        <v/>
      </c>
      <c r="B27" s="191" t="s">
        <v>371</v>
      </c>
      <c r="C27" s="191"/>
      <c r="D27" s="210" t="s">
        <v>372</v>
      </c>
      <c r="E27" s="180" t="s">
        <v>370</v>
      </c>
      <c r="F27" s="207"/>
      <c r="G27" s="207">
        <v>1</v>
      </c>
      <c r="H27" s="207"/>
      <c r="I27" s="207"/>
      <c r="J27" s="208"/>
      <c r="K27" s="211"/>
      <c r="L27" s="186">
        <f t="shared" ref="L27:L29" si="26">J27*K27</f>
        <v>0</v>
      </c>
      <c r="M27" s="185"/>
      <c r="N27" s="203">
        <v>0</v>
      </c>
      <c r="O27" s="204">
        <v>32</v>
      </c>
      <c r="P27" s="186">
        <f t="shared" si="22"/>
        <v>0</v>
      </c>
      <c r="Q27" s="206"/>
      <c r="R27" s="168">
        <f t="shared" si="5"/>
        <v>0</v>
      </c>
      <c r="S27" s="168">
        <f t="shared" si="6"/>
        <v>0</v>
      </c>
      <c r="T27" s="168">
        <f t="shared" si="24"/>
        <v>0</v>
      </c>
      <c r="U27" s="168">
        <f t="shared" si="24"/>
        <v>0</v>
      </c>
      <c r="V27" s="168">
        <f t="shared" si="24"/>
        <v>0</v>
      </c>
      <c r="W27" s="168">
        <f t="shared" si="24"/>
        <v>0</v>
      </c>
      <c r="X27" s="168">
        <f t="shared" si="2"/>
        <v>0</v>
      </c>
      <c r="Y27" s="168">
        <f t="shared" si="8"/>
        <v>0</v>
      </c>
      <c r="Z27" s="168">
        <f t="shared" si="8"/>
        <v>0</v>
      </c>
      <c r="AA27" s="168">
        <f t="shared" si="25"/>
        <v>0</v>
      </c>
      <c r="AB27" s="168">
        <f t="shared" si="25"/>
        <v>0</v>
      </c>
      <c r="AC27" s="168">
        <f t="shared" si="4"/>
        <v>0</v>
      </c>
    </row>
    <row r="28" spans="1:29" ht="20" x14ac:dyDescent="0.35">
      <c r="A28" s="166" t="str">
        <f t="shared" si="10"/>
        <v>x</v>
      </c>
      <c r="B28" s="191" t="s">
        <v>373</v>
      </c>
      <c r="C28" s="191"/>
      <c r="D28" s="210" t="s">
        <v>374</v>
      </c>
      <c r="E28" s="191" t="s">
        <v>375</v>
      </c>
      <c r="F28" s="207"/>
      <c r="G28" s="207">
        <v>1</v>
      </c>
      <c r="H28" s="207"/>
      <c r="I28" s="207"/>
      <c r="J28" s="208"/>
      <c r="K28" s="211"/>
      <c r="L28" s="186">
        <f t="shared" si="26"/>
        <v>0</v>
      </c>
      <c r="M28" s="185"/>
      <c r="N28" s="203">
        <v>1400</v>
      </c>
      <c r="O28" s="204">
        <v>36</v>
      </c>
      <c r="P28" s="186">
        <f t="shared" si="22"/>
        <v>50400</v>
      </c>
      <c r="Q28" s="206"/>
      <c r="R28" s="168">
        <f t="shared" si="5"/>
        <v>50400</v>
      </c>
      <c r="S28" s="168">
        <f t="shared" si="6"/>
        <v>50400</v>
      </c>
      <c r="T28" s="168">
        <f t="shared" si="24"/>
        <v>50400</v>
      </c>
      <c r="U28" s="168">
        <f t="shared" si="24"/>
        <v>50400</v>
      </c>
      <c r="V28" s="168">
        <f t="shared" si="24"/>
        <v>50400</v>
      </c>
      <c r="W28" s="168">
        <f t="shared" si="24"/>
        <v>50400</v>
      </c>
      <c r="X28" s="168">
        <f t="shared" si="2"/>
        <v>0</v>
      </c>
      <c r="Y28" s="168">
        <f t="shared" si="8"/>
        <v>50400</v>
      </c>
      <c r="Z28" s="168">
        <f t="shared" si="8"/>
        <v>50400</v>
      </c>
      <c r="AA28" s="168">
        <f t="shared" si="25"/>
        <v>50400</v>
      </c>
      <c r="AB28" s="168">
        <f t="shared" si="25"/>
        <v>50400</v>
      </c>
      <c r="AC28" s="168">
        <f t="shared" si="4"/>
        <v>504000</v>
      </c>
    </row>
    <row r="29" spans="1:29" ht="20" x14ac:dyDescent="0.35">
      <c r="A29" s="166" t="str">
        <f t="shared" si="10"/>
        <v>x</v>
      </c>
      <c r="B29" s="191" t="s">
        <v>376</v>
      </c>
      <c r="C29" s="191"/>
      <c r="D29" s="210" t="s">
        <v>377</v>
      </c>
      <c r="E29" s="191" t="s">
        <v>378</v>
      </c>
      <c r="F29" s="192"/>
      <c r="G29" s="192">
        <v>0.5</v>
      </c>
      <c r="H29" s="192"/>
      <c r="I29" s="192">
        <v>0.5</v>
      </c>
      <c r="J29" s="184">
        <v>1</v>
      </c>
      <c r="K29" s="185">
        <v>8000</v>
      </c>
      <c r="L29" s="186">
        <f t="shared" si="26"/>
        <v>8000</v>
      </c>
      <c r="M29" s="185"/>
      <c r="N29" s="203">
        <f>J29</f>
        <v>1</v>
      </c>
      <c r="O29" s="204">
        <v>2000</v>
      </c>
      <c r="P29" s="186">
        <f t="shared" si="22"/>
        <v>2000</v>
      </c>
      <c r="Q29" s="205"/>
      <c r="R29" s="168">
        <f t="shared" si="5"/>
        <v>10000</v>
      </c>
      <c r="S29" s="168">
        <f t="shared" si="6"/>
        <v>2000</v>
      </c>
      <c r="T29" s="168">
        <f t="shared" si="24"/>
        <v>2000</v>
      </c>
      <c r="U29" s="168">
        <f t="shared" si="24"/>
        <v>2000</v>
      </c>
      <c r="V29" s="168">
        <f t="shared" si="24"/>
        <v>2000</v>
      </c>
      <c r="W29" s="168">
        <f t="shared" si="24"/>
        <v>2000</v>
      </c>
      <c r="X29" s="168">
        <f t="shared" si="2"/>
        <v>0</v>
      </c>
      <c r="Y29" s="168">
        <f t="shared" si="8"/>
        <v>2000</v>
      </c>
      <c r="Z29" s="168">
        <f t="shared" si="8"/>
        <v>2000</v>
      </c>
      <c r="AA29" s="168">
        <f t="shared" si="25"/>
        <v>2000</v>
      </c>
      <c r="AB29" s="168">
        <f t="shared" si="25"/>
        <v>2000</v>
      </c>
      <c r="AC29" s="168">
        <f t="shared" si="4"/>
        <v>28000</v>
      </c>
    </row>
    <row r="30" spans="1:29" ht="20" x14ac:dyDescent="0.35">
      <c r="A30" s="166" t="str">
        <f t="shared" si="10"/>
        <v>x</v>
      </c>
      <c r="B30" s="191" t="s">
        <v>379</v>
      </c>
      <c r="C30" s="191"/>
      <c r="D30" s="210" t="s">
        <v>380</v>
      </c>
      <c r="E30" s="191" t="s">
        <v>378</v>
      </c>
      <c r="F30" s="192"/>
      <c r="G30" s="192">
        <v>0.5</v>
      </c>
      <c r="H30" s="192"/>
      <c r="I30" s="192">
        <v>0.5</v>
      </c>
      <c r="J30" s="184">
        <v>2</v>
      </c>
      <c r="K30" s="185">
        <v>2000</v>
      </c>
      <c r="L30" s="186">
        <f>J30*K30</f>
        <v>4000</v>
      </c>
      <c r="M30" s="185"/>
      <c r="N30" s="203">
        <f>J30</f>
        <v>2</v>
      </c>
      <c r="O30" s="204">
        <f>20%*K30</f>
        <v>400</v>
      </c>
      <c r="P30" s="186">
        <f t="shared" si="22"/>
        <v>800</v>
      </c>
      <c r="Q30" s="205"/>
      <c r="R30" s="168">
        <f t="shared" si="5"/>
        <v>4800</v>
      </c>
      <c r="S30" s="168">
        <f t="shared" si="6"/>
        <v>800</v>
      </c>
      <c r="T30" s="168">
        <f t="shared" si="24"/>
        <v>800</v>
      </c>
      <c r="U30" s="168">
        <f t="shared" si="24"/>
        <v>800</v>
      </c>
      <c r="V30" s="168">
        <f t="shared" si="24"/>
        <v>800</v>
      </c>
      <c r="W30" s="168">
        <f t="shared" si="24"/>
        <v>800</v>
      </c>
      <c r="X30" s="168">
        <f t="shared" si="2"/>
        <v>0</v>
      </c>
      <c r="Y30" s="168">
        <f t="shared" si="8"/>
        <v>800</v>
      </c>
      <c r="Z30" s="168">
        <f t="shared" si="8"/>
        <v>800</v>
      </c>
      <c r="AA30" s="168">
        <f t="shared" si="25"/>
        <v>800</v>
      </c>
      <c r="AB30" s="168">
        <f t="shared" si="25"/>
        <v>800</v>
      </c>
      <c r="AC30" s="168">
        <f t="shared" si="4"/>
        <v>12000</v>
      </c>
    </row>
    <row r="31" spans="1:29" x14ac:dyDescent="0.35">
      <c r="A31" s="166" t="str">
        <f t="shared" si="10"/>
        <v>x</v>
      </c>
      <c r="B31" s="200" t="s">
        <v>352</v>
      </c>
      <c r="C31" s="200"/>
      <c r="D31" s="180" t="s">
        <v>353</v>
      </c>
      <c r="E31" s="180" t="s">
        <v>331</v>
      </c>
      <c r="F31" s="187"/>
      <c r="G31" s="187">
        <v>0.5</v>
      </c>
      <c r="H31" s="187"/>
      <c r="I31" s="187">
        <v>0.5</v>
      </c>
      <c r="J31" s="201">
        <v>150</v>
      </c>
      <c r="K31" s="202">
        <v>350</v>
      </c>
      <c r="L31" s="186">
        <f>J31*K31*60%</f>
        <v>31500</v>
      </c>
      <c r="M31" s="185" t="s">
        <v>354</v>
      </c>
      <c r="N31" s="203">
        <f t="shared" ref="N31:N33" si="27">J31</f>
        <v>150</v>
      </c>
      <c r="O31" s="204">
        <f>K31*22%*60%</f>
        <v>46.199999999999996</v>
      </c>
      <c r="P31" s="186">
        <f t="shared" si="22"/>
        <v>6929.9999999999991</v>
      </c>
      <c r="Q31" s="205"/>
      <c r="R31" s="168">
        <f t="shared" si="5"/>
        <v>38430</v>
      </c>
      <c r="S31" s="168">
        <f t="shared" si="6"/>
        <v>6929.9999999999991</v>
      </c>
      <c r="T31" s="168">
        <f t="shared" si="24"/>
        <v>6929.9999999999991</v>
      </c>
      <c r="U31" s="168">
        <f t="shared" si="24"/>
        <v>6929.9999999999991</v>
      </c>
      <c r="V31" s="168">
        <f t="shared" si="24"/>
        <v>6929.9999999999991</v>
      </c>
      <c r="W31" s="168">
        <f t="shared" si="24"/>
        <v>6929.9999999999991</v>
      </c>
      <c r="X31" s="168">
        <f t="shared" si="2"/>
        <v>0</v>
      </c>
      <c r="Y31" s="168">
        <f t="shared" si="8"/>
        <v>6929.9999999999991</v>
      </c>
      <c r="Z31" s="168">
        <f t="shared" si="8"/>
        <v>6929.9999999999991</v>
      </c>
      <c r="AA31" s="168">
        <f t="shared" si="25"/>
        <v>6929.9999999999991</v>
      </c>
      <c r="AB31" s="168">
        <f t="shared" si="25"/>
        <v>6929.9999999999991</v>
      </c>
      <c r="AC31" s="168">
        <f t="shared" si="4"/>
        <v>100800</v>
      </c>
    </row>
    <row r="32" spans="1:29" ht="30" x14ac:dyDescent="0.35">
      <c r="A32" s="166" t="str">
        <f t="shared" si="10"/>
        <v>x</v>
      </c>
      <c r="B32" s="200" t="s">
        <v>352</v>
      </c>
      <c r="C32" s="200"/>
      <c r="D32" s="180" t="s">
        <v>355</v>
      </c>
      <c r="E32" s="180" t="s">
        <v>331</v>
      </c>
      <c r="F32" s="187"/>
      <c r="G32" s="187">
        <v>0.5</v>
      </c>
      <c r="H32" s="187"/>
      <c r="I32" s="187">
        <v>0.5</v>
      </c>
      <c r="J32" s="201">
        <v>150</v>
      </c>
      <c r="K32" s="202">
        <v>150</v>
      </c>
      <c r="L32" s="186">
        <f>J32*K32*60%</f>
        <v>13500</v>
      </c>
      <c r="M32" s="185" t="s">
        <v>356</v>
      </c>
      <c r="N32" s="203">
        <f t="shared" si="27"/>
        <v>150</v>
      </c>
      <c r="O32" s="204">
        <f>K32*22%*60%</f>
        <v>19.8</v>
      </c>
      <c r="P32" s="186">
        <f t="shared" si="22"/>
        <v>2970</v>
      </c>
      <c r="Q32" s="205"/>
      <c r="R32" s="168">
        <f t="shared" si="5"/>
        <v>16470</v>
      </c>
      <c r="S32" s="168">
        <f t="shared" si="6"/>
        <v>2970</v>
      </c>
      <c r="T32" s="168">
        <f t="shared" si="24"/>
        <v>2970</v>
      </c>
      <c r="U32" s="168">
        <f t="shared" si="24"/>
        <v>2970</v>
      </c>
      <c r="V32" s="168">
        <f t="shared" si="24"/>
        <v>2970</v>
      </c>
      <c r="W32" s="168">
        <f t="shared" si="24"/>
        <v>2970</v>
      </c>
      <c r="X32" s="168">
        <f t="shared" si="2"/>
        <v>0</v>
      </c>
      <c r="Y32" s="168">
        <f t="shared" si="8"/>
        <v>2970</v>
      </c>
      <c r="Z32" s="168">
        <f t="shared" si="8"/>
        <v>2970</v>
      </c>
      <c r="AA32" s="168">
        <f t="shared" si="25"/>
        <v>2970</v>
      </c>
      <c r="AB32" s="168">
        <f t="shared" si="25"/>
        <v>2970</v>
      </c>
      <c r="AC32" s="168">
        <f t="shared" si="4"/>
        <v>43200</v>
      </c>
    </row>
    <row r="33" spans="1:29" x14ac:dyDescent="0.35">
      <c r="A33" s="166" t="str">
        <f t="shared" si="10"/>
        <v>x</v>
      </c>
      <c r="B33" s="200" t="s">
        <v>352</v>
      </c>
      <c r="C33" s="200"/>
      <c r="D33" s="180" t="s">
        <v>357</v>
      </c>
      <c r="E33" s="180" t="s">
        <v>331</v>
      </c>
      <c r="F33" s="187"/>
      <c r="G33" s="187">
        <v>0.5</v>
      </c>
      <c r="H33" s="187"/>
      <c r="I33" s="187">
        <v>0.5</v>
      </c>
      <c r="J33" s="201">
        <v>150</v>
      </c>
      <c r="K33" s="202">
        <v>350</v>
      </c>
      <c r="L33" s="186">
        <f>J33*K33*60%</f>
        <v>31500</v>
      </c>
      <c r="M33" s="185" t="s">
        <v>356</v>
      </c>
      <c r="N33" s="203">
        <f t="shared" si="27"/>
        <v>150</v>
      </c>
      <c r="O33" s="204">
        <f>K33*22%*60%</f>
        <v>46.199999999999996</v>
      </c>
      <c r="P33" s="186">
        <f t="shared" si="22"/>
        <v>6929.9999999999991</v>
      </c>
      <c r="Q33" s="205"/>
      <c r="R33" s="168">
        <f t="shared" si="5"/>
        <v>38430</v>
      </c>
      <c r="S33" s="168">
        <f t="shared" si="6"/>
        <v>6929.9999999999991</v>
      </c>
      <c r="T33" s="168">
        <f t="shared" si="24"/>
        <v>6929.9999999999991</v>
      </c>
      <c r="U33" s="168">
        <f t="shared" si="24"/>
        <v>6929.9999999999991</v>
      </c>
      <c r="V33" s="168">
        <f t="shared" si="24"/>
        <v>6929.9999999999991</v>
      </c>
      <c r="W33" s="168">
        <f t="shared" si="24"/>
        <v>6929.9999999999991</v>
      </c>
      <c r="X33" s="168">
        <f t="shared" si="2"/>
        <v>0</v>
      </c>
      <c r="Y33" s="168">
        <f t="shared" si="8"/>
        <v>6929.9999999999991</v>
      </c>
      <c r="Z33" s="168">
        <f t="shared" si="8"/>
        <v>6929.9999999999991</v>
      </c>
      <c r="AA33" s="168">
        <f t="shared" si="25"/>
        <v>6929.9999999999991</v>
      </c>
      <c r="AB33" s="168">
        <f t="shared" si="25"/>
        <v>6929.9999999999991</v>
      </c>
      <c r="AC33" s="168">
        <f t="shared" si="4"/>
        <v>100800</v>
      </c>
    </row>
    <row r="34" spans="1:29" x14ac:dyDescent="0.35">
      <c r="A34" s="166" t="str">
        <f t="shared" si="10"/>
        <v/>
      </c>
      <c r="B34" s="180" t="s">
        <v>368</v>
      </c>
      <c r="C34" s="180"/>
      <c r="D34" s="180" t="s">
        <v>369</v>
      </c>
      <c r="E34" s="180" t="s">
        <v>370</v>
      </c>
      <c r="F34" s="187"/>
      <c r="G34" s="187">
        <v>0.5</v>
      </c>
      <c r="H34" s="187"/>
      <c r="I34" s="187">
        <v>0.5</v>
      </c>
      <c r="J34" s="184">
        <v>2</v>
      </c>
      <c r="K34" s="185">
        <v>5000</v>
      </c>
      <c r="L34" s="186">
        <f>J34*K34</f>
        <v>10000</v>
      </c>
      <c r="M34" s="185"/>
      <c r="N34" s="203">
        <f>J34</f>
        <v>2</v>
      </c>
      <c r="O34" s="185"/>
      <c r="P34" s="186">
        <f t="shared" si="22"/>
        <v>0</v>
      </c>
      <c r="Q34" s="180"/>
      <c r="R34" s="168">
        <f t="shared" si="5"/>
        <v>10000</v>
      </c>
      <c r="S34" s="168">
        <f t="shared" si="6"/>
        <v>0</v>
      </c>
      <c r="T34" s="168">
        <f t="shared" si="24"/>
        <v>0</v>
      </c>
      <c r="U34" s="168">
        <f t="shared" si="24"/>
        <v>0</v>
      </c>
      <c r="V34" s="168">
        <f t="shared" si="24"/>
        <v>0</v>
      </c>
      <c r="W34" s="168">
        <f t="shared" si="24"/>
        <v>0</v>
      </c>
      <c r="X34" s="168">
        <f t="shared" si="2"/>
        <v>0</v>
      </c>
      <c r="Y34" s="168">
        <f t="shared" si="8"/>
        <v>0</v>
      </c>
      <c r="Z34" s="168">
        <f t="shared" si="8"/>
        <v>0</v>
      </c>
      <c r="AA34" s="168">
        <f t="shared" si="25"/>
        <v>0</v>
      </c>
      <c r="AB34" s="168">
        <f t="shared" si="25"/>
        <v>0</v>
      </c>
      <c r="AC34" s="168">
        <f t="shared" si="4"/>
        <v>10000</v>
      </c>
    </row>
    <row r="35" spans="1:29" ht="20" x14ac:dyDescent="0.35">
      <c r="A35" s="166" t="str">
        <f t="shared" si="10"/>
        <v/>
      </c>
      <c r="B35" s="191" t="s">
        <v>379</v>
      </c>
      <c r="C35" s="191"/>
      <c r="D35" s="210" t="s">
        <v>381</v>
      </c>
      <c r="E35" s="191" t="s">
        <v>378</v>
      </c>
      <c r="F35" s="192"/>
      <c r="G35" s="192">
        <v>0.5</v>
      </c>
      <c r="H35" s="192"/>
      <c r="I35" s="192">
        <v>0.5</v>
      </c>
      <c r="J35" s="184">
        <v>0</v>
      </c>
      <c r="K35" s="185">
        <v>2000</v>
      </c>
      <c r="L35" s="186">
        <f>J35*K35</f>
        <v>0</v>
      </c>
      <c r="M35" s="185"/>
      <c r="N35" s="203">
        <f>J35</f>
        <v>0</v>
      </c>
      <c r="O35" s="204">
        <f>20%*K35</f>
        <v>400</v>
      </c>
      <c r="P35" s="186">
        <f>O35*N35</f>
        <v>0</v>
      </c>
      <c r="Q35" s="205"/>
      <c r="R35" s="168">
        <f t="shared" si="5"/>
        <v>0</v>
      </c>
      <c r="S35" s="168">
        <f t="shared" si="6"/>
        <v>0</v>
      </c>
      <c r="T35" s="168">
        <f t="shared" si="24"/>
        <v>0</v>
      </c>
      <c r="U35" s="168">
        <f t="shared" si="24"/>
        <v>0</v>
      </c>
      <c r="V35" s="168">
        <f t="shared" si="24"/>
        <v>0</v>
      </c>
      <c r="W35" s="168">
        <f t="shared" si="24"/>
        <v>0</v>
      </c>
      <c r="X35" s="168">
        <f t="shared" si="2"/>
        <v>0</v>
      </c>
      <c r="Y35" s="168">
        <f t="shared" si="8"/>
        <v>0</v>
      </c>
      <c r="Z35" s="168">
        <f t="shared" si="8"/>
        <v>0</v>
      </c>
      <c r="AA35" s="168">
        <f t="shared" si="25"/>
        <v>0</v>
      </c>
      <c r="AB35" s="168">
        <f t="shared" si="25"/>
        <v>0</v>
      </c>
      <c r="AC35" s="168">
        <f t="shared" si="4"/>
        <v>0</v>
      </c>
    </row>
    <row r="36" spans="1:29" x14ac:dyDescent="0.35">
      <c r="A36" s="166" t="str">
        <f t="shared" si="10"/>
        <v/>
      </c>
      <c r="B36" s="180" t="s">
        <v>382</v>
      </c>
      <c r="C36" s="180"/>
      <c r="D36" s="210" t="s">
        <v>383</v>
      </c>
      <c r="E36" s="184" t="s">
        <v>322</v>
      </c>
      <c r="F36" s="212">
        <v>0</v>
      </c>
      <c r="G36" s="212">
        <v>1</v>
      </c>
      <c r="H36" s="212">
        <v>0</v>
      </c>
      <c r="I36" s="212">
        <v>0</v>
      </c>
      <c r="J36" s="184">
        <v>150</v>
      </c>
      <c r="K36" s="185">
        <v>100</v>
      </c>
      <c r="L36" s="186">
        <f>J36*K36</f>
        <v>15000</v>
      </c>
      <c r="M36" s="185"/>
      <c r="N36" s="184">
        <v>0</v>
      </c>
      <c r="O36" s="185">
        <v>300</v>
      </c>
      <c r="P36" s="186">
        <f>O36*N36</f>
        <v>0</v>
      </c>
      <c r="Q36" s="180"/>
      <c r="R36" s="168">
        <f t="shared" si="5"/>
        <v>15000</v>
      </c>
      <c r="S36" s="168">
        <f t="shared" si="6"/>
        <v>0</v>
      </c>
      <c r="T36" s="168">
        <f t="shared" si="24"/>
        <v>0</v>
      </c>
      <c r="U36" s="168">
        <f t="shared" si="24"/>
        <v>0</v>
      </c>
      <c r="V36" s="168">
        <f t="shared" si="24"/>
        <v>0</v>
      </c>
      <c r="W36" s="168">
        <f t="shared" si="24"/>
        <v>0</v>
      </c>
      <c r="X36" s="168">
        <f t="shared" si="2"/>
        <v>0</v>
      </c>
      <c r="Y36" s="168">
        <f t="shared" si="8"/>
        <v>0</v>
      </c>
      <c r="Z36" s="168">
        <f t="shared" si="8"/>
        <v>0</v>
      </c>
      <c r="AA36" s="168">
        <f t="shared" si="25"/>
        <v>0</v>
      </c>
      <c r="AB36" s="168">
        <f t="shared" si="25"/>
        <v>0</v>
      </c>
      <c r="AC36" s="168">
        <f t="shared" si="4"/>
        <v>15000</v>
      </c>
    </row>
    <row r="37" spans="1:29" x14ac:dyDescent="0.35">
      <c r="A37" s="166" t="str">
        <f t="shared" si="10"/>
        <v>x</v>
      </c>
      <c r="B37" s="180" t="s">
        <v>318</v>
      </c>
      <c r="C37" s="180"/>
      <c r="D37" s="181" t="s">
        <v>319</v>
      </c>
      <c r="E37" s="181" t="s">
        <v>320</v>
      </c>
      <c r="F37" s="182"/>
      <c r="G37" s="183">
        <v>1</v>
      </c>
      <c r="H37" s="183"/>
      <c r="I37" s="183"/>
      <c r="J37" s="184">
        <v>1</v>
      </c>
      <c r="K37" s="185">
        <v>3891.25</v>
      </c>
      <c r="L37" s="186">
        <f t="shared" ref="L37" si="28">J37*K37</f>
        <v>3891.25</v>
      </c>
      <c r="M37" s="185"/>
      <c r="N37" s="184">
        <v>1</v>
      </c>
      <c r="O37" s="185">
        <f>2984*12</f>
        <v>35808</v>
      </c>
      <c r="P37" s="186">
        <f>O37*N37</f>
        <v>35808</v>
      </c>
      <c r="Q37" s="180"/>
      <c r="R37" s="168">
        <f t="shared" si="5"/>
        <v>39699.25</v>
      </c>
      <c r="S37" s="168">
        <f t="shared" si="6"/>
        <v>35808</v>
      </c>
      <c r="T37" s="168">
        <f t="shared" si="24"/>
        <v>35808</v>
      </c>
      <c r="U37" s="168">
        <f t="shared" si="24"/>
        <v>35808</v>
      </c>
      <c r="V37" s="168">
        <f t="shared" si="24"/>
        <v>35808</v>
      </c>
      <c r="W37" s="168">
        <f t="shared" si="24"/>
        <v>35808</v>
      </c>
      <c r="X37" s="168">
        <f t="shared" si="2"/>
        <v>0</v>
      </c>
      <c r="Y37" s="168">
        <f t="shared" si="8"/>
        <v>35808</v>
      </c>
      <c r="Z37" s="168">
        <f t="shared" si="8"/>
        <v>35808</v>
      </c>
      <c r="AA37" s="168">
        <f t="shared" si="25"/>
        <v>35808</v>
      </c>
      <c r="AB37" s="168">
        <f t="shared" si="25"/>
        <v>35808</v>
      </c>
      <c r="AC37" s="168">
        <f t="shared" si="4"/>
        <v>361971.25</v>
      </c>
    </row>
    <row r="38" spans="1:29" ht="30" x14ac:dyDescent="0.35">
      <c r="A38" s="166" t="str">
        <f t="shared" si="10"/>
        <v>x</v>
      </c>
      <c r="B38" s="189" t="s">
        <v>323</v>
      </c>
      <c r="C38" s="189" t="s">
        <v>324</v>
      </c>
      <c r="D38" s="180" t="s">
        <v>325</v>
      </c>
      <c r="E38" s="180" t="s">
        <v>326</v>
      </c>
      <c r="F38" s="187"/>
      <c r="G38" s="187">
        <v>1</v>
      </c>
      <c r="H38" s="187"/>
      <c r="I38" s="187"/>
      <c r="J38" s="184">
        <v>2</v>
      </c>
      <c r="K38" s="185">
        <v>24000</v>
      </c>
      <c r="L38" s="186">
        <f>J38*K38</f>
        <v>48000</v>
      </c>
      <c r="M38" s="180" t="s">
        <v>327</v>
      </c>
      <c r="N38" s="184">
        <f>J38</f>
        <v>2</v>
      </c>
      <c r="O38" s="185">
        <f>21%*K38</f>
        <v>5040</v>
      </c>
      <c r="P38" s="186">
        <f t="shared" ref="P38:P39" si="29">O38*N38</f>
        <v>10080</v>
      </c>
      <c r="Q38" s="190" t="s">
        <v>384</v>
      </c>
      <c r="R38" s="168">
        <f t="shared" si="5"/>
        <v>58080</v>
      </c>
      <c r="S38" s="168">
        <f t="shared" si="6"/>
        <v>10080</v>
      </c>
      <c r="T38" s="168">
        <f t="shared" ref="T38:W53" si="30">S38</f>
        <v>10080</v>
      </c>
      <c r="U38" s="168">
        <f t="shared" si="30"/>
        <v>10080</v>
      </c>
      <c r="V38" s="168">
        <f t="shared" si="30"/>
        <v>10080</v>
      </c>
      <c r="W38" s="168">
        <f t="shared" si="30"/>
        <v>10080</v>
      </c>
      <c r="X38" s="168">
        <f t="shared" si="2"/>
        <v>48000</v>
      </c>
      <c r="Y38" s="168">
        <f t="shared" si="8"/>
        <v>10080</v>
      </c>
      <c r="Z38" s="168">
        <f t="shared" si="8"/>
        <v>10080</v>
      </c>
      <c r="AA38" s="168">
        <f t="shared" ref="AA38:AB53" si="31">Z38</f>
        <v>10080</v>
      </c>
      <c r="AB38" s="168">
        <f t="shared" si="31"/>
        <v>10080</v>
      </c>
      <c r="AC38" s="168">
        <f t="shared" si="4"/>
        <v>196800</v>
      </c>
    </row>
    <row r="39" spans="1:29" ht="40" x14ac:dyDescent="0.35">
      <c r="A39" s="166" t="str">
        <f t="shared" si="10"/>
        <v>x</v>
      </c>
      <c r="B39" s="180" t="s">
        <v>329</v>
      </c>
      <c r="C39" s="180"/>
      <c r="D39" s="180" t="s">
        <v>385</v>
      </c>
      <c r="E39" s="180" t="s">
        <v>331</v>
      </c>
      <c r="F39" s="187"/>
      <c r="G39" s="187">
        <v>0.5</v>
      </c>
      <c r="H39" s="187"/>
      <c r="I39" s="187">
        <v>0.5</v>
      </c>
      <c r="J39" s="184">
        <v>1</v>
      </c>
      <c r="K39" s="185">
        <v>44000</v>
      </c>
      <c r="L39" s="186">
        <f>J39*K39</f>
        <v>44000</v>
      </c>
      <c r="M39" s="180" t="s">
        <v>327</v>
      </c>
      <c r="N39" s="184">
        <f t="shared" ref="N39:N43" si="32">J39</f>
        <v>1</v>
      </c>
      <c r="O39" s="185">
        <f>16%*K39</f>
        <v>7040</v>
      </c>
      <c r="P39" s="186">
        <f t="shared" si="29"/>
        <v>7040</v>
      </c>
      <c r="Q39" s="190" t="s">
        <v>384</v>
      </c>
      <c r="R39" s="168">
        <f t="shared" si="5"/>
        <v>51040</v>
      </c>
      <c r="S39" s="168">
        <f t="shared" si="6"/>
        <v>7040</v>
      </c>
      <c r="T39" s="168">
        <f t="shared" si="30"/>
        <v>7040</v>
      </c>
      <c r="U39" s="168">
        <f t="shared" si="30"/>
        <v>7040</v>
      </c>
      <c r="V39" s="168">
        <f t="shared" si="30"/>
        <v>7040</v>
      </c>
      <c r="W39" s="168">
        <f t="shared" si="30"/>
        <v>7040</v>
      </c>
      <c r="X39" s="168">
        <f t="shared" si="2"/>
        <v>0</v>
      </c>
      <c r="Y39" s="168">
        <f t="shared" si="8"/>
        <v>7040</v>
      </c>
      <c r="Z39" s="168">
        <f t="shared" si="8"/>
        <v>7040</v>
      </c>
      <c r="AA39" s="168">
        <f t="shared" si="31"/>
        <v>7040</v>
      </c>
      <c r="AB39" s="168">
        <f t="shared" si="31"/>
        <v>7040</v>
      </c>
      <c r="AC39" s="168">
        <f t="shared" si="4"/>
        <v>114400</v>
      </c>
    </row>
    <row r="40" spans="1:29" ht="30" x14ac:dyDescent="0.35">
      <c r="A40" s="166" t="str">
        <f t="shared" si="10"/>
        <v>x</v>
      </c>
      <c r="B40" s="189" t="s">
        <v>332</v>
      </c>
      <c r="C40" s="189" t="s">
        <v>324</v>
      </c>
      <c r="D40" s="180" t="s">
        <v>333</v>
      </c>
      <c r="E40" s="180" t="s">
        <v>326</v>
      </c>
      <c r="F40" s="187"/>
      <c r="G40" s="187">
        <v>1</v>
      </c>
      <c r="H40" s="187"/>
      <c r="I40" s="187"/>
      <c r="J40" s="184">
        <v>1</v>
      </c>
      <c r="K40" s="185">
        <v>8000</v>
      </c>
      <c r="L40" s="186">
        <f>K40*J40</f>
        <v>8000</v>
      </c>
      <c r="M40" s="185"/>
      <c r="N40" s="184">
        <f t="shared" si="32"/>
        <v>1</v>
      </c>
      <c r="O40" s="185">
        <f t="shared" ref="O40:O43" si="33">21%*K40</f>
        <v>1680</v>
      </c>
      <c r="P40" s="186">
        <f>O40*N40</f>
        <v>1680</v>
      </c>
      <c r="Q40" s="190" t="s">
        <v>384</v>
      </c>
      <c r="R40" s="168">
        <f t="shared" si="5"/>
        <v>9680</v>
      </c>
      <c r="S40" s="168">
        <f t="shared" si="6"/>
        <v>1680</v>
      </c>
      <c r="T40" s="168">
        <f t="shared" si="30"/>
        <v>1680</v>
      </c>
      <c r="U40" s="168">
        <f t="shared" si="30"/>
        <v>1680</v>
      </c>
      <c r="V40" s="168">
        <f t="shared" si="30"/>
        <v>1680</v>
      </c>
      <c r="W40" s="168">
        <f t="shared" si="30"/>
        <v>1680</v>
      </c>
      <c r="X40" s="168">
        <f t="shared" si="2"/>
        <v>8000</v>
      </c>
      <c r="Y40" s="168">
        <f t="shared" si="8"/>
        <v>1680</v>
      </c>
      <c r="Z40" s="168">
        <f t="shared" si="8"/>
        <v>1680</v>
      </c>
      <c r="AA40" s="168">
        <f t="shared" si="31"/>
        <v>1680</v>
      </c>
      <c r="AB40" s="168">
        <f t="shared" si="31"/>
        <v>1680</v>
      </c>
      <c r="AC40" s="168">
        <f t="shared" si="4"/>
        <v>32800</v>
      </c>
    </row>
    <row r="41" spans="1:29" ht="30" x14ac:dyDescent="0.35">
      <c r="A41" s="166" t="str">
        <f t="shared" si="10"/>
        <v>x</v>
      </c>
      <c r="B41" s="189" t="s">
        <v>334</v>
      </c>
      <c r="C41" s="189" t="s">
        <v>324</v>
      </c>
      <c r="D41" s="180" t="s">
        <v>335</v>
      </c>
      <c r="E41" s="180" t="s">
        <v>326</v>
      </c>
      <c r="F41" s="187"/>
      <c r="G41" s="187">
        <v>1</v>
      </c>
      <c r="H41" s="187"/>
      <c r="I41" s="187"/>
      <c r="J41" s="184">
        <v>1</v>
      </c>
      <c r="K41" s="185">
        <v>8000</v>
      </c>
      <c r="L41" s="186">
        <f>K41*J41</f>
        <v>8000</v>
      </c>
      <c r="M41" s="185"/>
      <c r="N41" s="184">
        <f t="shared" si="32"/>
        <v>1</v>
      </c>
      <c r="O41" s="185">
        <f t="shared" si="33"/>
        <v>1680</v>
      </c>
      <c r="P41" s="186">
        <f>O41*N41</f>
        <v>1680</v>
      </c>
      <c r="Q41" s="190" t="s">
        <v>384</v>
      </c>
      <c r="R41" s="168">
        <f t="shared" si="5"/>
        <v>9680</v>
      </c>
      <c r="S41" s="168">
        <f t="shared" si="6"/>
        <v>1680</v>
      </c>
      <c r="T41" s="168">
        <f t="shared" si="30"/>
        <v>1680</v>
      </c>
      <c r="U41" s="168">
        <f t="shared" si="30"/>
        <v>1680</v>
      </c>
      <c r="V41" s="168">
        <f t="shared" si="30"/>
        <v>1680</v>
      </c>
      <c r="W41" s="168">
        <f t="shared" si="30"/>
        <v>1680</v>
      </c>
      <c r="X41" s="168">
        <f t="shared" si="2"/>
        <v>8000</v>
      </c>
      <c r="Y41" s="168">
        <f t="shared" si="8"/>
        <v>1680</v>
      </c>
      <c r="Z41" s="168">
        <f t="shared" si="8"/>
        <v>1680</v>
      </c>
      <c r="AA41" s="168">
        <f t="shared" si="31"/>
        <v>1680</v>
      </c>
      <c r="AB41" s="168">
        <f t="shared" si="31"/>
        <v>1680</v>
      </c>
      <c r="AC41" s="168">
        <f t="shared" si="4"/>
        <v>32800</v>
      </c>
    </row>
    <row r="42" spans="1:29" ht="20" x14ac:dyDescent="0.35">
      <c r="A42" s="166" t="str">
        <f t="shared" si="10"/>
        <v>x</v>
      </c>
      <c r="B42" s="189" t="s">
        <v>336</v>
      </c>
      <c r="C42" s="189" t="s">
        <v>324</v>
      </c>
      <c r="D42" s="180" t="s">
        <v>337</v>
      </c>
      <c r="E42" s="180" t="s">
        <v>331</v>
      </c>
      <c r="F42" s="182"/>
      <c r="G42" s="187">
        <v>1</v>
      </c>
      <c r="H42" s="187"/>
      <c r="I42" s="187"/>
      <c r="J42" s="184">
        <v>1</v>
      </c>
      <c r="K42" s="185">
        <v>65000</v>
      </c>
      <c r="L42" s="186">
        <f t="shared" ref="L42:L43" si="34">J42*K42</f>
        <v>65000</v>
      </c>
      <c r="M42" s="185"/>
      <c r="N42" s="184">
        <f t="shared" si="32"/>
        <v>1</v>
      </c>
      <c r="O42" s="185">
        <f t="shared" si="33"/>
        <v>13650</v>
      </c>
      <c r="P42" s="186">
        <f t="shared" ref="P42:P43" si="35">O42*N42</f>
        <v>13650</v>
      </c>
      <c r="Q42" s="180"/>
      <c r="R42" s="168">
        <f t="shared" si="5"/>
        <v>78650</v>
      </c>
      <c r="S42" s="168">
        <f t="shared" si="6"/>
        <v>13650</v>
      </c>
      <c r="T42" s="168">
        <f t="shared" si="30"/>
        <v>13650</v>
      </c>
      <c r="U42" s="168">
        <f t="shared" si="30"/>
        <v>13650</v>
      </c>
      <c r="V42" s="168">
        <f t="shared" si="30"/>
        <v>13650</v>
      </c>
      <c r="W42" s="168">
        <f t="shared" si="30"/>
        <v>13650</v>
      </c>
      <c r="X42" s="168">
        <f t="shared" si="2"/>
        <v>65000</v>
      </c>
      <c r="Y42" s="168">
        <f t="shared" si="8"/>
        <v>13650</v>
      </c>
      <c r="Z42" s="168">
        <f t="shared" si="8"/>
        <v>13650</v>
      </c>
      <c r="AA42" s="168">
        <f t="shared" si="31"/>
        <v>13650</v>
      </c>
      <c r="AB42" s="168">
        <f t="shared" si="31"/>
        <v>13650</v>
      </c>
      <c r="AC42" s="168">
        <f t="shared" si="4"/>
        <v>266500</v>
      </c>
    </row>
    <row r="43" spans="1:29" ht="30" x14ac:dyDescent="0.35">
      <c r="A43" s="166" t="str">
        <f t="shared" si="10"/>
        <v/>
      </c>
      <c r="B43" s="189" t="s">
        <v>338</v>
      </c>
      <c r="C43" s="189" t="s">
        <v>324</v>
      </c>
      <c r="D43" s="180" t="s">
        <v>335</v>
      </c>
      <c r="E43" s="180" t="s">
        <v>326</v>
      </c>
      <c r="F43" s="187"/>
      <c r="G43" s="187">
        <v>1</v>
      </c>
      <c r="H43" s="187"/>
      <c r="I43" s="187"/>
      <c r="J43" s="184">
        <v>0</v>
      </c>
      <c r="K43" s="185">
        <v>8000</v>
      </c>
      <c r="L43" s="186">
        <f t="shared" si="34"/>
        <v>0</v>
      </c>
      <c r="M43" s="185"/>
      <c r="N43" s="184">
        <f t="shared" si="32"/>
        <v>0</v>
      </c>
      <c r="O43" s="185">
        <f t="shared" si="33"/>
        <v>1680</v>
      </c>
      <c r="P43" s="186">
        <f t="shared" si="35"/>
        <v>0</v>
      </c>
      <c r="Q43" s="190" t="s">
        <v>384</v>
      </c>
      <c r="R43" s="168">
        <f t="shared" si="5"/>
        <v>0</v>
      </c>
      <c r="S43" s="168">
        <f t="shared" si="6"/>
        <v>0</v>
      </c>
      <c r="T43" s="168">
        <f t="shared" si="30"/>
        <v>0</v>
      </c>
      <c r="U43" s="168">
        <f t="shared" si="30"/>
        <v>0</v>
      </c>
      <c r="V43" s="168">
        <f t="shared" si="30"/>
        <v>0</v>
      </c>
      <c r="W43" s="168">
        <f t="shared" si="30"/>
        <v>0</v>
      </c>
      <c r="X43" s="168">
        <f t="shared" si="2"/>
        <v>0</v>
      </c>
      <c r="Y43" s="168">
        <f t="shared" si="8"/>
        <v>0</v>
      </c>
      <c r="Z43" s="168">
        <f t="shared" si="8"/>
        <v>0</v>
      </c>
      <c r="AA43" s="168">
        <f t="shared" si="31"/>
        <v>0</v>
      </c>
      <c r="AB43" s="168">
        <f t="shared" si="31"/>
        <v>0</v>
      </c>
      <c r="AC43" s="168">
        <f t="shared" si="4"/>
        <v>0</v>
      </c>
    </row>
    <row r="44" spans="1:29" x14ac:dyDescent="0.35">
      <c r="A44" s="166" t="str">
        <f t="shared" si="10"/>
        <v/>
      </c>
      <c r="B44" s="189" t="s">
        <v>382</v>
      </c>
      <c r="C44" s="189" t="s">
        <v>324</v>
      </c>
      <c r="D44" s="210" t="s">
        <v>383</v>
      </c>
      <c r="E44" s="184" t="s">
        <v>322</v>
      </c>
      <c r="F44" s="212">
        <v>0</v>
      </c>
      <c r="G44" s="212">
        <v>1</v>
      </c>
      <c r="H44" s="212">
        <v>0</v>
      </c>
      <c r="I44" s="212">
        <v>0</v>
      </c>
      <c r="J44" s="184">
        <v>150</v>
      </c>
      <c r="K44" s="185">
        <v>100</v>
      </c>
      <c r="L44" s="186">
        <f>J44*K44</f>
        <v>15000</v>
      </c>
      <c r="M44" s="185"/>
      <c r="N44" s="184">
        <v>0</v>
      </c>
      <c r="O44" s="185">
        <v>300</v>
      </c>
      <c r="P44" s="186">
        <f>O44*N44</f>
        <v>0</v>
      </c>
      <c r="Q44" s="180"/>
      <c r="R44" s="168">
        <f t="shared" si="5"/>
        <v>15000</v>
      </c>
      <c r="S44" s="168">
        <f t="shared" si="6"/>
        <v>0</v>
      </c>
      <c r="T44" s="168">
        <f t="shared" si="30"/>
        <v>0</v>
      </c>
      <c r="U44" s="168">
        <f t="shared" si="30"/>
        <v>0</v>
      </c>
      <c r="V44" s="168">
        <f t="shared" si="30"/>
        <v>0</v>
      </c>
      <c r="W44" s="168">
        <f t="shared" si="30"/>
        <v>0</v>
      </c>
      <c r="X44" s="168">
        <f t="shared" si="2"/>
        <v>15000</v>
      </c>
      <c r="Y44" s="168">
        <f t="shared" si="8"/>
        <v>0</v>
      </c>
      <c r="Z44" s="168">
        <f t="shared" si="8"/>
        <v>0</v>
      </c>
      <c r="AA44" s="168">
        <f t="shared" si="31"/>
        <v>0</v>
      </c>
      <c r="AB44" s="168">
        <f t="shared" si="31"/>
        <v>0</v>
      </c>
      <c r="AC44" s="168">
        <f t="shared" si="4"/>
        <v>30000</v>
      </c>
    </row>
    <row r="45" spans="1:29" ht="30" x14ac:dyDescent="0.35">
      <c r="A45" s="166" t="str">
        <f t="shared" si="10"/>
        <v>x</v>
      </c>
      <c r="B45" s="189" t="s">
        <v>340</v>
      </c>
      <c r="C45" s="189" t="s">
        <v>324</v>
      </c>
      <c r="D45" s="180" t="s">
        <v>341</v>
      </c>
      <c r="E45" s="180" t="s">
        <v>342</v>
      </c>
      <c r="F45" s="182"/>
      <c r="G45" s="187">
        <v>1</v>
      </c>
      <c r="H45" s="187"/>
      <c r="I45" s="187"/>
      <c r="J45" s="184">
        <v>4</v>
      </c>
      <c r="K45" s="188">
        <v>20400</v>
      </c>
      <c r="L45" s="186">
        <f t="shared" ref="L45:L47" si="36">J45*K45</f>
        <v>81600</v>
      </c>
      <c r="M45" s="185"/>
      <c r="N45" s="184">
        <f>J45</f>
        <v>4</v>
      </c>
      <c r="O45" s="185">
        <f>21%*K45</f>
        <v>4284</v>
      </c>
      <c r="P45" s="186">
        <f t="shared" ref="P45:P46" si="37">O45*N45</f>
        <v>17136</v>
      </c>
      <c r="Q45" s="190" t="s">
        <v>384</v>
      </c>
      <c r="R45" s="168">
        <f t="shared" si="5"/>
        <v>98736</v>
      </c>
      <c r="S45" s="168">
        <f t="shared" si="6"/>
        <v>17136</v>
      </c>
      <c r="T45" s="168">
        <f t="shared" si="30"/>
        <v>17136</v>
      </c>
      <c r="U45" s="168">
        <f t="shared" si="30"/>
        <v>17136</v>
      </c>
      <c r="V45" s="168">
        <f t="shared" si="30"/>
        <v>17136</v>
      </c>
      <c r="W45" s="168">
        <f t="shared" si="30"/>
        <v>17136</v>
      </c>
      <c r="X45" s="168">
        <f t="shared" si="2"/>
        <v>81600</v>
      </c>
      <c r="Y45" s="168">
        <f t="shared" si="8"/>
        <v>17136</v>
      </c>
      <c r="Z45" s="168">
        <f t="shared" si="8"/>
        <v>17136</v>
      </c>
      <c r="AA45" s="168">
        <f t="shared" si="31"/>
        <v>17136</v>
      </c>
      <c r="AB45" s="168">
        <f t="shared" si="31"/>
        <v>17136</v>
      </c>
      <c r="AC45" s="168">
        <f t="shared" si="4"/>
        <v>334560</v>
      </c>
    </row>
    <row r="46" spans="1:29" ht="30" x14ac:dyDescent="0.35">
      <c r="A46" s="166" t="str">
        <f t="shared" si="10"/>
        <v>x</v>
      </c>
      <c r="B46" s="189" t="s">
        <v>346</v>
      </c>
      <c r="C46" s="196" t="s">
        <v>324</v>
      </c>
      <c r="D46" s="197" t="s">
        <v>347</v>
      </c>
      <c r="E46" s="198" t="s">
        <v>342</v>
      </c>
      <c r="F46" s="199"/>
      <c r="G46" s="199">
        <v>1</v>
      </c>
      <c r="H46" s="199"/>
      <c r="I46" s="199"/>
      <c r="J46" s="184">
        <v>1</v>
      </c>
      <c r="K46" s="188">
        <v>17000</v>
      </c>
      <c r="L46" s="186">
        <f t="shared" si="36"/>
        <v>17000</v>
      </c>
      <c r="M46" s="185"/>
      <c r="N46" s="184">
        <f t="shared" ref="N46" si="38">J46</f>
        <v>1</v>
      </c>
      <c r="O46" s="204">
        <v>3567.6</v>
      </c>
      <c r="P46" s="186">
        <f t="shared" si="37"/>
        <v>3567.6</v>
      </c>
      <c r="Q46" s="190" t="s">
        <v>384</v>
      </c>
      <c r="R46" s="168">
        <f t="shared" si="5"/>
        <v>20567.599999999999</v>
      </c>
      <c r="S46" s="168">
        <f t="shared" si="6"/>
        <v>3567.6</v>
      </c>
      <c r="T46" s="168">
        <f t="shared" si="30"/>
        <v>3567.6</v>
      </c>
      <c r="U46" s="168">
        <f t="shared" si="30"/>
        <v>3567.6</v>
      </c>
      <c r="V46" s="168">
        <f t="shared" si="30"/>
        <v>3567.6</v>
      </c>
      <c r="W46" s="168">
        <f t="shared" si="30"/>
        <v>3567.6</v>
      </c>
      <c r="X46" s="168">
        <f t="shared" si="2"/>
        <v>17000</v>
      </c>
      <c r="Y46" s="168">
        <f t="shared" si="8"/>
        <v>3567.6</v>
      </c>
      <c r="Z46" s="168">
        <f t="shared" si="8"/>
        <v>3567.6</v>
      </c>
      <c r="AA46" s="168">
        <f t="shared" si="31"/>
        <v>3567.6</v>
      </c>
      <c r="AB46" s="168">
        <f t="shared" si="31"/>
        <v>3567.6</v>
      </c>
      <c r="AC46" s="168">
        <f t="shared" si="4"/>
        <v>69676</v>
      </c>
    </row>
    <row r="47" spans="1:29" x14ac:dyDescent="0.35">
      <c r="A47" s="166" t="str">
        <f t="shared" si="10"/>
        <v/>
      </c>
      <c r="B47" s="191" t="s">
        <v>386</v>
      </c>
      <c r="C47" s="191"/>
      <c r="D47" s="210" t="s">
        <v>387</v>
      </c>
      <c r="E47" s="191"/>
      <c r="F47" s="192"/>
      <c r="G47" s="192">
        <v>1</v>
      </c>
      <c r="H47" s="192"/>
      <c r="I47" s="192"/>
      <c r="J47" s="184">
        <v>0</v>
      </c>
      <c r="K47" s="193">
        <v>1000</v>
      </c>
      <c r="L47" s="194">
        <f t="shared" si="36"/>
        <v>0</v>
      </c>
      <c r="M47" s="195"/>
      <c r="N47" s="184">
        <v>0</v>
      </c>
      <c r="O47" s="185">
        <f>12*300</f>
        <v>3600</v>
      </c>
      <c r="P47" s="186">
        <f>O47*N47</f>
        <v>0</v>
      </c>
      <c r="Q47" s="180"/>
      <c r="R47" s="168">
        <f t="shared" si="5"/>
        <v>0</v>
      </c>
      <c r="S47" s="168">
        <f t="shared" si="6"/>
        <v>0</v>
      </c>
      <c r="T47" s="168">
        <f t="shared" si="30"/>
        <v>0</v>
      </c>
      <c r="U47" s="168">
        <f t="shared" si="30"/>
        <v>0</v>
      </c>
      <c r="V47" s="168">
        <f t="shared" si="30"/>
        <v>0</v>
      </c>
      <c r="W47" s="168">
        <f t="shared" si="30"/>
        <v>0</v>
      </c>
      <c r="X47" s="168">
        <f t="shared" si="2"/>
        <v>0</v>
      </c>
      <c r="Y47" s="168">
        <f t="shared" si="8"/>
        <v>0</v>
      </c>
      <c r="Z47" s="168">
        <f t="shared" si="8"/>
        <v>0</v>
      </c>
      <c r="AA47" s="168">
        <f t="shared" si="31"/>
        <v>0</v>
      </c>
      <c r="AB47" s="168">
        <f t="shared" si="31"/>
        <v>0</v>
      </c>
      <c r="AC47" s="168">
        <f t="shared" si="4"/>
        <v>0</v>
      </c>
    </row>
    <row r="48" spans="1:29" x14ac:dyDescent="0.35">
      <c r="A48" s="166" t="str">
        <f t="shared" si="10"/>
        <v/>
      </c>
      <c r="B48" s="191" t="s">
        <v>388</v>
      </c>
      <c r="C48" s="191"/>
      <c r="D48" s="191" t="s">
        <v>351</v>
      </c>
      <c r="E48" s="191"/>
      <c r="F48" s="192"/>
      <c r="G48" s="192">
        <v>1</v>
      </c>
      <c r="H48" s="192"/>
      <c r="I48" s="192"/>
      <c r="J48" s="184">
        <v>0</v>
      </c>
      <c r="K48" s="193">
        <v>1000</v>
      </c>
      <c r="L48" s="194">
        <f>J48*K48</f>
        <v>0</v>
      </c>
      <c r="M48" s="195"/>
      <c r="N48" s="184">
        <f>J48</f>
        <v>0</v>
      </c>
      <c r="O48" s="185">
        <f>12*1500</f>
        <v>18000</v>
      </c>
      <c r="P48" s="186">
        <f>N48*O48</f>
        <v>0</v>
      </c>
      <c r="Q48" s="180"/>
      <c r="R48" s="168">
        <f t="shared" si="5"/>
        <v>0</v>
      </c>
      <c r="S48" s="168">
        <f t="shared" si="6"/>
        <v>0</v>
      </c>
      <c r="T48" s="168">
        <f t="shared" si="30"/>
        <v>0</v>
      </c>
      <c r="U48" s="168">
        <f t="shared" si="30"/>
        <v>0</v>
      </c>
      <c r="V48" s="168">
        <f t="shared" si="30"/>
        <v>0</v>
      </c>
      <c r="W48" s="168">
        <f t="shared" si="30"/>
        <v>0</v>
      </c>
      <c r="X48" s="168">
        <f t="shared" si="2"/>
        <v>0</v>
      </c>
      <c r="Y48" s="168">
        <f t="shared" si="8"/>
        <v>0</v>
      </c>
      <c r="Z48" s="168">
        <f t="shared" si="8"/>
        <v>0</v>
      </c>
      <c r="AA48" s="168">
        <f t="shared" si="31"/>
        <v>0</v>
      </c>
      <c r="AB48" s="168">
        <f t="shared" si="31"/>
        <v>0</v>
      </c>
      <c r="AC48" s="168">
        <f t="shared" si="4"/>
        <v>0</v>
      </c>
    </row>
    <row r="49" spans="1:30" x14ac:dyDescent="0.35">
      <c r="A49" s="166" t="str">
        <f t="shared" si="10"/>
        <v>x</v>
      </c>
      <c r="B49" s="200" t="s">
        <v>352</v>
      </c>
      <c r="C49" s="200"/>
      <c r="D49" s="180" t="s">
        <v>353</v>
      </c>
      <c r="E49" s="180" t="s">
        <v>331</v>
      </c>
      <c r="F49" s="187"/>
      <c r="G49" s="187">
        <v>0.5</v>
      </c>
      <c r="H49" s="187"/>
      <c r="I49" s="187">
        <v>0.5</v>
      </c>
      <c r="J49" s="201">
        <v>3</v>
      </c>
      <c r="K49" s="202">
        <v>17500</v>
      </c>
      <c r="L49" s="186">
        <f>J49*K49*60%</f>
        <v>31500</v>
      </c>
      <c r="M49" s="185" t="s">
        <v>354</v>
      </c>
      <c r="N49" s="203">
        <f t="shared" ref="N49:N51" si="39">J49</f>
        <v>3</v>
      </c>
      <c r="O49" s="204">
        <f>K49*22%*60%</f>
        <v>2310</v>
      </c>
      <c r="P49" s="186">
        <f t="shared" ref="P49:P54" si="40">O49*N49</f>
        <v>6930</v>
      </c>
      <c r="Q49" s="205"/>
      <c r="R49" s="168">
        <f t="shared" si="5"/>
        <v>38430</v>
      </c>
      <c r="S49" s="168">
        <f t="shared" si="6"/>
        <v>6930</v>
      </c>
      <c r="T49" s="168">
        <f t="shared" si="30"/>
        <v>6930</v>
      </c>
      <c r="U49" s="168">
        <f t="shared" si="30"/>
        <v>6930</v>
      </c>
      <c r="V49" s="168">
        <f t="shared" si="30"/>
        <v>6930</v>
      </c>
      <c r="W49" s="168">
        <f t="shared" si="30"/>
        <v>6930</v>
      </c>
      <c r="X49" s="168">
        <f t="shared" si="2"/>
        <v>0</v>
      </c>
      <c r="Y49" s="168">
        <f t="shared" si="8"/>
        <v>6930</v>
      </c>
      <c r="Z49" s="168">
        <f t="shared" si="8"/>
        <v>6930</v>
      </c>
      <c r="AA49" s="168">
        <f t="shared" si="31"/>
        <v>6930</v>
      </c>
      <c r="AB49" s="168">
        <f t="shared" si="31"/>
        <v>6930</v>
      </c>
      <c r="AC49" s="168">
        <f t="shared" si="4"/>
        <v>100800</v>
      </c>
    </row>
    <row r="50" spans="1:30" ht="30" x14ac:dyDescent="0.35">
      <c r="A50" s="166" t="str">
        <f t="shared" si="10"/>
        <v>x</v>
      </c>
      <c r="B50" s="200" t="s">
        <v>352</v>
      </c>
      <c r="C50" s="200"/>
      <c r="D50" s="180" t="s">
        <v>355</v>
      </c>
      <c r="E50" s="180" t="s">
        <v>331</v>
      </c>
      <c r="F50" s="187"/>
      <c r="G50" s="187">
        <v>0.5</v>
      </c>
      <c r="H50" s="187"/>
      <c r="I50" s="187">
        <v>0.5</v>
      </c>
      <c r="J50" s="201">
        <v>3</v>
      </c>
      <c r="K50" s="202">
        <v>7500</v>
      </c>
      <c r="L50" s="186">
        <f>J50*K50*60%</f>
        <v>13500</v>
      </c>
      <c r="M50" s="185" t="s">
        <v>356</v>
      </c>
      <c r="N50" s="203">
        <f t="shared" si="39"/>
        <v>3</v>
      </c>
      <c r="O50" s="204">
        <f>K50*22%*60%</f>
        <v>990</v>
      </c>
      <c r="P50" s="186">
        <f t="shared" si="40"/>
        <v>2970</v>
      </c>
      <c r="Q50" s="205"/>
      <c r="R50" s="168">
        <f t="shared" si="5"/>
        <v>16470</v>
      </c>
      <c r="S50" s="168">
        <f t="shared" si="6"/>
        <v>2970</v>
      </c>
      <c r="T50" s="168">
        <f t="shared" si="30"/>
        <v>2970</v>
      </c>
      <c r="U50" s="168">
        <f t="shared" si="30"/>
        <v>2970</v>
      </c>
      <c r="V50" s="168">
        <f t="shared" si="30"/>
        <v>2970</v>
      </c>
      <c r="W50" s="168">
        <f t="shared" si="30"/>
        <v>2970</v>
      </c>
      <c r="X50" s="168">
        <f t="shared" si="2"/>
        <v>0</v>
      </c>
      <c r="Y50" s="168">
        <f t="shared" si="8"/>
        <v>2970</v>
      </c>
      <c r="Z50" s="168">
        <f t="shared" si="8"/>
        <v>2970</v>
      </c>
      <c r="AA50" s="168">
        <f t="shared" si="31"/>
        <v>2970</v>
      </c>
      <c r="AB50" s="168">
        <f t="shared" si="31"/>
        <v>2970</v>
      </c>
      <c r="AC50" s="168">
        <f t="shared" si="4"/>
        <v>43200</v>
      </c>
    </row>
    <row r="51" spans="1:30" x14ac:dyDescent="0.35">
      <c r="A51" s="166" t="str">
        <f t="shared" si="10"/>
        <v>x</v>
      </c>
      <c r="B51" s="200" t="s">
        <v>352</v>
      </c>
      <c r="C51" s="200"/>
      <c r="D51" s="180" t="s">
        <v>357</v>
      </c>
      <c r="E51" s="180" t="s">
        <v>331</v>
      </c>
      <c r="F51" s="187"/>
      <c r="G51" s="187">
        <v>0.5</v>
      </c>
      <c r="H51" s="187"/>
      <c r="I51" s="187">
        <v>0.5</v>
      </c>
      <c r="J51" s="201">
        <v>3</v>
      </c>
      <c r="K51" s="202">
        <v>17500</v>
      </c>
      <c r="L51" s="186">
        <f>J51*K51*60%</f>
        <v>31500</v>
      </c>
      <c r="M51" s="185" t="s">
        <v>356</v>
      </c>
      <c r="N51" s="203">
        <f t="shared" si="39"/>
        <v>3</v>
      </c>
      <c r="O51" s="204">
        <f>K51*22%*60%</f>
        <v>2310</v>
      </c>
      <c r="P51" s="186">
        <f t="shared" si="40"/>
        <v>6930</v>
      </c>
      <c r="Q51" s="205"/>
      <c r="R51" s="168">
        <f t="shared" si="5"/>
        <v>38430</v>
      </c>
      <c r="S51" s="168">
        <f t="shared" si="6"/>
        <v>6930</v>
      </c>
      <c r="T51" s="168">
        <f t="shared" si="30"/>
        <v>6930</v>
      </c>
      <c r="U51" s="168">
        <f t="shared" si="30"/>
        <v>6930</v>
      </c>
      <c r="V51" s="168">
        <f t="shared" si="30"/>
        <v>6930</v>
      </c>
      <c r="W51" s="168">
        <f t="shared" si="30"/>
        <v>6930</v>
      </c>
      <c r="X51" s="168">
        <f t="shared" si="2"/>
        <v>0</v>
      </c>
      <c r="Y51" s="168">
        <f t="shared" si="8"/>
        <v>6930</v>
      </c>
      <c r="Z51" s="168">
        <f t="shared" si="8"/>
        <v>6930</v>
      </c>
      <c r="AA51" s="168">
        <f t="shared" si="31"/>
        <v>6930</v>
      </c>
      <c r="AB51" s="168">
        <f t="shared" si="31"/>
        <v>6930</v>
      </c>
      <c r="AC51" s="168">
        <f t="shared" si="4"/>
        <v>100800</v>
      </c>
    </row>
    <row r="52" spans="1:30" x14ac:dyDescent="0.35">
      <c r="A52" s="166" t="str">
        <f t="shared" si="10"/>
        <v/>
      </c>
      <c r="B52" s="180" t="s">
        <v>368</v>
      </c>
      <c r="C52" s="180"/>
      <c r="D52" s="180" t="s">
        <v>369</v>
      </c>
      <c r="E52" s="180" t="s">
        <v>370</v>
      </c>
      <c r="F52" s="187"/>
      <c r="G52" s="187">
        <v>0.5</v>
      </c>
      <c r="H52" s="187"/>
      <c r="I52" s="187">
        <v>0.5</v>
      </c>
      <c r="J52" s="184">
        <v>2</v>
      </c>
      <c r="K52" s="185">
        <v>5000</v>
      </c>
      <c r="L52" s="186">
        <f>J52*K52</f>
        <v>10000</v>
      </c>
      <c r="M52" s="185"/>
      <c r="N52" s="203">
        <f>J52</f>
        <v>2</v>
      </c>
      <c r="O52" s="185"/>
      <c r="P52" s="186">
        <f t="shared" si="40"/>
        <v>0</v>
      </c>
      <c r="Q52" s="180"/>
      <c r="R52" s="168">
        <f t="shared" si="5"/>
        <v>10000</v>
      </c>
      <c r="S52" s="168">
        <f t="shared" si="6"/>
        <v>0</v>
      </c>
      <c r="T52" s="168">
        <f t="shared" si="30"/>
        <v>0</v>
      </c>
      <c r="U52" s="168">
        <f t="shared" si="30"/>
        <v>0</v>
      </c>
      <c r="V52" s="168">
        <f t="shared" si="30"/>
        <v>0</v>
      </c>
      <c r="W52" s="168">
        <f t="shared" si="30"/>
        <v>0</v>
      </c>
      <c r="X52" s="168">
        <f t="shared" si="2"/>
        <v>0</v>
      </c>
      <c r="Y52" s="168">
        <f t="shared" si="8"/>
        <v>0</v>
      </c>
      <c r="Z52" s="168">
        <f t="shared" si="8"/>
        <v>0</v>
      </c>
      <c r="AA52" s="168">
        <f t="shared" si="31"/>
        <v>0</v>
      </c>
      <c r="AB52" s="168">
        <f t="shared" si="31"/>
        <v>0</v>
      </c>
      <c r="AC52" s="168">
        <f t="shared" si="4"/>
        <v>10000</v>
      </c>
    </row>
    <row r="53" spans="1:30" ht="20" x14ac:dyDescent="0.35">
      <c r="A53" s="166" t="str">
        <f t="shared" si="10"/>
        <v>x</v>
      </c>
      <c r="B53" s="191" t="s">
        <v>376</v>
      </c>
      <c r="C53" s="191"/>
      <c r="D53" s="210" t="s">
        <v>377</v>
      </c>
      <c r="E53" s="191" t="s">
        <v>378</v>
      </c>
      <c r="F53" s="192"/>
      <c r="G53" s="192">
        <v>0.5</v>
      </c>
      <c r="H53" s="192"/>
      <c r="I53" s="192">
        <v>0.5</v>
      </c>
      <c r="J53" s="184">
        <v>1</v>
      </c>
      <c r="K53" s="185">
        <v>8000</v>
      </c>
      <c r="L53" s="186">
        <f t="shared" ref="L53" si="41">J53*K53</f>
        <v>8000</v>
      </c>
      <c r="M53" s="185"/>
      <c r="N53" s="203">
        <f>J53</f>
        <v>1</v>
      </c>
      <c r="O53" s="204">
        <v>2000</v>
      </c>
      <c r="P53" s="186">
        <f t="shared" si="40"/>
        <v>2000</v>
      </c>
      <c r="Q53" s="205"/>
      <c r="R53" s="168">
        <f t="shared" si="5"/>
        <v>10000</v>
      </c>
      <c r="S53" s="168">
        <f t="shared" si="6"/>
        <v>2000</v>
      </c>
      <c r="T53" s="168">
        <f t="shared" si="30"/>
        <v>2000</v>
      </c>
      <c r="U53" s="168">
        <f t="shared" si="30"/>
        <v>2000</v>
      </c>
      <c r="V53" s="168">
        <f t="shared" si="30"/>
        <v>2000</v>
      </c>
      <c r="W53" s="168">
        <f t="shared" si="30"/>
        <v>2000</v>
      </c>
      <c r="X53" s="168">
        <f t="shared" si="2"/>
        <v>0</v>
      </c>
      <c r="Y53" s="168">
        <f t="shared" si="8"/>
        <v>2000</v>
      </c>
      <c r="Z53" s="168">
        <f t="shared" si="8"/>
        <v>2000</v>
      </c>
      <c r="AA53" s="168">
        <f t="shared" si="31"/>
        <v>2000</v>
      </c>
      <c r="AB53" s="168">
        <f t="shared" si="31"/>
        <v>2000</v>
      </c>
      <c r="AC53" s="168">
        <f t="shared" si="4"/>
        <v>28000</v>
      </c>
    </row>
    <row r="54" spans="1:30" x14ac:dyDescent="0.35">
      <c r="A54" s="166" t="str">
        <f t="shared" si="10"/>
        <v>x</v>
      </c>
      <c r="B54" s="191" t="s">
        <v>379</v>
      </c>
      <c r="C54" s="191"/>
      <c r="D54" s="210" t="s">
        <v>389</v>
      </c>
      <c r="E54" s="191" t="s">
        <v>378</v>
      </c>
      <c r="F54" s="192"/>
      <c r="G54" s="192">
        <v>0.5</v>
      </c>
      <c r="H54" s="192"/>
      <c r="I54" s="192">
        <v>0.5</v>
      </c>
      <c r="J54" s="184">
        <v>1</v>
      </c>
      <c r="K54" s="185">
        <v>2000</v>
      </c>
      <c r="L54" s="186">
        <f>J54*K54</f>
        <v>2000</v>
      </c>
      <c r="M54" s="185"/>
      <c r="N54" s="203">
        <f>J54</f>
        <v>1</v>
      </c>
      <c r="O54" s="204">
        <f t="shared" ref="O54" si="42">20%*K54</f>
        <v>400</v>
      </c>
      <c r="P54" s="186">
        <f t="shared" si="40"/>
        <v>400</v>
      </c>
      <c r="Q54" s="205"/>
      <c r="R54" s="168">
        <f t="shared" si="5"/>
        <v>2400</v>
      </c>
      <c r="S54" s="168">
        <f t="shared" si="6"/>
        <v>400</v>
      </c>
      <c r="T54" s="168">
        <f t="shared" ref="T54:W54" si="43">S54</f>
        <v>400</v>
      </c>
      <c r="U54" s="168">
        <f t="shared" si="43"/>
        <v>400</v>
      </c>
      <c r="V54" s="168">
        <f t="shared" si="43"/>
        <v>400</v>
      </c>
      <c r="W54" s="168">
        <f t="shared" si="43"/>
        <v>400</v>
      </c>
      <c r="X54" s="168">
        <f t="shared" si="2"/>
        <v>0</v>
      </c>
      <c r="Y54" s="168">
        <f t="shared" si="8"/>
        <v>400</v>
      </c>
      <c r="Z54" s="168">
        <f t="shared" si="8"/>
        <v>400</v>
      </c>
      <c r="AA54" s="168">
        <f t="shared" ref="AA54:AB54" si="44">Z54</f>
        <v>400</v>
      </c>
      <c r="AB54" s="168">
        <f t="shared" si="44"/>
        <v>400</v>
      </c>
      <c r="AC54" s="168">
        <f t="shared" si="4"/>
        <v>6000</v>
      </c>
      <c r="AD54" s="168">
        <v>6320065.0000000019</v>
      </c>
    </row>
    <row r="55" spans="1:30" x14ac:dyDescent="0.35">
      <c r="A55" s="166"/>
      <c r="B55" s="171"/>
      <c r="C55" s="171"/>
      <c r="D55" s="173"/>
      <c r="E55" s="173"/>
      <c r="F55" s="182"/>
      <c r="G55" s="182"/>
      <c r="H55" s="182"/>
      <c r="I55" s="182"/>
      <c r="J55" s="166"/>
      <c r="K55" s="175"/>
      <c r="L55" s="166"/>
      <c r="M55" s="166"/>
      <c r="N55" s="171"/>
      <c r="O55" s="166"/>
      <c r="P55" s="166"/>
      <c r="Q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8"/>
    </row>
    <row r="56" spans="1:30" x14ac:dyDescent="0.35">
      <c r="A56" s="166"/>
      <c r="B56" s="171"/>
      <c r="C56" s="171"/>
      <c r="D56" s="173"/>
      <c r="E56" s="173"/>
      <c r="F56" s="182"/>
      <c r="G56" s="182"/>
      <c r="H56" s="182"/>
      <c r="I56" s="182"/>
      <c r="J56" s="166"/>
      <c r="K56" s="175"/>
      <c r="L56" s="166"/>
      <c r="M56" s="166"/>
      <c r="N56" s="171"/>
      <c r="O56" s="166"/>
      <c r="P56" s="213"/>
      <c r="Q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8"/>
    </row>
    <row r="57" spans="1:30" x14ac:dyDescent="0.35">
      <c r="A57" s="166"/>
      <c r="B57" s="171" t="s">
        <v>390</v>
      </c>
      <c r="C57" s="171"/>
      <c r="D57" s="173"/>
      <c r="E57" s="173"/>
      <c r="F57" s="182"/>
      <c r="G57" s="182"/>
      <c r="H57" s="182"/>
      <c r="I57" s="182"/>
      <c r="J57" s="166"/>
      <c r="K57" s="175"/>
      <c r="L57" s="175">
        <f>SUM(L5:L54)</f>
        <v>1386910.5</v>
      </c>
      <c r="M57" s="166"/>
      <c r="N57" s="171"/>
      <c r="O57" s="166"/>
      <c r="P57" s="175">
        <f>SUM(P5:P54)</f>
        <v>445395.44999999995</v>
      </c>
      <c r="Q57" s="166"/>
      <c r="R57" s="175">
        <f>SUM(R5:R54)</f>
        <v>1832305.9500000002</v>
      </c>
      <c r="S57" s="175">
        <f>SUM(S5:S54)</f>
        <v>445395.44999999995</v>
      </c>
      <c r="T57" s="175">
        <f t="shared" ref="T57:AB57" si="45">SUM(T5:T54)</f>
        <v>445395.44999999995</v>
      </c>
      <c r="U57" s="175">
        <f t="shared" si="45"/>
        <v>445395.44999999995</v>
      </c>
      <c r="V57" s="175">
        <f t="shared" si="45"/>
        <v>445395.44999999995</v>
      </c>
      <c r="W57" s="175">
        <f t="shared" si="45"/>
        <v>445395.44999999995</v>
      </c>
      <c r="X57" s="175">
        <f t="shared" si="45"/>
        <v>479200</v>
      </c>
      <c r="Y57" s="175">
        <f t="shared" si="45"/>
        <v>445395.44999999995</v>
      </c>
      <c r="Z57" s="175">
        <f t="shared" si="45"/>
        <v>445395.44999999995</v>
      </c>
      <c r="AA57" s="175">
        <f t="shared" si="45"/>
        <v>445395.44999999995</v>
      </c>
      <c r="AB57" s="175">
        <f t="shared" si="45"/>
        <v>445395.44999999995</v>
      </c>
      <c r="AC57" s="168">
        <f>SUM(R57:AB57)</f>
        <v>6320065.0000000019</v>
      </c>
    </row>
    <row r="58" spans="1:30" x14ac:dyDescent="0.35">
      <c r="Y58" s="214">
        <f>Y57+X57</f>
        <v>924595.45</v>
      </c>
    </row>
    <row r="59" spans="1:30" x14ac:dyDescent="0.35">
      <c r="Z59" s="108" t="s">
        <v>391</v>
      </c>
      <c r="AA59" s="108">
        <f>L57+P57*10+X57</f>
        <v>6320065</v>
      </c>
    </row>
  </sheetData>
  <mergeCells count="5">
    <mergeCell ref="F1:I1"/>
    <mergeCell ref="J1:M1"/>
    <mergeCell ref="N1:Q1"/>
    <mergeCell ref="J4:M4"/>
    <mergeCell ref="N4:Q4"/>
  </mergeCells>
  <conditionalFormatting sqref="K1:K22">
    <cfRule type="cellIs" dxfId="9" priority="27" operator="greaterThan">
      <formula>20000</formula>
    </cfRule>
  </conditionalFormatting>
  <conditionalFormatting sqref="K24:K57">
    <cfRule type="cellIs" dxfId="8" priority="3" operator="greaterThan">
      <formula>20000</formula>
    </cfRule>
  </conditionalFormatting>
  <conditionalFormatting sqref="L57">
    <cfRule type="cellIs" dxfId="7" priority="2" operator="greaterThan">
      <formula>20000</formula>
    </cfRule>
  </conditionalFormatting>
  <conditionalFormatting sqref="P57">
    <cfRule type="cellIs" dxfId="6" priority="34" operator="greaterThan">
      <formula>20000</formula>
    </cfRule>
  </conditionalFormatting>
  <conditionalFormatting sqref="R57:AB57">
    <cfRule type="cellIs" dxfId="5" priority="1" operator="greaterThan">
      <formula>20000</formula>
    </cfRule>
  </conditionalFormatting>
  <pageMargins left="0.7" right="0.7" top="0.75" bottom="0.75" header="0.3" footer="0.3"/>
  <pageSetup orientation="portrait" r:id="rId1"/>
  <headerFooter>
    <oddHeader>&amp;L&amp;"Franklin Gothic Book"&amp;10&amp;K000000Sensitive&amp;1#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95AB-12F2-4BA6-9677-34BB8385F53B}">
  <dimension ref="A1:AI94"/>
  <sheetViews>
    <sheetView topLeftCell="A59" zoomScale="205" zoomScaleNormal="205" workbookViewId="0">
      <selection activeCell="N4" sqref="N4:Q4"/>
    </sheetView>
  </sheetViews>
  <sheetFormatPr defaultColWidth="9.1796875" defaultRowHeight="14.5" x14ac:dyDescent="0.35"/>
  <cols>
    <col min="1" max="1" width="2.7265625" style="108" customWidth="1"/>
    <col min="2" max="2" width="23.54296875" style="108" bestFit="1" customWidth="1"/>
    <col min="3" max="3" width="9.1796875" style="108"/>
    <col min="4" max="6" width="24.7265625" style="108" customWidth="1"/>
    <col min="7" max="7" width="13.26953125" style="108" customWidth="1"/>
    <col min="8" max="15" width="9.1796875" style="108"/>
    <col min="16" max="16" width="15.81640625" style="108" customWidth="1"/>
    <col min="17" max="17" width="11.453125" style="108" bestFit="1" customWidth="1"/>
    <col min="18" max="19" width="9.1796875" style="108"/>
    <col min="20" max="20" width="13.81640625" style="108" customWidth="1"/>
    <col min="21" max="21" width="21.81640625" style="108" customWidth="1"/>
    <col min="22" max="22" width="11.7265625" style="168" customWidth="1"/>
    <col min="23" max="23" width="12.7265625" style="108" bestFit="1" customWidth="1"/>
    <col min="24" max="27" width="13" style="108" bestFit="1" customWidth="1"/>
    <col min="28" max="28" width="20.81640625" style="108" bestFit="1" customWidth="1"/>
    <col min="29" max="33" width="13" style="108" bestFit="1" customWidth="1"/>
    <col min="34" max="34" width="12.1796875" style="108" bestFit="1" customWidth="1"/>
    <col min="35" max="35" width="9.81640625" style="108" bestFit="1" customWidth="1"/>
    <col min="36" max="16384" width="9.1796875" style="108"/>
  </cols>
  <sheetData>
    <row r="1" spans="1:34" x14ac:dyDescent="0.35">
      <c r="A1" s="166"/>
      <c r="B1" s="167" t="s">
        <v>303</v>
      </c>
      <c r="C1" s="167"/>
      <c r="D1" s="167" t="s">
        <v>97</v>
      </c>
      <c r="E1" s="167"/>
      <c r="F1" s="167"/>
      <c r="G1" s="167" t="s">
        <v>304</v>
      </c>
      <c r="H1" s="419" t="s">
        <v>305</v>
      </c>
      <c r="I1" s="420"/>
      <c r="J1" s="420"/>
      <c r="K1" s="421"/>
      <c r="L1" s="301"/>
      <c r="M1" s="301"/>
      <c r="N1" s="422" t="s">
        <v>306</v>
      </c>
      <c r="O1" s="423"/>
      <c r="P1" s="423"/>
      <c r="Q1" s="424"/>
      <c r="R1" s="422" t="s">
        <v>307</v>
      </c>
      <c r="S1" s="423"/>
      <c r="T1" s="423"/>
      <c r="U1" s="424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</row>
    <row r="2" spans="1:34" ht="73.5" x14ac:dyDescent="0.35">
      <c r="A2" s="166" t="s">
        <v>308</v>
      </c>
      <c r="B2" s="170" t="s">
        <v>309</v>
      </c>
      <c r="C2" s="170"/>
      <c r="D2" s="171"/>
      <c r="E2" s="171"/>
      <c r="F2" s="171"/>
      <c r="G2" s="171"/>
      <c r="H2" s="172"/>
      <c r="I2" s="172"/>
      <c r="J2" s="172"/>
      <c r="K2" s="172"/>
      <c r="L2" s="172"/>
      <c r="M2" s="172"/>
      <c r="N2" s="173"/>
      <c r="O2" s="174"/>
      <c r="P2" s="166"/>
      <c r="Q2" s="166"/>
      <c r="R2" s="166"/>
      <c r="S2" s="175"/>
      <c r="T2" s="304" t="s">
        <v>512</v>
      </c>
      <c r="U2" s="304" t="s">
        <v>310</v>
      </c>
      <c r="V2" s="176" t="s">
        <v>513</v>
      </c>
      <c r="W2" s="305">
        <v>0</v>
      </c>
      <c r="X2" s="305"/>
      <c r="Y2" s="305"/>
      <c r="Z2" s="305"/>
      <c r="AA2" s="305"/>
      <c r="AB2" s="305"/>
      <c r="AC2" s="305"/>
      <c r="AD2" s="305"/>
      <c r="AE2" s="305"/>
      <c r="AF2" s="305"/>
      <c r="AG2" s="176"/>
    </row>
    <row r="3" spans="1:34" x14ac:dyDescent="0.35">
      <c r="A3" s="166"/>
      <c r="B3" s="176"/>
      <c r="C3" s="176"/>
      <c r="D3" s="173"/>
      <c r="E3" s="173"/>
      <c r="F3" s="173"/>
      <c r="G3" s="173"/>
      <c r="H3" s="177"/>
      <c r="I3" s="177"/>
      <c r="J3" s="177"/>
      <c r="K3" s="177"/>
      <c r="L3" s="177" t="s">
        <v>312</v>
      </c>
      <c r="M3" s="177"/>
      <c r="N3" s="166"/>
      <c r="O3" s="175"/>
      <c r="P3" s="166"/>
      <c r="Q3" s="166"/>
      <c r="R3" s="166"/>
      <c r="S3" s="175"/>
      <c r="T3" s="166"/>
      <c r="U3" s="171"/>
      <c r="W3" s="168" t="s">
        <v>514</v>
      </c>
      <c r="X3" s="171"/>
      <c r="Y3" s="171"/>
      <c r="Z3" s="171"/>
      <c r="AA3" s="171"/>
      <c r="AB3" s="171"/>
      <c r="AC3" s="171"/>
      <c r="AD3" s="171"/>
      <c r="AE3" s="171"/>
      <c r="AF3" s="171"/>
      <c r="AG3" s="171"/>
    </row>
    <row r="4" spans="1:34" x14ac:dyDescent="0.35">
      <c r="A4" s="166" t="s">
        <v>102</v>
      </c>
      <c r="B4" s="167" t="s">
        <v>303</v>
      </c>
      <c r="C4" s="167"/>
      <c r="D4" s="167" t="s">
        <v>97</v>
      </c>
      <c r="E4" s="178" t="s">
        <v>515</v>
      </c>
      <c r="F4" s="178" t="s">
        <v>516</v>
      </c>
      <c r="G4" s="178" t="s">
        <v>304</v>
      </c>
      <c r="H4" s="179" t="s">
        <v>311</v>
      </c>
      <c r="I4" s="179" t="s">
        <v>312</v>
      </c>
      <c r="J4" s="179" t="s">
        <v>313</v>
      </c>
      <c r="K4" s="179" t="s">
        <v>314</v>
      </c>
      <c r="L4" s="179"/>
      <c r="M4" s="179"/>
      <c r="N4" s="422" t="s">
        <v>306</v>
      </c>
      <c r="O4" s="423"/>
      <c r="P4" s="423"/>
      <c r="Q4" s="424"/>
      <c r="R4" s="422" t="s">
        <v>307</v>
      </c>
      <c r="S4" s="423"/>
      <c r="T4" s="423"/>
      <c r="U4" s="424"/>
      <c r="V4" s="306" t="s">
        <v>315</v>
      </c>
      <c r="W4" s="169" t="s">
        <v>33</v>
      </c>
      <c r="X4" s="169" t="s">
        <v>34</v>
      </c>
      <c r="Y4" s="169" t="s">
        <v>35</v>
      </c>
      <c r="Z4" s="169" t="s">
        <v>36</v>
      </c>
      <c r="AA4" s="169" t="s">
        <v>37</v>
      </c>
      <c r="AB4" s="169" t="s">
        <v>316</v>
      </c>
      <c r="AC4" s="169" t="s">
        <v>38</v>
      </c>
      <c r="AD4" s="169" t="s">
        <v>39</v>
      </c>
      <c r="AE4" s="169" t="s">
        <v>40</v>
      </c>
      <c r="AF4" s="169" t="s">
        <v>41</v>
      </c>
      <c r="AG4" s="169" t="s">
        <v>42</v>
      </c>
      <c r="AH4" s="169" t="s">
        <v>317</v>
      </c>
    </row>
    <row r="5" spans="1:34" ht="20" x14ac:dyDescent="0.35">
      <c r="A5" s="166" t="str">
        <f t="shared" ref="A5:A68" si="0">IF(AA5&gt;0,"x","")</f>
        <v>x</v>
      </c>
      <c r="B5" s="180" t="s">
        <v>318</v>
      </c>
      <c r="C5" s="180"/>
      <c r="D5" s="181" t="s">
        <v>319</v>
      </c>
      <c r="E5" s="181" t="s">
        <v>517</v>
      </c>
      <c r="F5" s="181" t="s">
        <v>518</v>
      </c>
      <c r="G5" s="181" t="s">
        <v>519</v>
      </c>
      <c r="H5" s="183"/>
      <c r="I5" s="183">
        <v>1</v>
      </c>
      <c r="J5" s="183"/>
      <c r="K5" s="183"/>
      <c r="L5" s="183" t="s">
        <v>312</v>
      </c>
      <c r="M5" s="183">
        <f>SUM(H5:K5)</f>
        <v>1</v>
      </c>
      <c r="N5" s="184">
        <v>1</v>
      </c>
      <c r="O5" s="185">
        <v>5000</v>
      </c>
      <c r="P5" s="186">
        <f t="shared" ref="P5:P30" si="1">N5*O5</f>
        <v>5000</v>
      </c>
      <c r="Q5" s="185"/>
      <c r="R5" s="184">
        <f>N5</f>
        <v>1</v>
      </c>
      <c r="S5" s="185">
        <f>2656*12*R5</f>
        <v>31872</v>
      </c>
      <c r="T5" s="186">
        <f t="shared" ref="T5:T28" si="2">S5*R5</f>
        <v>31872</v>
      </c>
      <c r="U5" s="180" t="s">
        <v>520</v>
      </c>
      <c r="V5" s="168">
        <f t="shared" ref="V5:V73" si="3">P5+T5</f>
        <v>36872</v>
      </c>
      <c r="W5" s="168">
        <f>T5</f>
        <v>31872</v>
      </c>
      <c r="X5" s="168">
        <f>W5</f>
        <v>31872</v>
      </c>
      <c r="Y5" s="168">
        <f t="shared" ref="Y5:AA7" si="4">X5</f>
        <v>31872</v>
      </c>
      <c r="Z5" s="168">
        <f t="shared" si="4"/>
        <v>31872</v>
      </c>
      <c r="AA5" s="168">
        <f t="shared" si="4"/>
        <v>31872</v>
      </c>
      <c r="AB5" s="168">
        <f t="shared" ref="AB5:AB76" si="5">IF(C5="R",P5,)</f>
        <v>0</v>
      </c>
      <c r="AC5" s="168">
        <f t="shared" ref="AC5:AD8" si="6">Z5</f>
        <v>31872</v>
      </c>
      <c r="AD5" s="168">
        <f t="shared" si="6"/>
        <v>31872</v>
      </c>
      <c r="AE5" s="168">
        <f>AD5</f>
        <v>31872</v>
      </c>
      <c r="AF5" s="168">
        <f t="shared" ref="AF5:AG7" si="7">AE5</f>
        <v>31872</v>
      </c>
      <c r="AG5" s="168">
        <f t="shared" si="7"/>
        <v>31872</v>
      </c>
      <c r="AH5" s="168">
        <f t="shared" ref="AH5:AH8" si="8">SUM(V5:AF5)</f>
        <v>323720</v>
      </c>
    </row>
    <row r="6" spans="1:34" x14ac:dyDescent="0.35">
      <c r="A6" s="166" t="str">
        <f t="shared" si="0"/>
        <v>x</v>
      </c>
      <c r="B6" s="180" t="s">
        <v>318</v>
      </c>
      <c r="C6" s="180"/>
      <c r="D6" s="181" t="s">
        <v>521</v>
      </c>
      <c r="E6" s="180" t="s">
        <v>522</v>
      </c>
      <c r="F6" s="181" t="s">
        <v>518</v>
      </c>
      <c r="G6" s="181" t="s">
        <v>519</v>
      </c>
      <c r="H6" s="183"/>
      <c r="I6" s="183">
        <v>1</v>
      </c>
      <c r="J6" s="183"/>
      <c r="K6" s="183"/>
      <c r="L6" s="183" t="s">
        <v>312</v>
      </c>
      <c r="M6" s="183">
        <f t="shared" ref="M6:M69" si="9">SUM(H6:K6)</f>
        <v>1</v>
      </c>
      <c r="N6" s="184">
        <v>1</v>
      </c>
      <c r="O6" s="185"/>
      <c r="P6" s="186">
        <f t="shared" si="1"/>
        <v>0</v>
      </c>
      <c r="Q6" s="185"/>
      <c r="R6" s="184">
        <f>N6</f>
        <v>1</v>
      </c>
      <c r="S6" s="185">
        <f>(2000+2400)*12*R6</f>
        <v>52800</v>
      </c>
      <c r="T6" s="186">
        <f t="shared" si="2"/>
        <v>52800</v>
      </c>
      <c r="U6" s="180"/>
      <c r="V6" s="168">
        <f t="shared" si="3"/>
        <v>52800</v>
      </c>
      <c r="W6" s="168">
        <f>T6</f>
        <v>52800</v>
      </c>
      <c r="X6" s="168">
        <f>W6</f>
        <v>52800</v>
      </c>
      <c r="Y6" s="168">
        <f t="shared" si="4"/>
        <v>52800</v>
      </c>
      <c r="Z6" s="168">
        <f t="shared" si="4"/>
        <v>52800</v>
      </c>
      <c r="AA6" s="168">
        <f t="shared" si="4"/>
        <v>52800</v>
      </c>
      <c r="AB6" s="168">
        <f t="shared" si="5"/>
        <v>0</v>
      </c>
      <c r="AC6" s="168">
        <f t="shared" si="6"/>
        <v>52800</v>
      </c>
      <c r="AD6" s="168">
        <f t="shared" si="6"/>
        <v>52800</v>
      </c>
      <c r="AE6" s="168">
        <f>AD6</f>
        <v>52800</v>
      </c>
      <c r="AF6" s="168">
        <f t="shared" si="7"/>
        <v>52800</v>
      </c>
      <c r="AG6" s="168">
        <f t="shared" si="7"/>
        <v>52800</v>
      </c>
      <c r="AH6" s="168">
        <f t="shared" si="8"/>
        <v>528000</v>
      </c>
    </row>
    <row r="7" spans="1:34" x14ac:dyDescent="0.35">
      <c r="A7" s="166" t="str">
        <f t="shared" si="0"/>
        <v>x</v>
      </c>
      <c r="B7" s="180" t="s">
        <v>318</v>
      </c>
      <c r="C7" s="180"/>
      <c r="D7" s="181" t="s">
        <v>521</v>
      </c>
      <c r="E7" s="180" t="s">
        <v>522</v>
      </c>
      <c r="F7" s="181" t="s">
        <v>518</v>
      </c>
      <c r="G7" s="181" t="s">
        <v>519</v>
      </c>
      <c r="H7" s="183">
        <v>1</v>
      </c>
      <c r="I7" s="183"/>
      <c r="K7" s="183"/>
      <c r="L7" s="183" t="s">
        <v>311</v>
      </c>
      <c r="M7" s="183">
        <f t="shared" si="9"/>
        <v>1</v>
      </c>
      <c r="N7" s="184">
        <v>1</v>
      </c>
      <c r="O7" s="185"/>
      <c r="P7" s="186">
        <f t="shared" si="1"/>
        <v>0</v>
      </c>
      <c r="Q7" s="185"/>
      <c r="R7" s="184">
        <f>N7</f>
        <v>1</v>
      </c>
      <c r="S7" s="185">
        <f>(20000-2000-2400)*12*R7</f>
        <v>187200</v>
      </c>
      <c r="T7" s="186">
        <f t="shared" si="2"/>
        <v>187200</v>
      </c>
      <c r="U7" s="180"/>
      <c r="V7" s="168">
        <f t="shared" si="3"/>
        <v>187200</v>
      </c>
      <c r="W7" s="168">
        <f>T7</f>
        <v>187200</v>
      </c>
      <c r="X7" s="168">
        <f>W7</f>
        <v>187200</v>
      </c>
      <c r="Y7" s="168">
        <f t="shared" si="4"/>
        <v>187200</v>
      </c>
      <c r="Z7" s="168">
        <f t="shared" si="4"/>
        <v>187200</v>
      </c>
      <c r="AA7" s="168">
        <f t="shared" si="4"/>
        <v>187200</v>
      </c>
      <c r="AB7" s="168">
        <f t="shared" si="5"/>
        <v>0</v>
      </c>
      <c r="AC7" s="168">
        <f t="shared" si="6"/>
        <v>187200</v>
      </c>
      <c r="AD7" s="168">
        <f t="shared" si="6"/>
        <v>187200</v>
      </c>
      <c r="AE7" s="168">
        <f>AD7</f>
        <v>187200</v>
      </c>
      <c r="AF7" s="168">
        <f t="shared" si="7"/>
        <v>187200</v>
      </c>
      <c r="AG7" s="168">
        <f t="shared" si="7"/>
        <v>187200</v>
      </c>
      <c r="AH7" s="168">
        <f t="shared" si="8"/>
        <v>1872000</v>
      </c>
    </row>
    <row r="8" spans="1:34" ht="20" x14ac:dyDescent="0.35">
      <c r="A8" s="166" t="str">
        <f t="shared" si="0"/>
        <v/>
      </c>
      <c r="B8" s="180" t="s">
        <v>321</v>
      </c>
      <c r="C8" s="180"/>
      <c r="D8" s="180"/>
      <c r="E8" s="180" t="s">
        <v>522</v>
      </c>
      <c r="F8" s="180" t="s">
        <v>523</v>
      </c>
      <c r="G8" s="180" t="s">
        <v>322</v>
      </c>
      <c r="H8" s="187"/>
      <c r="I8" s="187">
        <v>1</v>
      </c>
      <c r="J8" s="187"/>
      <c r="K8" s="187"/>
      <c r="L8" s="187" t="s">
        <v>312</v>
      </c>
      <c r="M8" s="183">
        <f t="shared" si="9"/>
        <v>1</v>
      </c>
      <c r="N8" s="184">
        <v>1</v>
      </c>
      <c r="O8" s="185">
        <v>2000</v>
      </c>
      <c r="P8" s="186">
        <f t="shared" si="1"/>
        <v>2000</v>
      </c>
      <c r="Q8" s="185"/>
      <c r="R8" s="184">
        <v>1</v>
      </c>
      <c r="S8" s="188"/>
      <c r="T8" s="186">
        <f t="shared" si="2"/>
        <v>0</v>
      </c>
      <c r="U8" s="180"/>
      <c r="V8" s="168">
        <f t="shared" si="3"/>
        <v>2000</v>
      </c>
      <c r="W8" s="168">
        <f t="shared" ref="W8" si="10">T8</f>
        <v>0</v>
      </c>
      <c r="X8" s="168">
        <f t="shared" ref="X8:AA8" si="11">W8</f>
        <v>0</v>
      </c>
      <c r="Y8" s="168">
        <f t="shared" si="11"/>
        <v>0</v>
      </c>
      <c r="Z8" s="168">
        <f t="shared" si="11"/>
        <v>0</v>
      </c>
      <c r="AA8" s="168">
        <f t="shared" si="11"/>
        <v>0</v>
      </c>
      <c r="AB8" s="168">
        <f t="shared" si="5"/>
        <v>0</v>
      </c>
      <c r="AC8" s="168">
        <f t="shared" si="6"/>
        <v>0</v>
      </c>
      <c r="AD8" s="168">
        <f t="shared" si="6"/>
        <v>0</v>
      </c>
      <c r="AE8" s="168">
        <f t="shared" ref="AE8:AG8" si="12">AD8</f>
        <v>0</v>
      </c>
      <c r="AF8" s="168">
        <f t="shared" si="12"/>
        <v>0</v>
      </c>
      <c r="AG8" s="168">
        <f t="shared" si="12"/>
        <v>0</v>
      </c>
      <c r="AH8" s="168">
        <f t="shared" si="8"/>
        <v>2000</v>
      </c>
    </row>
    <row r="9" spans="1:34" ht="40" x14ac:dyDescent="0.35">
      <c r="A9" s="166" t="str">
        <f t="shared" si="0"/>
        <v>x</v>
      </c>
      <c r="B9" s="189" t="s">
        <v>323</v>
      </c>
      <c r="C9" s="189"/>
      <c r="D9" s="180" t="s">
        <v>521</v>
      </c>
      <c r="E9" s="180" t="s">
        <v>522</v>
      </c>
      <c r="F9" s="180" t="s">
        <v>524</v>
      </c>
      <c r="G9" s="180" t="s">
        <v>326</v>
      </c>
      <c r="H9" s="187">
        <v>1</v>
      </c>
      <c r="I9" s="187"/>
      <c r="J9" s="187"/>
      <c r="K9" s="187"/>
      <c r="L9" s="187" t="s">
        <v>311</v>
      </c>
      <c r="M9" s="183">
        <f t="shared" si="9"/>
        <v>1</v>
      </c>
      <c r="N9" s="184">
        <v>1</v>
      </c>
      <c r="O9" s="185"/>
      <c r="P9" s="186">
        <f t="shared" si="1"/>
        <v>0</v>
      </c>
      <c r="Q9" s="180"/>
      <c r="R9" s="184">
        <f>N9</f>
        <v>1</v>
      </c>
      <c r="S9" s="185">
        <v>55480</v>
      </c>
      <c r="T9" s="186">
        <f t="shared" si="2"/>
        <v>55480</v>
      </c>
      <c r="U9" s="180" t="s">
        <v>525</v>
      </c>
      <c r="V9" s="168">
        <f t="shared" si="3"/>
        <v>55480</v>
      </c>
      <c r="W9" s="307">
        <f>(T9+T9*$W$2)/2</f>
        <v>27740</v>
      </c>
      <c r="X9" s="307">
        <f>W9+W9*$W$2</f>
        <v>27740</v>
      </c>
      <c r="Y9" s="307">
        <f>X9+X9*$W$2</f>
        <v>27740</v>
      </c>
      <c r="Z9" s="307">
        <f t="shared" ref="Z9:AA9" si="13">Y9+Y9*$W$2</f>
        <v>27740</v>
      </c>
      <c r="AA9" s="307">
        <f t="shared" si="13"/>
        <v>27740</v>
      </c>
      <c r="AB9" s="168">
        <f t="shared" si="5"/>
        <v>0</v>
      </c>
      <c r="AC9" s="168">
        <f>AA9+AA9*$W$2</f>
        <v>27740</v>
      </c>
      <c r="AD9" s="307">
        <f>AC9+AC9*$W$2</f>
        <v>27740</v>
      </c>
      <c r="AE9" s="307">
        <f t="shared" ref="AE9:AH12" si="14">AD9+AD9*$W$2</f>
        <v>27740</v>
      </c>
      <c r="AF9" s="307">
        <f t="shared" si="14"/>
        <v>27740</v>
      </c>
      <c r="AG9" s="307">
        <f t="shared" si="14"/>
        <v>27740</v>
      </c>
      <c r="AH9" s="168">
        <f t="shared" ref="AH9" si="15">SUM(V9:AF9)</f>
        <v>305140</v>
      </c>
    </row>
    <row r="10" spans="1:34" ht="20" x14ac:dyDescent="0.35">
      <c r="A10" s="166" t="str">
        <f t="shared" si="0"/>
        <v>x</v>
      </c>
      <c r="B10" s="189" t="s">
        <v>323</v>
      </c>
      <c r="C10" s="189"/>
      <c r="D10" s="180" t="s">
        <v>521</v>
      </c>
      <c r="E10" s="180" t="s">
        <v>522</v>
      </c>
      <c r="F10" s="180" t="s">
        <v>524</v>
      </c>
      <c r="G10" s="180" t="s">
        <v>326</v>
      </c>
      <c r="H10" s="187"/>
      <c r="I10" s="187">
        <v>1</v>
      </c>
      <c r="J10" s="187"/>
      <c r="K10" s="187"/>
      <c r="L10" s="187" t="s">
        <v>312</v>
      </c>
      <c r="M10" s="183">
        <f t="shared" si="9"/>
        <v>1</v>
      </c>
      <c r="N10" s="184">
        <v>1</v>
      </c>
      <c r="O10" s="185"/>
      <c r="P10" s="186">
        <f t="shared" si="1"/>
        <v>0</v>
      </c>
      <c r="Q10" s="180"/>
      <c r="R10" s="184">
        <f>N10</f>
        <v>1</v>
      </c>
      <c r="S10" s="185">
        <v>22785</v>
      </c>
      <c r="T10" s="186">
        <f t="shared" si="2"/>
        <v>22785</v>
      </c>
      <c r="U10" s="180" t="s">
        <v>526</v>
      </c>
      <c r="V10" s="168">
        <f t="shared" si="3"/>
        <v>22785</v>
      </c>
      <c r="W10" s="307">
        <f>(T10+T10*$W$2)/2</f>
        <v>11392.5</v>
      </c>
      <c r="X10" s="307">
        <f>W10+W10*$W$2</f>
        <v>11392.5</v>
      </c>
      <c r="Y10" s="307">
        <f t="shared" ref="Y10:AA12" si="16">X10+X10*$W$2</f>
        <v>11392.5</v>
      </c>
      <c r="Z10" s="307">
        <f t="shared" si="16"/>
        <v>11392.5</v>
      </c>
      <c r="AA10" s="307">
        <f t="shared" si="16"/>
        <v>11392.5</v>
      </c>
      <c r="AB10" s="168">
        <f t="shared" si="5"/>
        <v>0</v>
      </c>
      <c r="AC10" s="168">
        <f>AA10+AA10*$W$2</f>
        <v>11392.5</v>
      </c>
      <c r="AD10" s="307">
        <f>AC10+AC10*$W$2</f>
        <v>11392.5</v>
      </c>
      <c r="AE10" s="307">
        <f t="shared" si="14"/>
        <v>11392.5</v>
      </c>
      <c r="AF10" s="307">
        <f t="shared" si="14"/>
        <v>11392.5</v>
      </c>
      <c r="AG10" s="307">
        <f t="shared" si="14"/>
        <v>11392.5</v>
      </c>
      <c r="AH10" s="307">
        <f t="shared" si="14"/>
        <v>11392.5</v>
      </c>
    </row>
    <row r="11" spans="1:34" x14ac:dyDescent="0.35">
      <c r="A11" s="166" t="str">
        <f t="shared" si="0"/>
        <v>x</v>
      </c>
      <c r="B11" s="189" t="s">
        <v>366</v>
      </c>
      <c r="C11" s="189"/>
      <c r="D11" s="180" t="s">
        <v>521</v>
      </c>
      <c r="E11" s="180" t="s">
        <v>522</v>
      </c>
      <c r="F11" s="180" t="s">
        <v>527</v>
      </c>
      <c r="G11" s="180" t="s">
        <v>528</v>
      </c>
      <c r="H11" s="187">
        <v>1</v>
      </c>
      <c r="J11" s="187"/>
      <c r="K11" s="187"/>
      <c r="L11" s="187" t="s">
        <v>311</v>
      </c>
      <c r="M11" s="183">
        <f t="shared" si="9"/>
        <v>1</v>
      </c>
      <c r="N11" s="184">
        <v>1</v>
      </c>
      <c r="O11" s="185"/>
      <c r="P11" s="186">
        <f t="shared" si="1"/>
        <v>0</v>
      </c>
      <c r="Q11" s="180"/>
      <c r="R11" s="184">
        <f>N11</f>
        <v>1</v>
      </c>
      <c r="S11" s="185">
        <v>20000</v>
      </c>
      <c r="T11" s="186">
        <f t="shared" si="2"/>
        <v>20000</v>
      </c>
      <c r="U11" s="180"/>
      <c r="V11" s="168">
        <f t="shared" si="3"/>
        <v>20000</v>
      </c>
      <c r="W11" s="307">
        <f t="shared" ref="W11:W76" si="17">T11+T11*$W$2</f>
        <v>20000</v>
      </c>
      <c r="X11" s="307">
        <f>W11+W11*$W$2</f>
        <v>20000</v>
      </c>
      <c r="Y11" s="307">
        <f t="shared" si="16"/>
        <v>20000</v>
      </c>
      <c r="Z11" s="307">
        <f t="shared" si="16"/>
        <v>20000</v>
      </c>
      <c r="AA11" s="307">
        <f t="shared" si="16"/>
        <v>20000</v>
      </c>
      <c r="AB11" s="168">
        <f t="shared" si="5"/>
        <v>0</v>
      </c>
      <c r="AC11" s="168">
        <f>AA11+AA11*$W$2</f>
        <v>20000</v>
      </c>
      <c r="AD11" s="307">
        <f>AC11+AC11*$W$2</f>
        <v>20000</v>
      </c>
      <c r="AE11" s="307">
        <f t="shared" si="14"/>
        <v>20000</v>
      </c>
      <c r="AF11" s="307">
        <f t="shared" si="14"/>
        <v>20000</v>
      </c>
      <c r="AG11" s="307">
        <f t="shared" si="14"/>
        <v>20000</v>
      </c>
      <c r="AH11" s="307">
        <f t="shared" si="14"/>
        <v>20000</v>
      </c>
    </row>
    <row r="12" spans="1:34" x14ac:dyDescent="0.35">
      <c r="A12" s="166" t="str">
        <f t="shared" si="0"/>
        <v>x</v>
      </c>
      <c r="B12" s="189" t="s">
        <v>366</v>
      </c>
      <c r="C12" s="189"/>
      <c r="D12" s="180" t="s">
        <v>521</v>
      </c>
      <c r="E12" s="180" t="s">
        <v>522</v>
      </c>
      <c r="F12" s="180" t="s">
        <v>527</v>
      </c>
      <c r="G12" s="180" t="s">
        <v>528</v>
      </c>
      <c r="H12" s="187"/>
      <c r="I12" s="187">
        <v>1</v>
      </c>
      <c r="J12" s="187"/>
      <c r="K12" s="187"/>
      <c r="L12" s="187" t="s">
        <v>312</v>
      </c>
      <c r="M12" s="183">
        <f t="shared" si="9"/>
        <v>1</v>
      </c>
      <c r="N12" s="184">
        <v>1</v>
      </c>
      <c r="O12" s="185"/>
      <c r="P12" s="186">
        <f t="shared" si="1"/>
        <v>0</v>
      </c>
      <c r="Q12" s="180"/>
      <c r="R12" s="184">
        <f t="shared" ref="R12:R31" si="18">N12</f>
        <v>1</v>
      </c>
      <c r="S12" s="185">
        <v>20000</v>
      </c>
      <c r="T12" s="186">
        <f t="shared" si="2"/>
        <v>20000</v>
      </c>
      <c r="U12" s="180"/>
      <c r="V12" s="168">
        <f t="shared" si="3"/>
        <v>20000</v>
      </c>
      <c r="W12" s="307">
        <f t="shared" si="17"/>
        <v>20000</v>
      </c>
      <c r="X12" s="307">
        <f>W12+W12*$W$2</f>
        <v>20000</v>
      </c>
      <c r="Y12" s="307">
        <f t="shared" si="16"/>
        <v>20000</v>
      </c>
      <c r="Z12" s="307">
        <f t="shared" si="16"/>
        <v>20000</v>
      </c>
      <c r="AA12" s="307">
        <f t="shared" si="16"/>
        <v>20000</v>
      </c>
      <c r="AB12" s="168">
        <f t="shared" si="5"/>
        <v>0</v>
      </c>
      <c r="AC12" s="168">
        <f>AA12+AA12*$W$2</f>
        <v>20000</v>
      </c>
      <c r="AD12" s="307">
        <f>AC12+AC12*$W$2</f>
        <v>20000</v>
      </c>
      <c r="AE12" s="307">
        <f t="shared" si="14"/>
        <v>20000</v>
      </c>
      <c r="AF12" s="307">
        <f t="shared" si="14"/>
        <v>20000</v>
      </c>
      <c r="AG12" s="307">
        <f t="shared" si="14"/>
        <v>20000</v>
      </c>
      <c r="AH12" s="307">
        <f t="shared" si="14"/>
        <v>20000</v>
      </c>
    </row>
    <row r="13" spans="1:34" x14ac:dyDescent="0.35">
      <c r="A13" s="166" t="str">
        <f t="shared" si="0"/>
        <v>x</v>
      </c>
      <c r="B13" s="189" t="s">
        <v>529</v>
      </c>
      <c r="C13" s="189"/>
      <c r="D13" s="180" t="s">
        <v>521</v>
      </c>
      <c r="E13" s="180" t="s">
        <v>522</v>
      </c>
      <c r="F13" s="180" t="s">
        <v>527</v>
      </c>
      <c r="G13" s="180" t="s">
        <v>529</v>
      </c>
      <c r="H13" s="187"/>
      <c r="I13" s="187">
        <v>1</v>
      </c>
      <c r="J13" s="187"/>
      <c r="K13" s="187"/>
      <c r="L13" s="187" t="s">
        <v>312</v>
      </c>
      <c r="M13" s="183">
        <f t="shared" si="9"/>
        <v>1</v>
      </c>
      <c r="N13" s="184">
        <v>1</v>
      </c>
      <c r="O13" s="185"/>
      <c r="P13" s="186">
        <f t="shared" si="1"/>
        <v>0</v>
      </c>
      <c r="Q13" s="180"/>
      <c r="R13" s="184">
        <f t="shared" si="18"/>
        <v>1</v>
      </c>
      <c r="S13" s="185">
        <v>4000</v>
      </c>
      <c r="T13" s="186">
        <f t="shared" si="2"/>
        <v>4000</v>
      </c>
      <c r="U13" s="180"/>
      <c r="V13" s="168">
        <f t="shared" si="3"/>
        <v>4000</v>
      </c>
      <c r="W13" s="307">
        <f t="shared" si="17"/>
        <v>4000</v>
      </c>
      <c r="X13" s="307">
        <f t="shared" ref="X13:AA76" si="19">W13+W13*$W$2</f>
        <v>4000</v>
      </c>
      <c r="Y13" s="307">
        <f t="shared" si="19"/>
        <v>4000</v>
      </c>
      <c r="Z13" s="307">
        <f t="shared" si="19"/>
        <v>4000</v>
      </c>
      <c r="AA13" s="307">
        <f t="shared" si="19"/>
        <v>4000</v>
      </c>
      <c r="AB13" s="168">
        <f t="shared" si="5"/>
        <v>0</v>
      </c>
      <c r="AC13" s="168">
        <f t="shared" ref="AC13:AC76" si="20">AA13+AA13*$W$2</f>
        <v>4000</v>
      </c>
      <c r="AD13" s="307">
        <f t="shared" ref="AD13:AH17" si="21">AC13+AC13*$W$2</f>
        <v>4000</v>
      </c>
      <c r="AE13" s="307">
        <f t="shared" si="21"/>
        <v>4000</v>
      </c>
      <c r="AF13" s="307">
        <f t="shared" si="21"/>
        <v>4000</v>
      </c>
      <c r="AG13" s="307">
        <f t="shared" si="21"/>
        <v>4000</v>
      </c>
      <c r="AH13" s="307">
        <f t="shared" si="21"/>
        <v>4000</v>
      </c>
    </row>
    <row r="14" spans="1:34" x14ac:dyDescent="0.35">
      <c r="A14" s="166" t="str">
        <f t="shared" si="0"/>
        <v>x</v>
      </c>
      <c r="B14" s="189" t="s">
        <v>530</v>
      </c>
      <c r="C14" s="189"/>
      <c r="D14" s="180" t="s">
        <v>521</v>
      </c>
      <c r="E14" s="180" t="s">
        <v>522</v>
      </c>
      <c r="F14" s="180" t="s">
        <v>527</v>
      </c>
      <c r="G14" s="180" t="s">
        <v>531</v>
      </c>
      <c r="H14" s="187">
        <v>1</v>
      </c>
      <c r="J14" s="187"/>
      <c r="K14" s="187"/>
      <c r="L14" s="187" t="s">
        <v>311</v>
      </c>
      <c r="M14" s="183">
        <f t="shared" si="9"/>
        <v>1</v>
      </c>
      <c r="N14" s="184">
        <v>1</v>
      </c>
      <c r="O14" s="185"/>
      <c r="P14" s="186">
        <f t="shared" si="1"/>
        <v>0</v>
      </c>
      <c r="Q14" s="180"/>
      <c r="R14" s="184">
        <f t="shared" si="18"/>
        <v>1</v>
      </c>
      <c r="S14" s="185">
        <v>11000</v>
      </c>
      <c r="T14" s="186">
        <f t="shared" si="2"/>
        <v>11000</v>
      </c>
      <c r="U14" s="180"/>
      <c r="V14" s="168">
        <f t="shared" si="3"/>
        <v>11000</v>
      </c>
      <c r="W14" s="307">
        <f t="shared" si="17"/>
        <v>11000</v>
      </c>
      <c r="X14" s="307">
        <f t="shared" si="19"/>
        <v>11000</v>
      </c>
      <c r="Y14" s="307">
        <f t="shared" si="19"/>
        <v>11000</v>
      </c>
      <c r="Z14" s="307">
        <f t="shared" si="19"/>
        <v>11000</v>
      </c>
      <c r="AA14" s="307">
        <f t="shared" si="19"/>
        <v>11000</v>
      </c>
      <c r="AB14" s="168">
        <f t="shared" si="5"/>
        <v>0</v>
      </c>
      <c r="AC14" s="168">
        <f t="shared" si="20"/>
        <v>11000</v>
      </c>
      <c r="AD14" s="307">
        <f t="shared" si="21"/>
        <v>11000</v>
      </c>
      <c r="AE14" s="307">
        <f t="shared" si="21"/>
        <v>11000</v>
      </c>
      <c r="AF14" s="307">
        <f t="shared" si="21"/>
        <v>11000</v>
      </c>
      <c r="AG14" s="307">
        <f t="shared" si="21"/>
        <v>11000</v>
      </c>
      <c r="AH14" s="307">
        <f t="shared" si="21"/>
        <v>11000</v>
      </c>
    </row>
    <row r="15" spans="1:34" x14ac:dyDescent="0.35">
      <c r="A15" s="166" t="str">
        <f t="shared" si="0"/>
        <v>x</v>
      </c>
      <c r="B15" s="189" t="s">
        <v>530</v>
      </c>
      <c r="C15" s="189"/>
      <c r="D15" s="180" t="s">
        <v>521</v>
      </c>
      <c r="E15" s="180" t="s">
        <v>522</v>
      </c>
      <c r="F15" s="180" t="s">
        <v>527</v>
      </c>
      <c r="G15" s="180" t="s">
        <v>531</v>
      </c>
      <c r="H15" s="187"/>
      <c r="I15" s="187">
        <v>1</v>
      </c>
      <c r="J15" s="187"/>
      <c r="K15" s="187"/>
      <c r="L15" s="187" t="s">
        <v>312</v>
      </c>
      <c r="M15" s="183">
        <f t="shared" si="9"/>
        <v>1</v>
      </c>
      <c r="N15" s="184">
        <v>1</v>
      </c>
      <c r="O15" s="185"/>
      <c r="P15" s="186">
        <f t="shared" si="1"/>
        <v>0</v>
      </c>
      <c r="Q15" s="180"/>
      <c r="R15" s="184">
        <f t="shared" si="18"/>
        <v>1</v>
      </c>
      <c r="S15" s="185">
        <v>4000</v>
      </c>
      <c r="T15" s="186">
        <f t="shared" si="2"/>
        <v>4000</v>
      </c>
      <c r="U15" s="180"/>
      <c r="V15" s="168">
        <f t="shared" si="3"/>
        <v>4000</v>
      </c>
      <c r="W15" s="307">
        <f t="shared" si="17"/>
        <v>4000</v>
      </c>
      <c r="X15" s="307">
        <f t="shared" si="19"/>
        <v>4000</v>
      </c>
      <c r="Y15" s="307">
        <f t="shared" si="19"/>
        <v>4000</v>
      </c>
      <c r="Z15" s="307">
        <f t="shared" si="19"/>
        <v>4000</v>
      </c>
      <c r="AA15" s="307">
        <f t="shared" si="19"/>
        <v>4000</v>
      </c>
      <c r="AB15" s="168">
        <f t="shared" si="5"/>
        <v>0</v>
      </c>
      <c r="AC15" s="168">
        <f t="shared" si="20"/>
        <v>4000</v>
      </c>
      <c r="AD15" s="307">
        <f t="shared" si="21"/>
        <v>4000</v>
      </c>
      <c r="AE15" s="307">
        <f t="shared" si="21"/>
        <v>4000</v>
      </c>
      <c r="AF15" s="307">
        <f t="shared" si="21"/>
        <v>4000</v>
      </c>
      <c r="AG15" s="307">
        <f t="shared" si="21"/>
        <v>4000</v>
      </c>
      <c r="AH15" s="307">
        <f t="shared" si="21"/>
        <v>4000</v>
      </c>
    </row>
    <row r="16" spans="1:34" x14ac:dyDescent="0.35">
      <c r="A16" s="166" t="str">
        <f t="shared" si="0"/>
        <v>x</v>
      </c>
      <c r="B16" s="189" t="s">
        <v>532</v>
      </c>
      <c r="C16" s="189"/>
      <c r="D16" s="180" t="s">
        <v>521</v>
      </c>
      <c r="E16" s="180" t="s">
        <v>522</v>
      </c>
      <c r="F16" s="180" t="s">
        <v>523</v>
      </c>
      <c r="G16" s="180" t="s">
        <v>331</v>
      </c>
      <c r="H16" s="187"/>
      <c r="I16" s="187"/>
      <c r="J16" s="187">
        <v>1</v>
      </c>
      <c r="K16" s="187"/>
      <c r="L16" s="187" t="s">
        <v>313</v>
      </c>
      <c r="M16" s="183">
        <f t="shared" si="9"/>
        <v>1</v>
      </c>
      <c r="N16" s="184">
        <v>1</v>
      </c>
      <c r="O16" s="185"/>
      <c r="P16" s="186">
        <f t="shared" si="1"/>
        <v>0</v>
      </c>
      <c r="Q16" s="180"/>
      <c r="R16" s="184">
        <f t="shared" si="18"/>
        <v>1</v>
      </c>
      <c r="S16" s="185">
        <v>33000</v>
      </c>
      <c r="T16" s="186">
        <f t="shared" si="2"/>
        <v>33000</v>
      </c>
      <c r="U16" s="180"/>
      <c r="V16" s="168">
        <f t="shared" si="3"/>
        <v>33000</v>
      </c>
      <c r="W16" s="307">
        <f t="shared" si="17"/>
        <v>33000</v>
      </c>
      <c r="X16" s="307">
        <f t="shared" si="19"/>
        <v>33000</v>
      </c>
      <c r="Y16" s="307">
        <f t="shared" si="19"/>
        <v>33000</v>
      </c>
      <c r="Z16" s="307">
        <f t="shared" si="19"/>
        <v>33000</v>
      </c>
      <c r="AA16" s="307">
        <f t="shared" si="19"/>
        <v>33000</v>
      </c>
      <c r="AB16" s="168">
        <f t="shared" si="5"/>
        <v>0</v>
      </c>
      <c r="AC16" s="168">
        <f t="shared" si="20"/>
        <v>33000</v>
      </c>
      <c r="AD16" s="307">
        <f t="shared" si="21"/>
        <v>33000</v>
      </c>
      <c r="AE16" s="307">
        <f t="shared" si="21"/>
        <v>33000</v>
      </c>
      <c r="AF16" s="307">
        <f t="shared" si="21"/>
        <v>33000</v>
      </c>
      <c r="AG16" s="307">
        <f t="shared" si="21"/>
        <v>33000</v>
      </c>
      <c r="AH16" s="307">
        <f t="shared" si="21"/>
        <v>33000</v>
      </c>
    </row>
    <row r="17" spans="1:34" x14ac:dyDescent="0.35">
      <c r="A17" s="166" t="str">
        <f t="shared" si="0"/>
        <v>x</v>
      </c>
      <c r="B17" s="189" t="s">
        <v>533</v>
      </c>
      <c r="C17" s="189"/>
      <c r="D17" s="180" t="s">
        <v>521</v>
      </c>
      <c r="E17" s="180" t="s">
        <v>522</v>
      </c>
      <c r="F17" s="180" t="s">
        <v>523</v>
      </c>
      <c r="G17" s="180" t="s">
        <v>342</v>
      </c>
      <c r="H17" s="187">
        <v>1</v>
      </c>
      <c r="I17" s="187"/>
      <c r="J17" s="187"/>
      <c r="K17" s="187"/>
      <c r="L17" s="187" t="s">
        <v>311</v>
      </c>
      <c r="M17" s="183">
        <f t="shared" si="9"/>
        <v>1</v>
      </c>
      <c r="N17" s="184">
        <v>1</v>
      </c>
      <c r="O17" s="185"/>
      <c r="P17" s="186">
        <f t="shared" si="1"/>
        <v>0</v>
      </c>
      <c r="Q17" s="180"/>
      <c r="R17" s="184">
        <f t="shared" si="18"/>
        <v>1</v>
      </c>
      <c r="S17" s="185">
        <v>9000</v>
      </c>
      <c r="T17" s="186">
        <f t="shared" si="2"/>
        <v>9000</v>
      </c>
      <c r="U17" s="180"/>
      <c r="V17" s="168">
        <f t="shared" si="3"/>
        <v>9000</v>
      </c>
      <c r="W17" s="307">
        <f t="shared" si="17"/>
        <v>9000</v>
      </c>
      <c r="X17" s="307">
        <f t="shared" si="19"/>
        <v>9000</v>
      </c>
      <c r="Y17" s="307">
        <f t="shared" si="19"/>
        <v>9000</v>
      </c>
      <c r="Z17" s="307">
        <f t="shared" si="19"/>
        <v>9000</v>
      </c>
      <c r="AA17" s="307">
        <f t="shared" si="19"/>
        <v>9000</v>
      </c>
      <c r="AB17" s="168">
        <f t="shared" si="5"/>
        <v>0</v>
      </c>
      <c r="AC17" s="168">
        <f t="shared" si="20"/>
        <v>9000</v>
      </c>
      <c r="AD17" s="307">
        <f t="shared" si="21"/>
        <v>9000</v>
      </c>
      <c r="AE17" s="307">
        <f t="shared" si="21"/>
        <v>9000</v>
      </c>
      <c r="AF17" s="307">
        <f t="shared" si="21"/>
        <v>9000</v>
      </c>
      <c r="AG17" s="307">
        <f t="shared" si="21"/>
        <v>9000</v>
      </c>
      <c r="AH17" s="307">
        <f t="shared" si="21"/>
        <v>9000</v>
      </c>
    </row>
    <row r="18" spans="1:34" x14ac:dyDescent="0.35">
      <c r="A18" s="166" t="str">
        <f t="shared" si="0"/>
        <v/>
      </c>
      <c r="B18" s="189" t="s">
        <v>534</v>
      </c>
      <c r="C18" s="189"/>
      <c r="D18" s="180" t="s">
        <v>521</v>
      </c>
      <c r="E18" s="180" t="s">
        <v>522</v>
      </c>
      <c r="F18" s="180" t="s">
        <v>523</v>
      </c>
      <c r="G18" s="180" t="s">
        <v>535</v>
      </c>
      <c r="H18" s="187"/>
      <c r="I18" s="187">
        <v>1</v>
      </c>
      <c r="J18" s="187"/>
      <c r="K18" s="187"/>
      <c r="L18" s="187" t="s">
        <v>312</v>
      </c>
      <c r="M18" s="183">
        <f t="shared" si="9"/>
        <v>1</v>
      </c>
      <c r="N18" s="184">
        <v>1</v>
      </c>
      <c r="O18" s="185"/>
      <c r="P18" s="186">
        <f t="shared" si="1"/>
        <v>0</v>
      </c>
      <c r="Q18" s="180"/>
      <c r="R18" s="184">
        <f t="shared" si="18"/>
        <v>1</v>
      </c>
      <c r="S18" s="185">
        <v>25000</v>
      </c>
      <c r="T18" s="186">
        <f t="shared" si="2"/>
        <v>25000</v>
      </c>
      <c r="U18" s="180"/>
      <c r="V18" s="168">
        <f t="shared" si="3"/>
        <v>25000</v>
      </c>
      <c r="W18" s="307">
        <f t="shared" si="17"/>
        <v>25000</v>
      </c>
      <c r="X18" s="307"/>
      <c r="Y18" s="307"/>
      <c r="Z18" s="307"/>
      <c r="AA18" s="307"/>
      <c r="AB18" s="168"/>
      <c r="AC18" s="168"/>
      <c r="AD18" s="307"/>
      <c r="AE18" s="307"/>
      <c r="AF18" s="307"/>
      <c r="AG18" s="307"/>
      <c r="AH18" s="307"/>
    </row>
    <row r="19" spans="1:34" x14ac:dyDescent="0.35">
      <c r="A19" s="166" t="str">
        <f t="shared" si="0"/>
        <v>x</v>
      </c>
      <c r="B19" s="189" t="s">
        <v>536</v>
      </c>
      <c r="C19" s="189"/>
      <c r="D19" s="180" t="s">
        <v>521</v>
      </c>
      <c r="E19" s="180" t="s">
        <v>522</v>
      </c>
      <c r="F19" s="180" t="s">
        <v>527</v>
      </c>
      <c r="G19" s="180" t="s">
        <v>331</v>
      </c>
      <c r="H19" s="187">
        <v>1</v>
      </c>
      <c r="I19" s="187"/>
      <c r="J19" s="187"/>
      <c r="K19" s="187"/>
      <c r="L19" s="187" t="s">
        <v>311</v>
      </c>
      <c r="M19" s="183">
        <f t="shared" si="9"/>
        <v>1</v>
      </c>
      <c r="N19" s="184">
        <v>1</v>
      </c>
      <c r="O19" s="185"/>
      <c r="P19" s="186">
        <f t="shared" si="1"/>
        <v>0</v>
      </c>
      <c r="Q19" s="180"/>
      <c r="R19" s="184">
        <f t="shared" si="18"/>
        <v>1</v>
      </c>
      <c r="S19" s="185">
        <v>83000</v>
      </c>
      <c r="T19" s="186">
        <f t="shared" si="2"/>
        <v>83000</v>
      </c>
      <c r="U19" s="180"/>
      <c r="V19" s="168">
        <f t="shared" si="3"/>
        <v>83000</v>
      </c>
      <c r="W19" s="307">
        <f t="shared" si="17"/>
        <v>83000</v>
      </c>
      <c r="X19" s="307">
        <f t="shared" ref="X19:AA23" si="22">W19+W19*$W$2</f>
        <v>83000</v>
      </c>
      <c r="Y19" s="307">
        <f t="shared" si="22"/>
        <v>83000</v>
      </c>
      <c r="Z19" s="307">
        <f t="shared" si="22"/>
        <v>83000</v>
      </c>
      <c r="AA19" s="307">
        <f t="shared" si="22"/>
        <v>83000</v>
      </c>
      <c r="AB19" s="168">
        <f t="shared" ref="AB19:AB23" si="23">IF(C19="R",P19,)</f>
        <v>0</v>
      </c>
      <c r="AC19" s="168">
        <f t="shared" ref="AC19:AC23" si="24">AA19+AA19*$W$2</f>
        <v>83000</v>
      </c>
      <c r="AD19" s="307">
        <f t="shared" ref="AD19:AH34" si="25">AC19+AC19*$W$2</f>
        <v>83000</v>
      </c>
      <c r="AE19" s="307">
        <f t="shared" si="25"/>
        <v>83000</v>
      </c>
      <c r="AF19" s="307">
        <f t="shared" si="25"/>
        <v>83000</v>
      </c>
      <c r="AG19" s="307">
        <f t="shared" si="25"/>
        <v>83000</v>
      </c>
      <c r="AH19" s="307">
        <f t="shared" si="25"/>
        <v>83000</v>
      </c>
    </row>
    <row r="20" spans="1:34" x14ac:dyDescent="0.35">
      <c r="A20" s="166" t="str">
        <f t="shared" si="0"/>
        <v>x</v>
      </c>
      <c r="B20" s="189" t="s">
        <v>536</v>
      </c>
      <c r="C20" s="189"/>
      <c r="D20" s="180" t="s">
        <v>521</v>
      </c>
      <c r="E20" s="180" t="s">
        <v>522</v>
      </c>
      <c r="F20" s="180" t="s">
        <v>527</v>
      </c>
      <c r="G20" s="180" t="s">
        <v>331</v>
      </c>
      <c r="H20" s="187"/>
      <c r="I20" s="187">
        <v>1</v>
      </c>
      <c r="J20" s="187"/>
      <c r="K20" s="187"/>
      <c r="L20" s="187" t="s">
        <v>312</v>
      </c>
      <c r="M20" s="183">
        <f t="shared" si="9"/>
        <v>1</v>
      </c>
      <c r="N20" s="184">
        <v>1</v>
      </c>
      <c r="O20" s="185"/>
      <c r="P20" s="186">
        <f t="shared" si="1"/>
        <v>0</v>
      </c>
      <c r="Q20" s="180"/>
      <c r="R20" s="184">
        <f t="shared" si="18"/>
        <v>1</v>
      </c>
      <c r="S20" s="185">
        <v>36000</v>
      </c>
      <c r="T20" s="186">
        <f t="shared" si="2"/>
        <v>36000</v>
      </c>
      <c r="U20" s="180"/>
      <c r="V20" s="168">
        <f t="shared" si="3"/>
        <v>36000</v>
      </c>
      <c r="W20" s="307">
        <f t="shared" si="17"/>
        <v>36000</v>
      </c>
      <c r="X20" s="307">
        <f t="shared" si="22"/>
        <v>36000</v>
      </c>
      <c r="Y20" s="307">
        <f t="shared" si="22"/>
        <v>36000</v>
      </c>
      <c r="Z20" s="307">
        <f t="shared" si="22"/>
        <v>36000</v>
      </c>
      <c r="AA20" s="307">
        <f t="shared" si="22"/>
        <v>36000</v>
      </c>
      <c r="AB20" s="168">
        <f t="shared" si="23"/>
        <v>0</v>
      </c>
      <c r="AC20" s="168">
        <f t="shared" si="24"/>
        <v>36000</v>
      </c>
      <c r="AD20" s="307">
        <f t="shared" si="25"/>
        <v>36000</v>
      </c>
      <c r="AE20" s="307">
        <f t="shared" si="25"/>
        <v>36000</v>
      </c>
      <c r="AF20" s="307">
        <f t="shared" si="25"/>
        <v>36000</v>
      </c>
      <c r="AG20" s="307">
        <f t="shared" si="25"/>
        <v>36000</v>
      </c>
      <c r="AH20" s="307">
        <f t="shared" si="25"/>
        <v>36000</v>
      </c>
    </row>
    <row r="21" spans="1:34" x14ac:dyDescent="0.35">
      <c r="A21" s="166" t="str">
        <f t="shared" si="0"/>
        <v>x</v>
      </c>
      <c r="B21" s="189" t="s">
        <v>537</v>
      </c>
      <c r="C21" s="189"/>
      <c r="D21" s="180" t="s">
        <v>521</v>
      </c>
      <c r="E21" s="180" t="s">
        <v>522</v>
      </c>
      <c r="F21" s="180" t="s">
        <v>527</v>
      </c>
      <c r="G21" s="180" t="s">
        <v>528</v>
      </c>
      <c r="H21" s="187">
        <v>1</v>
      </c>
      <c r="I21" s="187"/>
      <c r="J21" s="187"/>
      <c r="K21" s="187"/>
      <c r="L21" s="187" t="s">
        <v>311</v>
      </c>
      <c r="M21" s="183">
        <f t="shared" si="9"/>
        <v>1</v>
      </c>
      <c r="N21" s="184">
        <v>1</v>
      </c>
      <c r="O21" s="185"/>
      <c r="P21" s="186">
        <f t="shared" si="1"/>
        <v>0</v>
      </c>
      <c r="Q21" s="180"/>
      <c r="R21" s="184">
        <f t="shared" si="18"/>
        <v>1</v>
      </c>
      <c r="S21" s="185">
        <v>85000</v>
      </c>
      <c r="T21" s="186">
        <f t="shared" si="2"/>
        <v>85000</v>
      </c>
      <c r="U21" s="180"/>
      <c r="V21" s="168">
        <f t="shared" si="3"/>
        <v>85000</v>
      </c>
      <c r="W21" s="307">
        <f t="shared" si="17"/>
        <v>85000</v>
      </c>
      <c r="X21" s="307">
        <f t="shared" si="22"/>
        <v>85000</v>
      </c>
      <c r="Y21" s="307">
        <f t="shared" si="22"/>
        <v>85000</v>
      </c>
      <c r="Z21" s="307">
        <f t="shared" si="22"/>
        <v>85000</v>
      </c>
      <c r="AA21" s="307">
        <f t="shared" si="22"/>
        <v>85000</v>
      </c>
      <c r="AB21" s="168">
        <f t="shared" si="23"/>
        <v>0</v>
      </c>
      <c r="AC21" s="168">
        <f t="shared" si="24"/>
        <v>85000</v>
      </c>
      <c r="AD21" s="307">
        <f t="shared" si="25"/>
        <v>85000</v>
      </c>
      <c r="AE21" s="307">
        <f t="shared" si="25"/>
        <v>85000</v>
      </c>
      <c r="AF21" s="307">
        <f t="shared" si="25"/>
        <v>85000</v>
      </c>
      <c r="AG21" s="307">
        <f t="shared" si="25"/>
        <v>85000</v>
      </c>
      <c r="AH21" s="307">
        <f t="shared" si="25"/>
        <v>85000</v>
      </c>
    </row>
    <row r="22" spans="1:34" x14ac:dyDescent="0.35">
      <c r="A22" s="166" t="str">
        <f t="shared" si="0"/>
        <v>x</v>
      </c>
      <c r="B22" s="189" t="s">
        <v>537</v>
      </c>
      <c r="C22" s="189"/>
      <c r="D22" s="180" t="s">
        <v>521</v>
      </c>
      <c r="E22" s="180" t="s">
        <v>522</v>
      </c>
      <c r="F22" s="180" t="s">
        <v>527</v>
      </c>
      <c r="G22" s="180" t="s">
        <v>528</v>
      </c>
      <c r="H22" s="187"/>
      <c r="I22" s="187">
        <v>1</v>
      </c>
      <c r="J22" s="187"/>
      <c r="K22" s="187"/>
      <c r="L22" s="187" t="s">
        <v>312</v>
      </c>
      <c r="M22" s="183">
        <f t="shared" si="9"/>
        <v>1</v>
      </c>
      <c r="N22" s="184">
        <v>1</v>
      </c>
      <c r="O22" s="185"/>
      <c r="P22" s="186">
        <f t="shared" si="1"/>
        <v>0</v>
      </c>
      <c r="Q22" s="180"/>
      <c r="R22" s="184">
        <f t="shared" si="18"/>
        <v>1</v>
      </c>
      <c r="S22" s="185">
        <v>33000</v>
      </c>
      <c r="T22" s="186">
        <f t="shared" si="2"/>
        <v>33000</v>
      </c>
      <c r="U22" s="180"/>
      <c r="V22" s="168">
        <f t="shared" si="3"/>
        <v>33000</v>
      </c>
      <c r="W22" s="307">
        <f t="shared" si="17"/>
        <v>33000</v>
      </c>
      <c r="X22" s="307">
        <f t="shared" si="22"/>
        <v>33000</v>
      </c>
      <c r="Y22" s="307">
        <f t="shared" si="22"/>
        <v>33000</v>
      </c>
      <c r="Z22" s="307">
        <f t="shared" si="22"/>
        <v>33000</v>
      </c>
      <c r="AA22" s="307">
        <f t="shared" si="22"/>
        <v>33000</v>
      </c>
      <c r="AB22" s="168">
        <f t="shared" si="23"/>
        <v>0</v>
      </c>
      <c r="AC22" s="168">
        <f t="shared" si="24"/>
        <v>33000</v>
      </c>
      <c r="AD22" s="307">
        <f t="shared" si="25"/>
        <v>33000</v>
      </c>
      <c r="AE22" s="307">
        <f t="shared" si="25"/>
        <v>33000</v>
      </c>
      <c r="AF22" s="307">
        <f t="shared" si="25"/>
        <v>33000</v>
      </c>
      <c r="AG22" s="307">
        <f t="shared" si="25"/>
        <v>33000</v>
      </c>
      <c r="AH22" s="307">
        <f t="shared" si="25"/>
        <v>33000</v>
      </c>
    </row>
    <row r="23" spans="1:34" x14ac:dyDescent="0.35">
      <c r="A23" s="166" t="str">
        <f t="shared" si="0"/>
        <v>x</v>
      </c>
      <c r="B23" s="189" t="s">
        <v>361</v>
      </c>
      <c r="C23" s="189"/>
      <c r="D23" s="180" t="s">
        <v>521</v>
      </c>
      <c r="E23" s="180" t="s">
        <v>522</v>
      </c>
      <c r="F23" s="180" t="s">
        <v>527</v>
      </c>
      <c r="G23" s="180" t="s">
        <v>538</v>
      </c>
      <c r="H23" s="308"/>
      <c r="I23" s="308"/>
      <c r="J23" s="308"/>
      <c r="K23" s="308"/>
      <c r="L23" s="308" t="s">
        <v>311</v>
      </c>
      <c r="M23" s="183">
        <f t="shared" si="9"/>
        <v>0</v>
      </c>
      <c r="N23" s="184">
        <v>1</v>
      </c>
      <c r="O23" s="185"/>
      <c r="P23" s="186">
        <f t="shared" si="1"/>
        <v>0</v>
      </c>
      <c r="Q23" s="180"/>
      <c r="R23" s="184">
        <f t="shared" si="18"/>
        <v>1</v>
      </c>
      <c r="S23" s="185">
        <v>22000</v>
      </c>
      <c r="T23" s="186">
        <f t="shared" si="2"/>
        <v>22000</v>
      </c>
      <c r="U23" s="180"/>
      <c r="V23" s="168">
        <f t="shared" si="3"/>
        <v>22000</v>
      </c>
      <c r="W23" s="307">
        <f t="shared" si="17"/>
        <v>22000</v>
      </c>
      <c r="X23" s="307">
        <f t="shared" si="22"/>
        <v>22000</v>
      </c>
      <c r="Y23" s="307">
        <f t="shared" si="22"/>
        <v>22000</v>
      </c>
      <c r="Z23" s="307">
        <f t="shared" si="22"/>
        <v>22000</v>
      </c>
      <c r="AA23" s="307">
        <f t="shared" si="22"/>
        <v>22000</v>
      </c>
      <c r="AB23" s="168">
        <f t="shared" si="23"/>
        <v>0</v>
      </c>
      <c r="AC23" s="168">
        <f t="shared" si="24"/>
        <v>22000</v>
      </c>
      <c r="AD23" s="307">
        <f t="shared" si="25"/>
        <v>22000</v>
      </c>
      <c r="AE23" s="307">
        <f t="shared" si="25"/>
        <v>22000</v>
      </c>
      <c r="AF23" s="307">
        <f t="shared" si="25"/>
        <v>22000</v>
      </c>
      <c r="AG23" s="307">
        <f t="shared" si="25"/>
        <v>22000</v>
      </c>
      <c r="AH23" s="307">
        <f t="shared" si="25"/>
        <v>22000</v>
      </c>
    </row>
    <row r="24" spans="1:34" ht="30" x14ac:dyDescent="0.35">
      <c r="A24" s="166" t="str">
        <f t="shared" si="0"/>
        <v>x</v>
      </c>
      <c r="B24" s="189" t="s">
        <v>323</v>
      </c>
      <c r="C24" s="189" t="s">
        <v>324</v>
      </c>
      <c r="D24" s="180" t="s">
        <v>539</v>
      </c>
      <c r="E24" s="180" t="s">
        <v>540</v>
      </c>
      <c r="F24" s="180" t="s">
        <v>523</v>
      </c>
      <c r="G24" s="180" t="s">
        <v>331</v>
      </c>
      <c r="H24" s="187"/>
      <c r="I24" s="187">
        <v>1</v>
      </c>
      <c r="J24" s="187"/>
      <c r="K24" s="187"/>
      <c r="L24" s="187" t="s">
        <v>312</v>
      </c>
      <c r="M24" s="183">
        <f t="shared" si="9"/>
        <v>1</v>
      </c>
      <c r="N24" s="184">
        <v>3</v>
      </c>
      <c r="O24" s="185">
        <v>16000</v>
      </c>
      <c r="P24" s="186">
        <f t="shared" si="1"/>
        <v>48000</v>
      </c>
      <c r="Q24" s="171" t="s">
        <v>327</v>
      </c>
      <c r="R24" s="184">
        <f t="shared" si="18"/>
        <v>3</v>
      </c>
      <c r="S24" s="185">
        <f>21%*O24</f>
        <v>3360</v>
      </c>
      <c r="T24" s="186">
        <f t="shared" si="2"/>
        <v>10080</v>
      </c>
      <c r="U24" s="190" t="s">
        <v>328</v>
      </c>
      <c r="V24" s="168">
        <f t="shared" ref="V24:V25" si="26">P24</f>
        <v>48000</v>
      </c>
      <c r="W24" s="307">
        <f t="shared" si="17"/>
        <v>10080</v>
      </c>
      <c r="X24" s="307">
        <f t="shared" si="19"/>
        <v>10080</v>
      </c>
      <c r="Y24" s="307">
        <f t="shared" si="19"/>
        <v>10080</v>
      </c>
      <c r="Z24" s="307">
        <f t="shared" si="19"/>
        <v>10080</v>
      </c>
      <c r="AA24" s="307">
        <f t="shared" si="19"/>
        <v>10080</v>
      </c>
      <c r="AB24" s="168">
        <f>IF(C24="R",P24,)</f>
        <v>48000</v>
      </c>
      <c r="AC24" s="168">
        <f t="shared" si="20"/>
        <v>10080</v>
      </c>
      <c r="AD24" s="307">
        <f t="shared" si="25"/>
        <v>10080</v>
      </c>
      <c r="AE24" s="307">
        <f t="shared" si="25"/>
        <v>10080</v>
      </c>
      <c r="AF24" s="307">
        <f t="shared" si="25"/>
        <v>10080</v>
      </c>
      <c r="AG24" s="307">
        <f t="shared" si="25"/>
        <v>10080</v>
      </c>
      <c r="AH24" s="307">
        <f t="shared" si="25"/>
        <v>10080</v>
      </c>
    </row>
    <row r="25" spans="1:34" ht="30" x14ac:dyDescent="0.35">
      <c r="A25" s="166" t="str">
        <f t="shared" si="0"/>
        <v>x</v>
      </c>
      <c r="B25" s="189" t="s">
        <v>323</v>
      </c>
      <c r="C25" s="189" t="s">
        <v>324</v>
      </c>
      <c r="D25" s="180" t="s">
        <v>539</v>
      </c>
      <c r="E25" s="180" t="s">
        <v>541</v>
      </c>
      <c r="F25" s="180" t="s">
        <v>523</v>
      </c>
      <c r="G25" s="180" t="s">
        <v>331</v>
      </c>
      <c r="H25" s="187"/>
      <c r="I25" s="187">
        <v>1</v>
      </c>
      <c r="J25" s="187"/>
      <c r="K25" s="187"/>
      <c r="L25" s="187" t="s">
        <v>312</v>
      </c>
      <c r="M25" s="183">
        <f t="shared" si="9"/>
        <v>1</v>
      </c>
      <c r="N25" s="184">
        <v>4</v>
      </c>
      <c r="O25" s="185">
        <v>16000</v>
      </c>
      <c r="P25" s="186">
        <f t="shared" si="1"/>
        <v>64000</v>
      </c>
      <c r="Q25" s="171" t="s">
        <v>327</v>
      </c>
      <c r="R25" s="184">
        <f t="shared" si="18"/>
        <v>4</v>
      </c>
      <c r="S25" s="185">
        <f>21%*O25</f>
        <v>3360</v>
      </c>
      <c r="T25" s="186">
        <f t="shared" si="2"/>
        <v>13440</v>
      </c>
      <c r="U25" s="190" t="s">
        <v>328</v>
      </c>
      <c r="V25" s="168">
        <f t="shared" si="26"/>
        <v>64000</v>
      </c>
      <c r="W25" s="307">
        <f t="shared" si="17"/>
        <v>13440</v>
      </c>
      <c r="X25" s="307">
        <f t="shared" si="19"/>
        <v>13440</v>
      </c>
      <c r="Y25" s="307">
        <f t="shared" si="19"/>
        <v>13440</v>
      </c>
      <c r="Z25" s="307">
        <f t="shared" si="19"/>
        <v>13440</v>
      </c>
      <c r="AA25" s="307">
        <f t="shared" si="19"/>
        <v>13440</v>
      </c>
      <c r="AB25" s="168">
        <f>IF(C25="R",P25,)</f>
        <v>64000</v>
      </c>
      <c r="AC25" s="168">
        <f t="shared" si="20"/>
        <v>13440</v>
      </c>
      <c r="AD25" s="307">
        <f t="shared" si="25"/>
        <v>13440</v>
      </c>
      <c r="AE25" s="307">
        <f t="shared" si="25"/>
        <v>13440</v>
      </c>
      <c r="AF25" s="307">
        <f t="shared" si="25"/>
        <v>13440</v>
      </c>
      <c r="AG25" s="307">
        <f t="shared" si="25"/>
        <v>13440</v>
      </c>
      <c r="AH25" s="307">
        <f t="shared" si="25"/>
        <v>13440</v>
      </c>
    </row>
    <row r="26" spans="1:34" ht="30" x14ac:dyDescent="0.35">
      <c r="A26" s="166" t="str">
        <f t="shared" si="0"/>
        <v>x</v>
      </c>
      <c r="B26" s="180" t="s">
        <v>542</v>
      </c>
      <c r="C26" s="180" t="s">
        <v>324</v>
      </c>
      <c r="D26" s="180" t="s">
        <v>543</v>
      </c>
      <c r="E26" s="180" t="s">
        <v>544</v>
      </c>
      <c r="F26" s="180" t="s">
        <v>523</v>
      </c>
      <c r="G26" s="180" t="s">
        <v>331</v>
      </c>
      <c r="H26" s="187"/>
      <c r="I26" s="187">
        <v>1</v>
      </c>
      <c r="J26" s="187"/>
      <c r="K26" s="187"/>
      <c r="L26" s="187" t="s">
        <v>312</v>
      </c>
      <c r="M26" s="183">
        <f t="shared" si="9"/>
        <v>1</v>
      </c>
      <c r="N26" s="184">
        <v>2</v>
      </c>
      <c r="O26" s="185">
        <v>16000</v>
      </c>
      <c r="P26" s="186">
        <f t="shared" si="1"/>
        <v>32000</v>
      </c>
      <c r="Q26" s="180" t="s">
        <v>327</v>
      </c>
      <c r="R26" s="184">
        <f t="shared" si="18"/>
        <v>2</v>
      </c>
      <c r="S26" s="185">
        <f>15%*O26</f>
        <v>2400</v>
      </c>
      <c r="T26" s="186">
        <f t="shared" si="2"/>
        <v>4800</v>
      </c>
      <c r="U26" s="190" t="s">
        <v>328</v>
      </c>
      <c r="V26" s="168">
        <f t="shared" si="3"/>
        <v>36800</v>
      </c>
      <c r="W26" s="307">
        <f t="shared" si="17"/>
        <v>4800</v>
      </c>
      <c r="X26" s="307">
        <f t="shared" si="19"/>
        <v>4800</v>
      </c>
      <c r="Y26" s="307">
        <f t="shared" si="19"/>
        <v>4800</v>
      </c>
      <c r="Z26" s="307">
        <f t="shared" si="19"/>
        <v>4800</v>
      </c>
      <c r="AA26" s="307">
        <f t="shared" si="19"/>
        <v>4800</v>
      </c>
      <c r="AB26" s="168">
        <f t="shared" si="5"/>
        <v>32000</v>
      </c>
      <c r="AC26" s="168">
        <f t="shared" si="20"/>
        <v>4800</v>
      </c>
      <c r="AD26" s="307">
        <f t="shared" si="25"/>
        <v>4800</v>
      </c>
      <c r="AE26" s="307">
        <f t="shared" si="25"/>
        <v>4800</v>
      </c>
      <c r="AF26" s="307">
        <f t="shared" si="25"/>
        <v>4800</v>
      </c>
      <c r="AG26" s="307">
        <f t="shared" si="25"/>
        <v>4800</v>
      </c>
      <c r="AH26" s="307">
        <f t="shared" si="25"/>
        <v>4800</v>
      </c>
    </row>
    <row r="27" spans="1:34" ht="30" x14ac:dyDescent="0.35">
      <c r="A27" s="166" t="str">
        <f t="shared" si="0"/>
        <v>x</v>
      </c>
      <c r="B27" s="189" t="s">
        <v>332</v>
      </c>
      <c r="C27" s="189" t="s">
        <v>324</v>
      </c>
      <c r="D27" s="180" t="s">
        <v>539</v>
      </c>
      <c r="E27" s="180" t="s">
        <v>545</v>
      </c>
      <c r="F27" s="180" t="s">
        <v>523</v>
      </c>
      <c r="G27" s="180" t="s">
        <v>331</v>
      </c>
      <c r="H27" s="187"/>
      <c r="I27" s="187">
        <v>1</v>
      </c>
      <c r="J27" s="187"/>
      <c r="K27" s="187"/>
      <c r="L27" s="187" t="s">
        <v>312</v>
      </c>
      <c r="M27" s="183">
        <f t="shared" si="9"/>
        <v>1</v>
      </c>
      <c r="N27" s="184">
        <v>1</v>
      </c>
      <c r="O27" s="185">
        <v>8000</v>
      </c>
      <c r="P27" s="186">
        <f t="shared" si="1"/>
        <v>8000</v>
      </c>
      <c r="Q27" s="180" t="s">
        <v>327</v>
      </c>
      <c r="R27" s="184">
        <f t="shared" si="18"/>
        <v>1</v>
      </c>
      <c r="S27" s="185">
        <f t="shared" ref="S27:S30" si="27">21%*O27</f>
        <v>1680</v>
      </c>
      <c r="T27" s="186">
        <f t="shared" si="2"/>
        <v>1680</v>
      </c>
      <c r="U27" s="190" t="s">
        <v>328</v>
      </c>
      <c r="V27" s="168">
        <f t="shared" ref="V27:V28" si="28">P27</f>
        <v>8000</v>
      </c>
      <c r="W27" s="307">
        <f t="shared" si="17"/>
        <v>1680</v>
      </c>
      <c r="X27" s="307">
        <f t="shared" si="19"/>
        <v>1680</v>
      </c>
      <c r="Y27" s="307">
        <f t="shared" si="19"/>
        <v>1680</v>
      </c>
      <c r="Z27" s="307">
        <f t="shared" si="19"/>
        <v>1680</v>
      </c>
      <c r="AA27" s="307">
        <f t="shared" si="19"/>
        <v>1680</v>
      </c>
      <c r="AB27" s="168">
        <f t="shared" si="5"/>
        <v>8000</v>
      </c>
      <c r="AC27" s="168">
        <f t="shared" si="20"/>
        <v>1680</v>
      </c>
      <c r="AD27" s="307">
        <f t="shared" si="25"/>
        <v>1680</v>
      </c>
      <c r="AE27" s="307">
        <f t="shared" si="25"/>
        <v>1680</v>
      </c>
      <c r="AF27" s="307">
        <f t="shared" si="25"/>
        <v>1680</v>
      </c>
      <c r="AG27" s="307">
        <f t="shared" si="25"/>
        <v>1680</v>
      </c>
      <c r="AH27" s="307">
        <f t="shared" si="25"/>
        <v>1680</v>
      </c>
    </row>
    <row r="28" spans="1:34" ht="30" x14ac:dyDescent="0.35">
      <c r="A28" s="166" t="str">
        <f t="shared" si="0"/>
        <v/>
      </c>
      <c r="B28" s="180" t="s">
        <v>334</v>
      </c>
      <c r="C28" s="180"/>
      <c r="D28" s="180" t="s">
        <v>539</v>
      </c>
      <c r="E28" s="180" t="s">
        <v>545</v>
      </c>
      <c r="F28" s="180" t="s">
        <v>523</v>
      </c>
      <c r="G28" s="180" t="s">
        <v>326</v>
      </c>
      <c r="H28" s="187"/>
      <c r="I28" s="187">
        <v>1</v>
      </c>
      <c r="J28" s="187"/>
      <c r="K28" s="187"/>
      <c r="L28" s="187" t="s">
        <v>312</v>
      </c>
      <c r="M28" s="183">
        <f t="shared" si="9"/>
        <v>1</v>
      </c>
      <c r="N28" s="184">
        <v>0</v>
      </c>
      <c r="O28" s="185">
        <v>8000</v>
      </c>
      <c r="P28" s="186">
        <f t="shared" si="1"/>
        <v>0</v>
      </c>
      <c r="Q28" s="180" t="s">
        <v>327</v>
      </c>
      <c r="R28" s="184">
        <f t="shared" si="18"/>
        <v>0</v>
      </c>
      <c r="S28" s="185">
        <f t="shared" si="27"/>
        <v>1680</v>
      </c>
      <c r="T28" s="186">
        <f t="shared" si="2"/>
        <v>0</v>
      </c>
      <c r="U28" s="190" t="s">
        <v>328</v>
      </c>
      <c r="V28" s="168">
        <f t="shared" si="28"/>
        <v>0</v>
      </c>
      <c r="W28" s="307">
        <f t="shared" si="17"/>
        <v>0</v>
      </c>
      <c r="X28" s="307">
        <f t="shared" si="19"/>
        <v>0</v>
      </c>
      <c r="Y28" s="307">
        <f t="shared" si="19"/>
        <v>0</v>
      </c>
      <c r="Z28" s="307">
        <f t="shared" si="19"/>
        <v>0</v>
      </c>
      <c r="AA28" s="307">
        <f t="shared" si="19"/>
        <v>0</v>
      </c>
      <c r="AB28" s="168">
        <f t="shared" si="5"/>
        <v>0</v>
      </c>
      <c r="AC28" s="168">
        <f t="shared" si="20"/>
        <v>0</v>
      </c>
      <c r="AD28" s="307">
        <f t="shared" si="25"/>
        <v>0</v>
      </c>
      <c r="AE28" s="307">
        <f t="shared" si="25"/>
        <v>0</v>
      </c>
      <c r="AF28" s="307">
        <f t="shared" si="25"/>
        <v>0</v>
      </c>
      <c r="AG28" s="307">
        <f t="shared" si="25"/>
        <v>0</v>
      </c>
      <c r="AH28" s="307">
        <f t="shared" si="25"/>
        <v>0</v>
      </c>
    </row>
    <row r="29" spans="1:34" ht="30" x14ac:dyDescent="0.35">
      <c r="A29" s="166" t="str">
        <f t="shared" si="0"/>
        <v/>
      </c>
      <c r="B29" s="189" t="s">
        <v>336</v>
      </c>
      <c r="C29" s="189" t="s">
        <v>324</v>
      </c>
      <c r="D29" s="180" t="s">
        <v>337</v>
      </c>
      <c r="E29" s="180"/>
      <c r="F29" s="180" t="s">
        <v>523</v>
      </c>
      <c r="G29" s="180" t="s">
        <v>331</v>
      </c>
      <c r="H29" s="182"/>
      <c r="I29" s="187">
        <v>1</v>
      </c>
      <c r="J29" s="187"/>
      <c r="K29" s="187"/>
      <c r="L29" s="187" t="s">
        <v>312</v>
      </c>
      <c r="M29" s="183">
        <f t="shared" si="9"/>
        <v>1</v>
      </c>
      <c r="N29" s="184"/>
      <c r="O29" s="185">
        <v>65000</v>
      </c>
      <c r="P29" s="186">
        <f t="shared" si="1"/>
        <v>0</v>
      </c>
      <c r="Q29" s="180" t="s">
        <v>327</v>
      </c>
      <c r="R29" s="184">
        <f t="shared" si="18"/>
        <v>0</v>
      </c>
      <c r="S29" s="185">
        <f t="shared" si="27"/>
        <v>13650</v>
      </c>
      <c r="T29" s="186">
        <f>S29*R29</f>
        <v>0</v>
      </c>
      <c r="U29" s="190" t="s">
        <v>328</v>
      </c>
      <c r="V29" s="168">
        <f t="shared" si="3"/>
        <v>0</v>
      </c>
      <c r="W29" s="307">
        <f t="shared" si="17"/>
        <v>0</v>
      </c>
      <c r="X29" s="307">
        <f t="shared" si="19"/>
        <v>0</v>
      </c>
      <c r="Y29" s="307">
        <f t="shared" si="19"/>
        <v>0</v>
      </c>
      <c r="Z29" s="307">
        <f t="shared" si="19"/>
        <v>0</v>
      </c>
      <c r="AA29" s="307">
        <f t="shared" si="19"/>
        <v>0</v>
      </c>
      <c r="AB29" s="168">
        <f t="shared" si="5"/>
        <v>0</v>
      </c>
      <c r="AC29" s="168">
        <f t="shared" si="20"/>
        <v>0</v>
      </c>
      <c r="AD29" s="307">
        <f t="shared" si="25"/>
        <v>0</v>
      </c>
      <c r="AE29" s="307">
        <f t="shared" si="25"/>
        <v>0</v>
      </c>
      <c r="AF29" s="307">
        <f t="shared" si="25"/>
        <v>0</v>
      </c>
      <c r="AG29" s="307">
        <f t="shared" si="25"/>
        <v>0</v>
      </c>
      <c r="AH29" s="307">
        <f t="shared" si="25"/>
        <v>0</v>
      </c>
    </row>
    <row r="30" spans="1:34" ht="30" x14ac:dyDescent="0.35">
      <c r="A30" s="166" t="str">
        <f t="shared" si="0"/>
        <v>x</v>
      </c>
      <c r="B30" s="180" t="s">
        <v>546</v>
      </c>
      <c r="C30" s="180" t="s">
        <v>324</v>
      </c>
      <c r="D30" s="180" t="s">
        <v>539</v>
      </c>
      <c r="E30" s="180" t="s">
        <v>545</v>
      </c>
      <c r="F30" s="180" t="s">
        <v>523</v>
      </c>
      <c r="G30" s="180" t="s">
        <v>331</v>
      </c>
      <c r="H30" s="183"/>
      <c r="I30" s="187">
        <v>1</v>
      </c>
      <c r="J30" s="187"/>
      <c r="K30" s="187"/>
      <c r="L30" s="187" t="s">
        <v>312</v>
      </c>
      <c r="M30" s="183">
        <f t="shared" si="9"/>
        <v>1</v>
      </c>
      <c r="N30" s="184">
        <v>1</v>
      </c>
      <c r="O30" s="185">
        <v>8000</v>
      </c>
      <c r="P30" s="186">
        <f t="shared" si="1"/>
        <v>8000</v>
      </c>
      <c r="Q30" s="180" t="s">
        <v>327</v>
      </c>
      <c r="R30" s="184">
        <f t="shared" si="18"/>
        <v>1</v>
      </c>
      <c r="S30" s="185">
        <f t="shared" si="27"/>
        <v>1680</v>
      </c>
      <c r="T30" s="186">
        <f t="shared" ref="T30:T31" si="29">S30*R30</f>
        <v>1680</v>
      </c>
      <c r="U30" s="190" t="s">
        <v>328</v>
      </c>
      <c r="V30" s="168">
        <f t="shared" ref="V30:V31" si="30">P30</f>
        <v>8000</v>
      </c>
      <c r="W30" s="307">
        <f t="shared" si="17"/>
        <v>1680</v>
      </c>
      <c r="X30" s="307">
        <f t="shared" si="19"/>
        <v>1680</v>
      </c>
      <c r="Y30" s="307">
        <f t="shared" si="19"/>
        <v>1680</v>
      </c>
      <c r="Z30" s="307">
        <f t="shared" si="19"/>
        <v>1680</v>
      </c>
      <c r="AA30" s="307">
        <f t="shared" si="19"/>
        <v>1680</v>
      </c>
      <c r="AB30" s="168">
        <f t="shared" si="5"/>
        <v>8000</v>
      </c>
      <c r="AC30" s="168">
        <f t="shared" si="20"/>
        <v>1680</v>
      </c>
      <c r="AD30" s="307">
        <f t="shared" si="25"/>
        <v>1680</v>
      </c>
      <c r="AE30" s="307">
        <f t="shared" si="25"/>
        <v>1680</v>
      </c>
      <c r="AF30" s="307">
        <f t="shared" si="25"/>
        <v>1680</v>
      </c>
      <c r="AG30" s="307">
        <f t="shared" si="25"/>
        <v>1680</v>
      </c>
      <c r="AH30" s="307">
        <f t="shared" si="25"/>
        <v>1680</v>
      </c>
    </row>
    <row r="31" spans="1:34" ht="30" x14ac:dyDescent="0.35">
      <c r="A31" s="166" t="str">
        <f t="shared" si="0"/>
        <v>x</v>
      </c>
      <c r="B31" s="180" t="s">
        <v>542</v>
      </c>
      <c r="C31" s="180" t="s">
        <v>324</v>
      </c>
      <c r="D31" s="180" t="s">
        <v>547</v>
      </c>
      <c r="E31" s="180" t="s">
        <v>541</v>
      </c>
      <c r="F31" s="180" t="s">
        <v>523</v>
      </c>
      <c r="G31" s="180" t="s">
        <v>331</v>
      </c>
      <c r="H31" s="187"/>
      <c r="I31" s="187">
        <v>1</v>
      </c>
      <c r="J31" s="187"/>
      <c r="K31" s="187"/>
      <c r="L31" s="187" t="s">
        <v>312</v>
      </c>
      <c r="M31" s="183">
        <f t="shared" si="9"/>
        <v>1</v>
      </c>
      <c r="N31" s="184">
        <v>2</v>
      </c>
      <c r="O31" s="185">
        <v>16000</v>
      </c>
      <c r="P31" s="186">
        <f>N31*O31</f>
        <v>32000</v>
      </c>
      <c r="Q31" s="180" t="s">
        <v>327</v>
      </c>
      <c r="R31" s="184">
        <f t="shared" si="18"/>
        <v>2</v>
      </c>
      <c r="S31" s="185">
        <f>16%*O31</f>
        <v>2560</v>
      </c>
      <c r="T31" s="186">
        <f t="shared" si="29"/>
        <v>5120</v>
      </c>
      <c r="U31" s="190" t="s">
        <v>328</v>
      </c>
      <c r="V31" s="168">
        <f t="shared" si="30"/>
        <v>32000</v>
      </c>
      <c r="W31" s="307">
        <f t="shared" si="17"/>
        <v>5120</v>
      </c>
      <c r="X31" s="307">
        <f t="shared" si="19"/>
        <v>5120</v>
      </c>
      <c r="Y31" s="307">
        <f t="shared" si="19"/>
        <v>5120</v>
      </c>
      <c r="Z31" s="307">
        <f t="shared" si="19"/>
        <v>5120</v>
      </c>
      <c r="AA31" s="307">
        <f t="shared" si="19"/>
        <v>5120</v>
      </c>
      <c r="AB31" s="168">
        <f t="shared" si="5"/>
        <v>32000</v>
      </c>
      <c r="AC31" s="168">
        <f t="shared" si="20"/>
        <v>5120</v>
      </c>
      <c r="AD31" s="307">
        <f t="shared" si="25"/>
        <v>5120</v>
      </c>
      <c r="AE31" s="307">
        <f t="shared" si="25"/>
        <v>5120</v>
      </c>
      <c r="AF31" s="307">
        <f t="shared" si="25"/>
        <v>5120</v>
      </c>
      <c r="AG31" s="307">
        <f t="shared" si="25"/>
        <v>5120</v>
      </c>
      <c r="AH31" s="307">
        <f t="shared" si="25"/>
        <v>5120</v>
      </c>
    </row>
    <row r="32" spans="1:34" ht="30" x14ac:dyDescent="0.35">
      <c r="A32" s="166" t="str">
        <f t="shared" si="0"/>
        <v>x</v>
      </c>
      <c r="B32" s="189" t="s">
        <v>340</v>
      </c>
      <c r="C32" s="189" t="s">
        <v>324</v>
      </c>
      <c r="D32" s="180" t="s">
        <v>341</v>
      </c>
      <c r="E32" s="180" t="s">
        <v>517</v>
      </c>
      <c r="F32" s="180" t="s">
        <v>523</v>
      </c>
      <c r="G32" s="180" t="s">
        <v>342</v>
      </c>
      <c r="H32" s="183"/>
      <c r="I32" s="187">
        <v>1</v>
      </c>
      <c r="J32" s="187"/>
      <c r="K32" s="187"/>
      <c r="L32" s="187" t="s">
        <v>312</v>
      </c>
      <c r="M32" s="183">
        <f t="shared" si="9"/>
        <v>1</v>
      </c>
      <c r="N32" s="184">
        <v>4</v>
      </c>
      <c r="O32" s="188">
        <v>20400</v>
      </c>
      <c r="P32" s="186">
        <f t="shared" ref="P32:P34" si="31">N32*O32</f>
        <v>81600</v>
      </c>
      <c r="Q32" s="185" t="s">
        <v>343</v>
      </c>
      <c r="R32" s="184">
        <f>N32</f>
        <v>4</v>
      </c>
      <c r="S32" s="185">
        <f t="shared" ref="S32:S34" si="32">21%*O32</f>
        <v>4284</v>
      </c>
      <c r="T32" s="186">
        <f>S32*R32</f>
        <v>17136</v>
      </c>
      <c r="U32" s="190" t="s">
        <v>328</v>
      </c>
      <c r="V32" s="168">
        <f t="shared" si="3"/>
        <v>98736</v>
      </c>
      <c r="W32" s="307">
        <f t="shared" si="17"/>
        <v>17136</v>
      </c>
      <c r="X32" s="307">
        <f t="shared" si="19"/>
        <v>17136</v>
      </c>
      <c r="Y32" s="307">
        <f t="shared" si="19"/>
        <v>17136</v>
      </c>
      <c r="Z32" s="307">
        <f t="shared" si="19"/>
        <v>17136</v>
      </c>
      <c r="AA32" s="307">
        <f t="shared" si="19"/>
        <v>17136</v>
      </c>
      <c r="AB32" s="168">
        <f t="shared" si="5"/>
        <v>81600</v>
      </c>
      <c r="AC32" s="168">
        <f t="shared" si="20"/>
        <v>17136</v>
      </c>
      <c r="AD32" s="307">
        <f t="shared" si="25"/>
        <v>17136</v>
      </c>
      <c r="AE32" s="307">
        <f t="shared" si="25"/>
        <v>17136</v>
      </c>
      <c r="AF32" s="307">
        <f t="shared" si="25"/>
        <v>17136</v>
      </c>
      <c r="AG32" s="307">
        <f t="shared" si="25"/>
        <v>17136</v>
      </c>
      <c r="AH32" s="307">
        <f t="shared" si="25"/>
        <v>17136</v>
      </c>
    </row>
    <row r="33" spans="1:34" ht="30" x14ac:dyDescent="0.35">
      <c r="A33" s="166" t="str">
        <f t="shared" si="0"/>
        <v>x</v>
      </c>
      <c r="B33" s="191" t="s">
        <v>344</v>
      </c>
      <c r="C33" s="191"/>
      <c r="D33" s="191" t="s">
        <v>548</v>
      </c>
      <c r="E33" s="191"/>
      <c r="F33" s="180" t="s">
        <v>523</v>
      </c>
      <c r="G33" s="191" t="s">
        <v>342</v>
      </c>
      <c r="H33" s="192"/>
      <c r="I33" s="212">
        <v>1</v>
      </c>
      <c r="J33" s="192"/>
      <c r="K33" s="192"/>
      <c r="L33" s="187" t="s">
        <v>312</v>
      </c>
      <c r="M33" s="183">
        <f t="shared" si="9"/>
        <v>1</v>
      </c>
      <c r="N33" s="184">
        <v>36</v>
      </c>
      <c r="O33" s="193">
        <v>1000</v>
      </c>
      <c r="P33" s="194">
        <f t="shared" si="31"/>
        <v>36000</v>
      </c>
      <c r="Q33" s="195"/>
      <c r="R33" s="184">
        <f t="shared" ref="R33" si="33">N33</f>
        <v>36</v>
      </c>
      <c r="S33" s="185">
        <f t="shared" si="32"/>
        <v>210</v>
      </c>
      <c r="T33" s="186">
        <f t="shared" ref="T33:T34" si="34">S33*R33</f>
        <v>7560</v>
      </c>
      <c r="U33" s="190" t="s">
        <v>328</v>
      </c>
      <c r="V33" s="168">
        <f t="shared" si="3"/>
        <v>43560</v>
      </c>
      <c r="W33" s="307">
        <f t="shared" si="17"/>
        <v>7560</v>
      </c>
      <c r="X33" s="307">
        <f t="shared" si="19"/>
        <v>7560</v>
      </c>
      <c r="Y33" s="307">
        <f t="shared" si="19"/>
        <v>7560</v>
      </c>
      <c r="Z33" s="307">
        <f t="shared" si="19"/>
        <v>7560</v>
      </c>
      <c r="AA33" s="307">
        <f t="shared" si="19"/>
        <v>7560</v>
      </c>
      <c r="AB33" s="168">
        <f t="shared" si="5"/>
        <v>0</v>
      </c>
      <c r="AC33" s="168">
        <f t="shared" si="20"/>
        <v>7560</v>
      </c>
      <c r="AD33" s="307">
        <f t="shared" si="25"/>
        <v>7560</v>
      </c>
      <c r="AE33" s="307">
        <f t="shared" si="25"/>
        <v>7560</v>
      </c>
      <c r="AF33" s="307">
        <f t="shared" si="25"/>
        <v>7560</v>
      </c>
      <c r="AG33" s="307">
        <f t="shared" si="25"/>
        <v>7560</v>
      </c>
      <c r="AH33" s="307">
        <f t="shared" si="25"/>
        <v>7560</v>
      </c>
    </row>
    <row r="34" spans="1:34" ht="30" x14ac:dyDescent="0.35">
      <c r="A34" s="166" t="str">
        <f t="shared" si="0"/>
        <v/>
      </c>
      <c r="B34" s="189" t="s">
        <v>346</v>
      </c>
      <c r="C34" s="189" t="s">
        <v>324</v>
      </c>
      <c r="D34" s="198" t="s">
        <v>347</v>
      </c>
      <c r="E34" s="198"/>
      <c r="F34" s="180" t="s">
        <v>523</v>
      </c>
      <c r="G34" s="198" t="s">
        <v>342</v>
      </c>
      <c r="H34" s="199"/>
      <c r="I34" s="212">
        <v>1</v>
      </c>
      <c r="J34" s="199"/>
      <c r="K34" s="199"/>
      <c r="L34" s="187" t="s">
        <v>312</v>
      </c>
      <c r="M34" s="183">
        <f t="shared" si="9"/>
        <v>1</v>
      </c>
      <c r="N34" s="184"/>
      <c r="O34" s="188">
        <v>17000</v>
      </c>
      <c r="P34" s="186">
        <f t="shared" si="31"/>
        <v>0</v>
      </c>
      <c r="Q34" s="185" t="s">
        <v>343</v>
      </c>
      <c r="R34" s="184">
        <f>N34</f>
        <v>0</v>
      </c>
      <c r="S34" s="185">
        <f t="shared" si="32"/>
        <v>3570</v>
      </c>
      <c r="T34" s="186">
        <f t="shared" si="34"/>
        <v>0</v>
      </c>
      <c r="U34" s="190" t="s">
        <v>328</v>
      </c>
      <c r="V34" s="168">
        <f t="shared" si="3"/>
        <v>0</v>
      </c>
      <c r="W34" s="307">
        <f t="shared" si="17"/>
        <v>0</v>
      </c>
      <c r="X34" s="307">
        <f t="shared" si="19"/>
        <v>0</v>
      </c>
      <c r="Y34" s="307">
        <f t="shared" si="19"/>
        <v>0</v>
      </c>
      <c r="Z34" s="307">
        <f t="shared" si="19"/>
        <v>0</v>
      </c>
      <c r="AA34" s="307">
        <f t="shared" si="19"/>
        <v>0</v>
      </c>
      <c r="AB34" s="168">
        <f t="shared" si="5"/>
        <v>0</v>
      </c>
      <c r="AC34" s="168">
        <f t="shared" si="20"/>
        <v>0</v>
      </c>
      <c r="AD34" s="307">
        <f t="shared" si="25"/>
        <v>0</v>
      </c>
      <c r="AE34" s="307">
        <f t="shared" si="25"/>
        <v>0</v>
      </c>
      <c r="AF34" s="307">
        <f t="shared" si="25"/>
        <v>0</v>
      </c>
      <c r="AG34" s="307">
        <f t="shared" si="25"/>
        <v>0</v>
      </c>
      <c r="AH34" s="307">
        <f t="shared" si="25"/>
        <v>0</v>
      </c>
    </row>
    <row r="35" spans="1:34" ht="20" x14ac:dyDescent="0.35">
      <c r="A35" s="166" t="str">
        <f t="shared" si="0"/>
        <v>x</v>
      </c>
      <c r="B35" s="191" t="s">
        <v>549</v>
      </c>
      <c r="C35" s="191"/>
      <c r="D35" s="191" t="s">
        <v>349</v>
      </c>
      <c r="E35" s="191"/>
      <c r="F35" s="191" t="s">
        <v>550</v>
      </c>
      <c r="G35" s="191"/>
      <c r="H35" s="192"/>
      <c r="I35" s="212">
        <v>1</v>
      </c>
      <c r="J35" s="192"/>
      <c r="K35" s="192"/>
      <c r="L35" s="187" t="s">
        <v>312</v>
      </c>
      <c r="M35" s="183">
        <f t="shared" si="9"/>
        <v>1</v>
      </c>
      <c r="N35" s="184">
        <v>1</v>
      </c>
      <c r="O35" s="193">
        <v>138750</v>
      </c>
      <c r="P35" s="194">
        <f>N35*O35</f>
        <v>138750</v>
      </c>
      <c r="Q35" s="195"/>
      <c r="R35" s="184">
        <f>N35</f>
        <v>1</v>
      </c>
      <c r="S35" s="185">
        <v>30525</v>
      </c>
      <c r="T35" s="186">
        <f t="shared" ref="T35:T37" si="35">R35*S35</f>
        <v>30525</v>
      </c>
      <c r="U35" s="180" t="s">
        <v>551</v>
      </c>
      <c r="V35" s="168">
        <f>P35</f>
        <v>138750</v>
      </c>
      <c r="W35" s="307"/>
      <c r="X35" s="307">
        <f>T35+T35*$W$2</f>
        <v>30525</v>
      </c>
      <c r="Y35" s="307">
        <f t="shared" si="19"/>
        <v>30525</v>
      </c>
      <c r="Z35" s="307">
        <f t="shared" si="19"/>
        <v>30525</v>
      </c>
      <c r="AA35" s="307">
        <f t="shared" si="19"/>
        <v>30525</v>
      </c>
      <c r="AB35" s="168">
        <f t="shared" si="5"/>
        <v>0</v>
      </c>
      <c r="AC35" s="168">
        <f t="shared" si="20"/>
        <v>30525</v>
      </c>
      <c r="AD35" s="307">
        <f t="shared" ref="AD35:AH50" si="36">AC35+AC35*$W$2</f>
        <v>30525</v>
      </c>
      <c r="AE35" s="307">
        <f t="shared" si="36"/>
        <v>30525</v>
      </c>
      <c r="AF35" s="307">
        <f t="shared" si="36"/>
        <v>30525</v>
      </c>
      <c r="AG35" s="307">
        <f t="shared" si="36"/>
        <v>30525</v>
      </c>
      <c r="AH35" s="307">
        <f t="shared" si="36"/>
        <v>30525</v>
      </c>
    </row>
    <row r="36" spans="1:34" x14ac:dyDescent="0.35">
      <c r="A36" s="166" t="str">
        <f t="shared" si="0"/>
        <v/>
      </c>
      <c r="B36" s="191" t="s">
        <v>348</v>
      </c>
      <c r="C36" s="191"/>
      <c r="D36" s="191" t="s">
        <v>349</v>
      </c>
      <c r="E36" s="191"/>
      <c r="F36" s="191" t="s">
        <v>550</v>
      </c>
      <c r="G36" s="191"/>
      <c r="H36" s="192"/>
      <c r="I36" s="212">
        <v>1</v>
      </c>
      <c r="J36" s="192"/>
      <c r="K36" s="192"/>
      <c r="L36" s="187" t="s">
        <v>312</v>
      </c>
      <c r="M36" s="183">
        <f t="shared" si="9"/>
        <v>1</v>
      </c>
      <c r="N36" s="184">
        <v>0</v>
      </c>
      <c r="O36" s="193">
        <v>1000</v>
      </c>
      <c r="P36" s="194">
        <f>N36*O36</f>
        <v>0</v>
      </c>
      <c r="Q36" s="195"/>
      <c r="R36" s="184">
        <f>N36</f>
        <v>0</v>
      </c>
      <c r="S36" s="185">
        <f>12*1500</f>
        <v>18000</v>
      </c>
      <c r="T36" s="186">
        <f t="shared" si="35"/>
        <v>0</v>
      </c>
      <c r="U36" s="180"/>
      <c r="V36" s="168">
        <f t="shared" si="3"/>
        <v>0</v>
      </c>
      <c r="W36" s="307">
        <f t="shared" si="17"/>
        <v>0</v>
      </c>
      <c r="X36" s="307">
        <f t="shared" si="19"/>
        <v>0</v>
      </c>
      <c r="Y36" s="307">
        <f t="shared" si="19"/>
        <v>0</v>
      </c>
      <c r="Z36" s="307">
        <f t="shared" si="19"/>
        <v>0</v>
      </c>
      <c r="AA36" s="307">
        <f t="shared" si="19"/>
        <v>0</v>
      </c>
      <c r="AB36" s="168">
        <f t="shared" si="5"/>
        <v>0</v>
      </c>
      <c r="AC36" s="168">
        <f t="shared" si="20"/>
        <v>0</v>
      </c>
      <c r="AD36" s="307">
        <f t="shared" si="36"/>
        <v>0</v>
      </c>
      <c r="AE36" s="307">
        <f t="shared" si="36"/>
        <v>0</v>
      </c>
      <c r="AF36" s="307">
        <f t="shared" si="36"/>
        <v>0</v>
      </c>
      <c r="AG36" s="307">
        <f t="shared" si="36"/>
        <v>0</v>
      </c>
      <c r="AH36" s="307">
        <f t="shared" si="36"/>
        <v>0</v>
      </c>
    </row>
    <row r="37" spans="1:34" x14ac:dyDescent="0.35">
      <c r="A37" s="166" t="str">
        <f t="shared" si="0"/>
        <v/>
      </c>
      <c r="B37" s="191" t="s">
        <v>350</v>
      </c>
      <c r="C37" s="191"/>
      <c r="D37" s="191" t="s">
        <v>351</v>
      </c>
      <c r="E37" s="191"/>
      <c r="F37" s="191" t="s">
        <v>550</v>
      </c>
      <c r="G37" s="191"/>
      <c r="H37" s="192"/>
      <c r="I37" s="212">
        <v>1</v>
      </c>
      <c r="J37" s="192"/>
      <c r="K37" s="192"/>
      <c r="L37" s="187" t="s">
        <v>312</v>
      </c>
      <c r="M37" s="183">
        <f t="shared" si="9"/>
        <v>1</v>
      </c>
      <c r="N37" s="184">
        <v>0</v>
      </c>
      <c r="O37" s="193">
        <v>1000</v>
      </c>
      <c r="P37" s="194">
        <f>N37*O37</f>
        <v>0</v>
      </c>
      <c r="Q37" s="195"/>
      <c r="R37" s="184">
        <f>N37</f>
        <v>0</v>
      </c>
      <c r="S37" s="185">
        <f>12*1500</f>
        <v>18000</v>
      </c>
      <c r="T37" s="186">
        <f t="shared" si="35"/>
        <v>0</v>
      </c>
      <c r="U37" s="180"/>
      <c r="V37" s="168">
        <f t="shared" si="3"/>
        <v>0</v>
      </c>
      <c r="W37" s="307">
        <f t="shared" si="17"/>
        <v>0</v>
      </c>
      <c r="X37" s="307">
        <f t="shared" si="19"/>
        <v>0</v>
      </c>
      <c r="Y37" s="307">
        <f t="shared" si="19"/>
        <v>0</v>
      </c>
      <c r="Z37" s="307">
        <f t="shared" si="19"/>
        <v>0</v>
      </c>
      <c r="AA37" s="307">
        <f t="shared" si="19"/>
        <v>0</v>
      </c>
      <c r="AB37" s="168">
        <f t="shared" si="5"/>
        <v>0</v>
      </c>
      <c r="AC37" s="168">
        <f t="shared" si="20"/>
        <v>0</v>
      </c>
      <c r="AD37" s="307">
        <f t="shared" si="36"/>
        <v>0</v>
      </c>
      <c r="AE37" s="307">
        <f t="shared" si="36"/>
        <v>0</v>
      </c>
      <c r="AF37" s="307">
        <f t="shared" si="36"/>
        <v>0</v>
      </c>
      <c r="AG37" s="307">
        <f t="shared" si="36"/>
        <v>0</v>
      </c>
      <c r="AH37" s="307">
        <f t="shared" si="36"/>
        <v>0</v>
      </c>
    </row>
    <row r="38" spans="1:34" x14ac:dyDescent="0.35">
      <c r="A38" s="166" t="str">
        <f t="shared" si="0"/>
        <v>x</v>
      </c>
      <c r="B38" s="200" t="s">
        <v>352</v>
      </c>
      <c r="C38" s="200"/>
      <c r="D38" s="180" t="s">
        <v>353</v>
      </c>
      <c r="E38" s="180" t="s">
        <v>544</v>
      </c>
      <c r="F38" s="180" t="s">
        <v>527</v>
      </c>
      <c r="G38" s="180" t="s">
        <v>331</v>
      </c>
      <c r="H38" s="187"/>
      <c r="I38" s="212">
        <v>1</v>
      </c>
      <c r="J38" s="187"/>
      <c r="K38" s="187"/>
      <c r="L38" s="187" t="s">
        <v>312</v>
      </c>
      <c r="M38" s="183">
        <f t="shared" si="9"/>
        <v>1</v>
      </c>
      <c r="N38" s="201">
        <v>6</v>
      </c>
      <c r="O38" s="202">
        <v>17500</v>
      </c>
      <c r="P38" s="186">
        <f>N38*O38*60%</f>
        <v>63000</v>
      </c>
      <c r="Q38" s="185" t="s">
        <v>354</v>
      </c>
      <c r="R38" s="203">
        <f t="shared" ref="R38:R40" si="37">N38</f>
        <v>6</v>
      </c>
      <c r="S38" s="204">
        <f>O38*22%*60%</f>
        <v>2310</v>
      </c>
      <c r="T38" s="186">
        <f t="shared" ref="T38:T55" si="38">S38*R38</f>
        <v>13860</v>
      </c>
      <c r="U38" s="205"/>
      <c r="V38" s="168">
        <f t="shared" si="3"/>
        <v>76860</v>
      </c>
      <c r="W38" s="307">
        <f t="shared" si="17"/>
        <v>13860</v>
      </c>
      <c r="X38" s="307">
        <f t="shared" si="19"/>
        <v>13860</v>
      </c>
      <c r="Y38" s="307">
        <f t="shared" si="19"/>
        <v>13860</v>
      </c>
      <c r="Z38" s="307">
        <f t="shared" si="19"/>
        <v>13860</v>
      </c>
      <c r="AA38" s="307">
        <f t="shared" si="19"/>
        <v>13860</v>
      </c>
      <c r="AB38" s="168">
        <f t="shared" si="5"/>
        <v>0</v>
      </c>
      <c r="AC38" s="168">
        <f t="shared" si="20"/>
        <v>13860</v>
      </c>
      <c r="AD38" s="307">
        <f t="shared" si="36"/>
        <v>13860</v>
      </c>
      <c r="AE38" s="307">
        <f t="shared" si="36"/>
        <v>13860</v>
      </c>
      <c r="AF38" s="307">
        <f t="shared" si="36"/>
        <v>13860</v>
      </c>
      <c r="AG38" s="307">
        <f t="shared" si="36"/>
        <v>13860</v>
      </c>
      <c r="AH38" s="307">
        <f t="shared" si="36"/>
        <v>13860</v>
      </c>
    </row>
    <row r="39" spans="1:34" ht="30" x14ac:dyDescent="0.35">
      <c r="A39" s="166" t="str">
        <f t="shared" si="0"/>
        <v>x</v>
      </c>
      <c r="B39" s="200" t="s">
        <v>352</v>
      </c>
      <c r="C39" s="200"/>
      <c r="D39" s="180" t="s">
        <v>355</v>
      </c>
      <c r="E39" s="180" t="s">
        <v>544</v>
      </c>
      <c r="F39" s="180" t="s">
        <v>527</v>
      </c>
      <c r="G39" s="180" t="s">
        <v>331</v>
      </c>
      <c r="H39" s="187"/>
      <c r="I39" s="212">
        <v>1</v>
      </c>
      <c r="J39" s="187"/>
      <c r="K39" s="187"/>
      <c r="L39" s="187" t="s">
        <v>312</v>
      </c>
      <c r="M39" s="183">
        <f t="shared" si="9"/>
        <v>1</v>
      </c>
      <c r="N39" s="201">
        <v>6</v>
      </c>
      <c r="O39" s="202">
        <v>7500</v>
      </c>
      <c r="P39" s="186">
        <f>N39*O39*60%</f>
        <v>27000</v>
      </c>
      <c r="Q39" s="185" t="s">
        <v>356</v>
      </c>
      <c r="R39" s="203">
        <f t="shared" si="37"/>
        <v>6</v>
      </c>
      <c r="S39" s="204">
        <f>O39*22%*60%</f>
        <v>990</v>
      </c>
      <c r="T39" s="186">
        <f t="shared" si="38"/>
        <v>5940</v>
      </c>
      <c r="U39" s="205"/>
      <c r="V39" s="168">
        <f t="shared" si="3"/>
        <v>32940</v>
      </c>
      <c r="W39" s="307">
        <f t="shared" si="17"/>
        <v>5940</v>
      </c>
      <c r="X39" s="307">
        <f t="shared" si="19"/>
        <v>5940</v>
      </c>
      <c r="Y39" s="307">
        <f t="shared" si="19"/>
        <v>5940</v>
      </c>
      <c r="Z39" s="307">
        <f t="shared" si="19"/>
        <v>5940</v>
      </c>
      <c r="AA39" s="307">
        <f t="shared" si="19"/>
        <v>5940</v>
      </c>
      <c r="AB39" s="168">
        <f t="shared" si="5"/>
        <v>0</v>
      </c>
      <c r="AC39" s="168">
        <f t="shared" si="20"/>
        <v>5940</v>
      </c>
      <c r="AD39" s="307">
        <f t="shared" si="36"/>
        <v>5940</v>
      </c>
      <c r="AE39" s="307">
        <f t="shared" si="36"/>
        <v>5940</v>
      </c>
      <c r="AF39" s="307">
        <f t="shared" si="36"/>
        <v>5940</v>
      </c>
      <c r="AG39" s="307">
        <f t="shared" si="36"/>
        <v>5940</v>
      </c>
      <c r="AH39" s="307">
        <f t="shared" si="36"/>
        <v>5940</v>
      </c>
    </row>
    <row r="40" spans="1:34" x14ac:dyDescent="0.35">
      <c r="A40" s="166" t="str">
        <f t="shared" si="0"/>
        <v>x</v>
      </c>
      <c r="B40" s="200" t="s">
        <v>352</v>
      </c>
      <c r="C40" s="200"/>
      <c r="D40" s="180" t="s">
        <v>357</v>
      </c>
      <c r="E40" s="180" t="s">
        <v>544</v>
      </c>
      <c r="F40" s="180" t="s">
        <v>527</v>
      </c>
      <c r="G40" s="180" t="s">
        <v>331</v>
      </c>
      <c r="H40" s="187"/>
      <c r="I40" s="212">
        <v>1</v>
      </c>
      <c r="J40" s="187"/>
      <c r="K40" s="187"/>
      <c r="L40" s="187" t="s">
        <v>312</v>
      </c>
      <c r="M40" s="183">
        <f t="shared" si="9"/>
        <v>1</v>
      </c>
      <c r="N40" s="201">
        <v>6</v>
      </c>
      <c r="O40" s="202">
        <v>17500</v>
      </c>
      <c r="P40" s="186">
        <f>N40*O40*60%</f>
        <v>63000</v>
      </c>
      <c r="Q40" s="185" t="s">
        <v>356</v>
      </c>
      <c r="R40" s="203">
        <f t="shared" si="37"/>
        <v>6</v>
      </c>
      <c r="S40" s="204">
        <f>O40*22%*60%</f>
        <v>2310</v>
      </c>
      <c r="T40" s="186">
        <f t="shared" si="38"/>
        <v>13860</v>
      </c>
      <c r="U40" s="205"/>
      <c r="V40" s="168">
        <f t="shared" si="3"/>
        <v>76860</v>
      </c>
      <c r="W40" s="307">
        <f t="shared" si="17"/>
        <v>13860</v>
      </c>
      <c r="X40" s="307">
        <f t="shared" si="19"/>
        <v>13860</v>
      </c>
      <c r="Y40" s="307">
        <f t="shared" si="19"/>
        <v>13860</v>
      </c>
      <c r="Z40" s="307">
        <f t="shared" si="19"/>
        <v>13860</v>
      </c>
      <c r="AA40" s="307">
        <f t="shared" si="19"/>
        <v>13860</v>
      </c>
      <c r="AB40" s="168">
        <f t="shared" si="5"/>
        <v>0</v>
      </c>
      <c r="AC40" s="168">
        <f t="shared" si="20"/>
        <v>13860</v>
      </c>
      <c r="AD40" s="307">
        <f t="shared" si="36"/>
        <v>13860</v>
      </c>
      <c r="AE40" s="307">
        <f t="shared" si="36"/>
        <v>13860</v>
      </c>
      <c r="AF40" s="307">
        <f t="shared" si="36"/>
        <v>13860</v>
      </c>
      <c r="AG40" s="307">
        <f t="shared" si="36"/>
        <v>13860</v>
      </c>
      <c r="AH40" s="307">
        <f t="shared" si="36"/>
        <v>13860</v>
      </c>
    </row>
    <row r="41" spans="1:34" x14ac:dyDescent="0.35">
      <c r="A41" s="166" t="str">
        <f t="shared" si="0"/>
        <v>x</v>
      </c>
      <c r="B41" s="191" t="s">
        <v>358</v>
      </c>
      <c r="C41" s="191"/>
      <c r="D41" s="191" t="s">
        <v>359</v>
      </c>
      <c r="E41" s="206"/>
      <c r="F41" s="180" t="s">
        <v>527</v>
      </c>
      <c r="G41" s="206" t="s">
        <v>360</v>
      </c>
      <c r="H41" s="207"/>
      <c r="I41" s="212">
        <v>1</v>
      </c>
      <c r="J41" s="207"/>
      <c r="K41" s="207"/>
      <c r="L41" s="187" t="s">
        <v>312</v>
      </c>
      <c r="M41" s="183">
        <f t="shared" si="9"/>
        <v>1</v>
      </c>
      <c r="N41" s="208"/>
      <c r="O41" s="185"/>
      <c r="P41" s="186">
        <f t="shared" ref="P41:P50" si="39">N41*O41</f>
        <v>0</v>
      </c>
      <c r="Q41" s="185"/>
      <c r="R41" s="203">
        <v>1</v>
      </c>
      <c r="S41" s="204">
        <v>13000</v>
      </c>
      <c r="T41" s="186">
        <f t="shared" si="38"/>
        <v>13000</v>
      </c>
      <c r="U41" s="206"/>
      <c r="V41" s="168">
        <f t="shared" si="3"/>
        <v>13000</v>
      </c>
      <c r="W41" s="307">
        <f t="shared" si="17"/>
        <v>13000</v>
      </c>
      <c r="X41" s="307">
        <f t="shared" si="19"/>
        <v>13000</v>
      </c>
      <c r="Y41" s="307">
        <f t="shared" si="19"/>
        <v>13000</v>
      </c>
      <c r="Z41" s="307">
        <f t="shared" si="19"/>
        <v>13000</v>
      </c>
      <c r="AA41" s="307">
        <f t="shared" si="19"/>
        <v>13000</v>
      </c>
      <c r="AB41" s="168">
        <f t="shared" si="5"/>
        <v>0</v>
      </c>
      <c r="AC41" s="168">
        <f t="shared" si="20"/>
        <v>13000</v>
      </c>
      <c r="AD41" s="307">
        <f t="shared" si="36"/>
        <v>13000</v>
      </c>
      <c r="AE41" s="307">
        <f t="shared" si="36"/>
        <v>13000</v>
      </c>
      <c r="AF41" s="307">
        <f t="shared" si="36"/>
        <v>13000</v>
      </c>
      <c r="AG41" s="307">
        <f t="shared" si="36"/>
        <v>13000</v>
      </c>
      <c r="AH41" s="307">
        <f t="shared" si="36"/>
        <v>13000</v>
      </c>
    </row>
    <row r="42" spans="1:34" ht="21" x14ac:dyDescent="0.35">
      <c r="A42" s="166" t="str">
        <f t="shared" si="0"/>
        <v>x</v>
      </c>
      <c r="B42" s="191" t="s">
        <v>361</v>
      </c>
      <c r="C42" s="191"/>
      <c r="D42" s="191" t="s">
        <v>362</v>
      </c>
      <c r="E42" s="191"/>
      <c r="F42" s="180" t="s">
        <v>527</v>
      </c>
      <c r="G42" s="191" t="s">
        <v>363</v>
      </c>
      <c r="H42" s="192"/>
      <c r="I42" s="212">
        <v>1</v>
      </c>
      <c r="J42" s="192"/>
      <c r="K42" s="192"/>
      <c r="L42" s="187" t="s">
        <v>312</v>
      </c>
      <c r="M42" s="183">
        <f t="shared" si="9"/>
        <v>1</v>
      </c>
      <c r="N42" s="184">
        <v>1</v>
      </c>
      <c r="O42" s="185">
        <v>76032</v>
      </c>
      <c r="P42" s="186">
        <f t="shared" si="39"/>
        <v>76032</v>
      </c>
      <c r="Q42" s="185"/>
      <c r="R42" s="203">
        <v>1</v>
      </c>
      <c r="S42" s="204">
        <f>O42*20%</f>
        <v>15206.400000000001</v>
      </c>
      <c r="T42" s="186">
        <f t="shared" si="38"/>
        <v>15206.400000000001</v>
      </c>
      <c r="U42" s="209" t="s">
        <v>552</v>
      </c>
      <c r="V42" s="168">
        <f t="shared" si="3"/>
        <v>91238.399999999994</v>
      </c>
      <c r="W42" s="307">
        <f t="shared" si="17"/>
        <v>15206.400000000001</v>
      </c>
      <c r="X42" s="307">
        <f t="shared" si="19"/>
        <v>15206.400000000001</v>
      </c>
      <c r="Y42" s="307">
        <f t="shared" si="19"/>
        <v>15206.400000000001</v>
      </c>
      <c r="Z42" s="307">
        <f t="shared" si="19"/>
        <v>15206.400000000001</v>
      </c>
      <c r="AA42" s="307">
        <f t="shared" si="19"/>
        <v>15206.400000000001</v>
      </c>
      <c r="AB42" s="168">
        <f t="shared" si="5"/>
        <v>0</v>
      </c>
      <c r="AC42" s="168">
        <f t="shared" si="20"/>
        <v>15206.400000000001</v>
      </c>
      <c r="AD42" s="307">
        <f t="shared" si="36"/>
        <v>15206.400000000001</v>
      </c>
      <c r="AE42" s="307">
        <f t="shared" si="36"/>
        <v>15206.400000000001</v>
      </c>
      <c r="AF42" s="307">
        <f t="shared" si="36"/>
        <v>15206.400000000001</v>
      </c>
      <c r="AG42" s="307">
        <f t="shared" si="36"/>
        <v>15206.400000000001</v>
      </c>
      <c r="AH42" s="307">
        <f t="shared" si="36"/>
        <v>15206.400000000001</v>
      </c>
    </row>
    <row r="43" spans="1:34" x14ac:dyDescent="0.35">
      <c r="A43" s="166" t="str">
        <f t="shared" si="0"/>
        <v>x</v>
      </c>
      <c r="B43" s="191" t="s">
        <v>361</v>
      </c>
      <c r="C43" s="191"/>
      <c r="D43" s="191" t="s">
        <v>553</v>
      </c>
      <c r="E43" s="191"/>
      <c r="F43" s="180" t="s">
        <v>527</v>
      </c>
      <c r="G43" s="191" t="s">
        <v>363</v>
      </c>
      <c r="H43" s="192"/>
      <c r="I43" s="212">
        <v>1</v>
      </c>
      <c r="J43" s="192"/>
      <c r="K43" s="192"/>
      <c r="L43" s="187" t="s">
        <v>312</v>
      </c>
      <c r="M43" s="183">
        <f t="shared" si="9"/>
        <v>1</v>
      </c>
      <c r="N43" s="184">
        <v>1</v>
      </c>
      <c r="O43" s="185">
        <v>4000</v>
      </c>
      <c r="P43" s="186">
        <f t="shared" si="39"/>
        <v>4000</v>
      </c>
      <c r="Q43" s="185"/>
      <c r="R43" s="203">
        <v>1</v>
      </c>
      <c r="S43" s="204">
        <f>O43*20%</f>
        <v>800</v>
      </c>
      <c r="T43" s="186">
        <f t="shared" si="38"/>
        <v>800</v>
      </c>
      <c r="U43" s="209"/>
      <c r="V43" s="168">
        <f t="shared" si="3"/>
        <v>4800</v>
      </c>
      <c r="W43" s="307">
        <f t="shared" si="17"/>
        <v>800</v>
      </c>
      <c r="X43" s="307">
        <f t="shared" si="19"/>
        <v>800</v>
      </c>
      <c r="Y43" s="307">
        <f t="shared" si="19"/>
        <v>800</v>
      </c>
      <c r="Z43" s="307">
        <f t="shared" si="19"/>
        <v>800</v>
      </c>
      <c r="AA43" s="307">
        <f t="shared" si="19"/>
        <v>800</v>
      </c>
      <c r="AB43" s="168">
        <f t="shared" si="5"/>
        <v>0</v>
      </c>
      <c r="AC43" s="168">
        <f t="shared" si="20"/>
        <v>800</v>
      </c>
      <c r="AD43" s="307">
        <f t="shared" si="36"/>
        <v>800</v>
      </c>
      <c r="AE43" s="307">
        <f t="shared" si="36"/>
        <v>800</v>
      </c>
      <c r="AF43" s="307">
        <f t="shared" si="36"/>
        <v>800</v>
      </c>
      <c r="AG43" s="307">
        <f t="shared" si="36"/>
        <v>800</v>
      </c>
      <c r="AH43" s="307">
        <f t="shared" si="36"/>
        <v>800</v>
      </c>
    </row>
    <row r="44" spans="1:34" ht="20" x14ac:dyDescent="0.35">
      <c r="A44" s="166" t="str">
        <f t="shared" si="0"/>
        <v>x</v>
      </c>
      <c r="B44" s="191" t="s">
        <v>361</v>
      </c>
      <c r="C44" s="191"/>
      <c r="D44" s="191" t="s">
        <v>521</v>
      </c>
      <c r="E44" s="191"/>
      <c r="F44" s="180" t="s">
        <v>527</v>
      </c>
      <c r="G44" s="191" t="s">
        <v>538</v>
      </c>
      <c r="H44" s="192">
        <v>1</v>
      </c>
      <c r="I44" s="192"/>
      <c r="J44" s="192"/>
      <c r="K44" s="192"/>
      <c r="L44" s="192" t="s">
        <v>311</v>
      </c>
      <c r="M44" s="183">
        <f t="shared" si="9"/>
        <v>1</v>
      </c>
      <c r="N44" s="184">
        <v>1</v>
      </c>
      <c r="O44" s="185"/>
      <c r="P44" s="186">
        <f t="shared" si="39"/>
        <v>0</v>
      </c>
      <c r="Q44" s="185"/>
      <c r="R44" s="203">
        <v>1</v>
      </c>
      <c r="S44" s="204">
        <v>80000</v>
      </c>
      <c r="T44" s="186">
        <f t="shared" si="38"/>
        <v>80000</v>
      </c>
      <c r="U44" s="191" t="s">
        <v>554</v>
      </c>
      <c r="V44" s="168">
        <f t="shared" si="3"/>
        <v>80000</v>
      </c>
      <c r="W44" s="307">
        <f t="shared" si="17"/>
        <v>80000</v>
      </c>
      <c r="X44" s="307">
        <f t="shared" si="19"/>
        <v>80000</v>
      </c>
      <c r="Y44" s="307">
        <f t="shared" si="19"/>
        <v>80000</v>
      </c>
      <c r="Z44" s="307">
        <f t="shared" si="19"/>
        <v>80000</v>
      </c>
      <c r="AA44" s="307">
        <f t="shared" si="19"/>
        <v>80000</v>
      </c>
      <c r="AB44" s="168">
        <f t="shared" si="5"/>
        <v>0</v>
      </c>
      <c r="AC44" s="168">
        <f t="shared" si="20"/>
        <v>80000</v>
      </c>
      <c r="AD44" s="307">
        <f t="shared" si="36"/>
        <v>80000</v>
      </c>
      <c r="AE44" s="307">
        <f t="shared" si="36"/>
        <v>80000</v>
      </c>
      <c r="AF44" s="307">
        <f t="shared" si="36"/>
        <v>80000</v>
      </c>
      <c r="AG44" s="307">
        <f t="shared" si="36"/>
        <v>80000</v>
      </c>
      <c r="AH44" s="307">
        <f t="shared" si="36"/>
        <v>80000</v>
      </c>
    </row>
    <row r="45" spans="1:34" x14ac:dyDescent="0.35">
      <c r="A45" s="166" t="str">
        <f t="shared" si="0"/>
        <v>x</v>
      </c>
      <c r="B45" s="180" t="s">
        <v>364</v>
      </c>
      <c r="C45" s="180"/>
      <c r="D45" s="191" t="s">
        <v>365</v>
      </c>
      <c r="E45" s="191"/>
      <c r="F45" s="180" t="s">
        <v>527</v>
      </c>
      <c r="G45" s="191" t="s">
        <v>366</v>
      </c>
      <c r="H45" s="192"/>
      <c r="I45" s="212">
        <v>1</v>
      </c>
      <c r="J45" s="192"/>
      <c r="K45" s="192"/>
      <c r="L45" s="192" t="s">
        <v>312</v>
      </c>
      <c r="M45" s="183">
        <f t="shared" si="9"/>
        <v>1</v>
      </c>
      <c r="N45" s="184"/>
      <c r="O45" s="185"/>
      <c r="P45" s="186">
        <f t="shared" si="39"/>
        <v>0</v>
      </c>
      <c r="Q45" s="185"/>
      <c r="R45" s="184">
        <v>1</v>
      </c>
      <c r="S45" s="185">
        <v>10000</v>
      </c>
      <c r="T45" s="186">
        <f t="shared" si="38"/>
        <v>10000</v>
      </c>
      <c r="U45" s="180"/>
      <c r="V45" s="168">
        <f t="shared" si="3"/>
        <v>10000</v>
      </c>
      <c r="W45" s="307">
        <f t="shared" si="17"/>
        <v>10000</v>
      </c>
      <c r="X45" s="307">
        <f t="shared" si="19"/>
        <v>10000</v>
      </c>
      <c r="Y45" s="307">
        <f t="shared" si="19"/>
        <v>10000</v>
      </c>
      <c r="Z45" s="307">
        <f t="shared" si="19"/>
        <v>10000</v>
      </c>
      <c r="AA45" s="307">
        <f t="shared" si="19"/>
        <v>10000</v>
      </c>
      <c r="AB45" s="168">
        <f t="shared" si="5"/>
        <v>0</v>
      </c>
      <c r="AC45" s="168">
        <f t="shared" si="20"/>
        <v>10000</v>
      </c>
      <c r="AD45" s="307">
        <f t="shared" si="36"/>
        <v>10000</v>
      </c>
      <c r="AE45" s="307">
        <f t="shared" si="36"/>
        <v>10000</v>
      </c>
      <c r="AF45" s="307">
        <f t="shared" si="36"/>
        <v>10000</v>
      </c>
      <c r="AG45" s="307">
        <f t="shared" si="36"/>
        <v>10000</v>
      </c>
      <c r="AH45" s="307">
        <f t="shared" si="36"/>
        <v>10000</v>
      </c>
    </row>
    <row r="46" spans="1:34" x14ac:dyDescent="0.35">
      <c r="A46" s="166" t="str">
        <f t="shared" si="0"/>
        <v>x</v>
      </c>
      <c r="B46" s="180" t="s">
        <v>364</v>
      </c>
      <c r="C46" s="180"/>
      <c r="D46" s="191" t="s">
        <v>367</v>
      </c>
      <c r="E46" s="191"/>
      <c r="F46" s="180" t="s">
        <v>527</v>
      </c>
      <c r="G46" s="191" t="s">
        <v>366</v>
      </c>
      <c r="H46" s="192"/>
      <c r="I46" s="212">
        <v>1</v>
      </c>
      <c r="J46" s="192"/>
      <c r="K46" s="192"/>
      <c r="L46" s="192" t="s">
        <v>312</v>
      </c>
      <c r="M46" s="183">
        <f t="shared" si="9"/>
        <v>1</v>
      </c>
      <c r="N46" s="184"/>
      <c r="O46" s="185"/>
      <c r="P46" s="186">
        <f t="shared" si="39"/>
        <v>0</v>
      </c>
      <c r="Q46" s="185"/>
      <c r="R46" s="184">
        <v>200</v>
      </c>
      <c r="S46" s="185">
        <v>192</v>
      </c>
      <c r="T46" s="186">
        <f t="shared" si="38"/>
        <v>38400</v>
      </c>
      <c r="U46" s="180"/>
      <c r="V46" s="168">
        <f t="shared" si="3"/>
        <v>38400</v>
      </c>
      <c r="W46" s="307">
        <f t="shared" si="17"/>
        <v>38400</v>
      </c>
      <c r="X46" s="307">
        <f t="shared" si="19"/>
        <v>38400</v>
      </c>
      <c r="Y46" s="307">
        <f t="shared" si="19"/>
        <v>38400</v>
      </c>
      <c r="Z46" s="307">
        <f t="shared" si="19"/>
        <v>38400</v>
      </c>
      <c r="AA46" s="307">
        <f t="shared" si="19"/>
        <v>38400</v>
      </c>
      <c r="AB46" s="168">
        <f t="shared" si="5"/>
        <v>0</v>
      </c>
      <c r="AC46" s="168">
        <f t="shared" si="20"/>
        <v>38400</v>
      </c>
      <c r="AD46" s="307">
        <f t="shared" si="36"/>
        <v>38400</v>
      </c>
      <c r="AE46" s="307">
        <f t="shared" si="36"/>
        <v>38400</v>
      </c>
      <c r="AF46" s="307">
        <f t="shared" si="36"/>
        <v>38400</v>
      </c>
      <c r="AG46" s="307">
        <f t="shared" si="36"/>
        <v>38400</v>
      </c>
      <c r="AH46" s="307">
        <f t="shared" si="36"/>
        <v>38400</v>
      </c>
    </row>
    <row r="47" spans="1:34" x14ac:dyDescent="0.35">
      <c r="A47" s="166" t="str">
        <f t="shared" si="0"/>
        <v/>
      </c>
      <c r="B47" s="180" t="s">
        <v>368</v>
      </c>
      <c r="C47" s="180"/>
      <c r="D47" s="180" t="s">
        <v>369</v>
      </c>
      <c r="E47" s="180" t="s">
        <v>517</v>
      </c>
      <c r="F47" s="180" t="s">
        <v>527</v>
      </c>
      <c r="G47" s="180" t="s">
        <v>370</v>
      </c>
      <c r="H47" s="187"/>
      <c r="I47" s="212">
        <v>1</v>
      </c>
      <c r="J47" s="187"/>
      <c r="K47" s="187"/>
      <c r="L47" s="192" t="s">
        <v>312</v>
      </c>
      <c r="M47" s="183">
        <f t="shared" si="9"/>
        <v>1</v>
      </c>
      <c r="N47" s="184">
        <v>2</v>
      </c>
      <c r="O47" s="185">
        <v>5000</v>
      </c>
      <c r="P47" s="186">
        <f t="shared" si="39"/>
        <v>10000</v>
      </c>
      <c r="Q47" s="185"/>
      <c r="R47" s="203">
        <f>N47</f>
        <v>2</v>
      </c>
      <c r="S47" s="185"/>
      <c r="T47" s="186">
        <f t="shared" si="38"/>
        <v>0</v>
      </c>
      <c r="U47" s="180"/>
      <c r="V47" s="168">
        <f t="shared" si="3"/>
        <v>10000</v>
      </c>
      <c r="W47" s="307">
        <f t="shared" si="17"/>
        <v>0</v>
      </c>
      <c r="X47" s="307">
        <f t="shared" si="19"/>
        <v>0</v>
      </c>
      <c r="Y47" s="307">
        <f t="shared" si="19"/>
        <v>0</v>
      </c>
      <c r="Z47" s="307">
        <f t="shared" si="19"/>
        <v>0</v>
      </c>
      <c r="AA47" s="307">
        <f t="shared" si="19"/>
        <v>0</v>
      </c>
      <c r="AB47" s="168">
        <f t="shared" si="5"/>
        <v>0</v>
      </c>
      <c r="AC47" s="168">
        <f t="shared" si="20"/>
        <v>0</v>
      </c>
      <c r="AD47" s="307">
        <f t="shared" si="36"/>
        <v>0</v>
      </c>
      <c r="AE47" s="307">
        <f t="shared" si="36"/>
        <v>0</v>
      </c>
      <c r="AF47" s="307">
        <f t="shared" si="36"/>
        <v>0</v>
      </c>
      <c r="AG47" s="307">
        <f t="shared" si="36"/>
        <v>0</v>
      </c>
      <c r="AH47" s="307">
        <f t="shared" si="36"/>
        <v>0</v>
      </c>
    </row>
    <row r="48" spans="1:34" ht="20" x14ac:dyDescent="0.35">
      <c r="A48" s="166" t="str">
        <f t="shared" si="0"/>
        <v/>
      </c>
      <c r="B48" s="191" t="s">
        <v>371</v>
      </c>
      <c r="C48" s="191"/>
      <c r="D48" s="210" t="s">
        <v>372</v>
      </c>
      <c r="E48" s="210"/>
      <c r="F48" s="180" t="s">
        <v>527</v>
      </c>
      <c r="G48" s="180" t="s">
        <v>370</v>
      </c>
      <c r="H48" s="207"/>
      <c r="I48" s="212">
        <v>1</v>
      </c>
      <c r="J48" s="207"/>
      <c r="K48" s="207"/>
      <c r="L48" s="192" t="s">
        <v>312</v>
      </c>
      <c r="M48" s="183">
        <f t="shared" si="9"/>
        <v>1</v>
      </c>
      <c r="N48" s="208"/>
      <c r="O48" s="211"/>
      <c r="P48" s="186">
        <f t="shared" si="39"/>
        <v>0</v>
      </c>
      <c r="Q48" s="185"/>
      <c r="R48" s="203">
        <v>0</v>
      </c>
      <c r="S48" s="204">
        <v>32</v>
      </c>
      <c r="T48" s="186">
        <f t="shared" si="38"/>
        <v>0</v>
      </c>
      <c r="U48" s="206"/>
      <c r="V48" s="168">
        <f t="shared" si="3"/>
        <v>0</v>
      </c>
      <c r="W48" s="307">
        <f t="shared" si="17"/>
        <v>0</v>
      </c>
      <c r="X48" s="307">
        <f t="shared" si="19"/>
        <v>0</v>
      </c>
      <c r="Y48" s="307">
        <f t="shared" si="19"/>
        <v>0</v>
      </c>
      <c r="Z48" s="307">
        <f t="shared" si="19"/>
        <v>0</v>
      </c>
      <c r="AA48" s="307">
        <f t="shared" si="19"/>
        <v>0</v>
      </c>
      <c r="AB48" s="168">
        <f t="shared" si="5"/>
        <v>0</v>
      </c>
      <c r="AC48" s="168">
        <f t="shared" si="20"/>
        <v>0</v>
      </c>
      <c r="AD48" s="307">
        <f t="shared" si="36"/>
        <v>0</v>
      </c>
      <c r="AE48" s="307">
        <f t="shared" si="36"/>
        <v>0</v>
      </c>
      <c r="AF48" s="307">
        <f t="shared" si="36"/>
        <v>0</v>
      </c>
      <c r="AG48" s="307">
        <f t="shared" si="36"/>
        <v>0</v>
      </c>
      <c r="AH48" s="307">
        <f t="shared" si="36"/>
        <v>0</v>
      </c>
    </row>
    <row r="49" spans="1:34" ht="20" x14ac:dyDescent="0.35">
      <c r="A49" s="166" t="str">
        <f t="shared" si="0"/>
        <v>x</v>
      </c>
      <c r="B49" s="191" t="s">
        <v>373</v>
      </c>
      <c r="C49" s="191"/>
      <c r="D49" s="210" t="s">
        <v>374</v>
      </c>
      <c r="E49" s="210"/>
      <c r="F49" s="180" t="s">
        <v>527</v>
      </c>
      <c r="G49" s="191" t="s">
        <v>375</v>
      </c>
      <c r="H49" s="207"/>
      <c r="I49" s="212">
        <v>1</v>
      </c>
      <c r="J49" s="207"/>
      <c r="K49" s="207"/>
      <c r="L49" s="192" t="s">
        <v>312</v>
      </c>
      <c r="M49" s="183">
        <f t="shared" si="9"/>
        <v>1</v>
      </c>
      <c r="N49" s="208"/>
      <c r="O49" s="211"/>
      <c r="P49" s="186">
        <f t="shared" si="39"/>
        <v>0</v>
      </c>
      <c r="Q49" s="185"/>
      <c r="R49" s="203">
        <v>1000</v>
      </c>
      <c r="S49" s="204">
        <f>12*4</f>
        <v>48</v>
      </c>
      <c r="T49" s="186">
        <f t="shared" si="38"/>
        <v>48000</v>
      </c>
      <c r="U49" s="206" t="s">
        <v>555</v>
      </c>
      <c r="V49" s="168">
        <f t="shared" si="3"/>
        <v>48000</v>
      </c>
      <c r="W49" s="307">
        <f t="shared" si="17"/>
        <v>48000</v>
      </c>
      <c r="X49" s="307">
        <f t="shared" si="19"/>
        <v>48000</v>
      </c>
      <c r="Y49" s="307">
        <f t="shared" si="19"/>
        <v>48000</v>
      </c>
      <c r="Z49" s="307">
        <f t="shared" si="19"/>
        <v>48000</v>
      </c>
      <c r="AA49" s="307">
        <f t="shared" si="19"/>
        <v>48000</v>
      </c>
      <c r="AB49" s="168">
        <f t="shared" si="5"/>
        <v>0</v>
      </c>
      <c r="AC49" s="168">
        <f t="shared" si="20"/>
        <v>48000</v>
      </c>
      <c r="AD49" s="307">
        <f t="shared" si="36"/>
        <v>48000</v>
      </c>
      <c r="AE49" s="307">
        <f t="shared" si="36"/>
        <v>48000</v>
      </c>
      <c r="AF49" s="307">
        <f t="shared" si="36"/>
        <v>48000</v>
      </c>
      <c r="AG49" s="307">
        <f t="shared" si="36"/>
        <v>48000</v>
      </c>
      <c r="AH49" s="307">
        <f t="shared" si="36"/>
        <v>48000</v>
      </c>
    </row>
    <row r="50" spans="1:34" ht="20" x14ac:dyDescent="0.35">
      <c r="A50" s="166" t="str">
        <f t="shared" si="0"/>
        <v/>
      </c>
      <c r="B50" s="191" t="s">
        <v>376</v>
      </c>
      <c r="C50" s="191"/>
      <c r="D50" s="210" t="s">
        <v>377</v>
      </c>
      <c r="E50" s="210"/>
      <c r="F50" s="180" t="s">
        <v>527</v>
      </c>
      <c r="G50" s="191" t="s">
        <v>378</v>
      </c>
      <c r="H50" s="192"/>
      <c r="I50" s="212">
        <v>1</v>
      </c>
      <c r="J50" s="192"/>
      <c r="K50" s="192"/>
      <c r="L50" s="192" t="s">
        <v>312</v>
      </c>
      <c r="M50" s="183">
        <f t="shared" si="9"/>
        <v>1</v>
      </c>
      <c r="N50" s="184"/>
      <c r="O50" s="185">
        <v>8000</v>
      </c>
      <c r="P50" s="186">
        <f t="shared" si="39"/>
        <v>0</v>
      </c>
      <c r="Q50" s="185"/>
      <c r="R50" s="203">
        <f>N50</f>
        <v>0</v>
      </c>
      <c r="S50" s="204">
        <v>2000</v>
      </c>
      <c r="T50" s="186">
        <f t="shared" si="38"/>
        <v>0</v>
      </c>
      <c r="U50" s="205"/>
      <c r="V50" s="168">
        <f t="shared" si="3"/>
        <v>0</v>
      </c>
      <c r="W50" s="307">
        <f t="shared" si="17"/>
        <v>0</v>
      </c>
      <c r="X50" s="307">
        <f t="shared" si="19"/>
        <v>0</v>
      </c>
      <c r="Y50" s="307">
        <f t="shared" si="19"/>
        <v>0</v>
      </c>
      <c r="Z50" s="307">
        <f t="shared" si="19"/>
        <v>0</v>
      </c>
      <c r="AA50" s="307">
        <f t="shared" si="19"/>
        <v>0</v>
      </c>
      <c r="AB50" s="168">
        <f t="shared" si="5"/>
        <v>0</v>
      </c>
      <c r="AC50" s="168">
        <f t="shared" si="20"/>
        <v>0</v>
      </c>
      <c r="AD50" s="307">
        <f t="shared" si="36"/>
        <v>0</v>
      </c>
      <c r="AE50" s="307">
        <f t="shared" si="36"/>
        <v>0</v>
      </c>
      <c r="AF50" s="307">
        <f t="shared" si="36"/>
        <v>0</v>
      </c>
      <c r="AG50" s="307">
        <f t="shared" si="36"/>
        <v>0</v>
      </c>
      <c r="AH50" s="307">
        <f t="shared" si="36"/>
        <v>0</v>
      </c>
    </row>
    <row r="51" spans="1:34" ht="20" x14ac:dyDescent="0.35">
      <c r="A51" s="166" t="str">
        <f t="shared" si="0"/>
        <v/>
      </c>
      <c r="B51" s="191" t="s">
        <v>379</v>
      </c>
      <c r="C51" s="191"/>
      <c r="D51" s="210" t="s">
        <v>380</v>
      </c>
      <c r="E51" s="210"/>
      <c r="F51" s="180" t="s">
        <v>527</v>
      </c>
      <c r="G51" s="191" t="s">
        <v>378</v>
      </c>
      <c r="H51" s="192"/>
      <c r="I51" s="212">
        <v>1</v>
      </c>
      <c r="J51" s="192"/>
      <c r="K51" s="192"/>
      <c r="L51" s="192" t="s">
        <v>312</v>
      </c>
      <c r="M51" s="183">
        <f t="shared" si="9"/>
        <v>1</v>
      </c>
      <c r="N51" s="184"/>
      <c r="O51" s="185">
        <v>2000</v>
      </c>
      <c r="P51" s="186">
        <f>N51*O51</f>
        <v>0</v>
      </c>
      <c r="Q51" s="185"/>
      <c r="R51" s="203">
        <f>N51</f>
        <v>0</v>
      </c>
      <c r="S51" s="204">
        <f>20%*O51</f>
        <v>400</v>
      </c>
      <c r="T51" s="186">
        <f t="shared" si="38"/>
        <v>0</v>
      </c>
      <c r="U51" s="205"/>
      <c r="V51" s="168">
        <f t="shared" si="3"/>
        <v>0</v>
      </c>
      <c r="W51" s="307">
        <f t="shared" si="17"/>
        <v>0</v>
      </c>
      <c r="X51" s="307">
        <f t="shared" si="19"/>
        <v>0</v>
      </c>
      <c r="Y51" s="307">
        <f t="shared" si="19"/>
        <v>0</v>
      </c>
      <c r="Z51" s="307">
        <f t="shared" si="19"/>
        <v>0</v>
      </c>
      <c r="AA51" s="307">
        <f t="shared" si="19"/>
        <v>0</v>
      </c>
      <c r="AB51" s="168">
        <f t="shared" si="5"/>
        <v>0</v>
      </c>
      <c r="AC51" s="168">
        <f t="shared" si="20"/>
        <v>0</v>
      </c>
      <c r="AD51" s="307">
        <f t="shared" ref="AD51:AH66" si="40">AC51+AC51*$W$2</f>
        <v>0</v>
      </c>
      <c r="AE51" s="307">
        <f t="shared" si="40"/>
        <v>0</v>
      </c>
      <c r="AF51" s="307">
        <f t="shared" si="40"/>
        <v>0</v>
      </c>
      <c r="AG51" s="307">
        <f t="shared" si="40"/>
        <v>0</v>
      </c>
      <c r="AH51" s="307">
        <f t="shared" si="40"/>
        <v>0</v>
      </c>
    </row>
    <row r="52" spans="1:34" x14ac:dyDescent="0.35">
      <c r="A52" s="166" t="str">
        <f t="shared" si="0"/>
        <v>x</v>
      </c>
      <c r="B52" s="200" t="s">
        <v>352</v>
      </c>
      <c r="C52" s="200"/>
      <c r="D52" s="180" t="s">
        <v>353</v>
      </c>
      <c r="E52" s="180" t="s">
        <v>541</v>
      </c>
      <c r="F52" s="180" t="s">
        <v>527</v>
      </c>
      <c r="G52" s="180" t="s">
        <v>331</v>
      </c>
      <c r="H52" s="187"/>
      <c r="I52" s="212">
        <v>1</v>
      </c>
      <c r="J52" s="187"/>
      <c r="K52" s="187"/>
      <c r="L52" s="192" t="s">
        <v>312</v>
      </c>
      <c r="M52" s="183">
        <f t="shared" si="9"/>
        <v>1</v>
      </c>
      <c r="N52" s="201">
        <v>150</v>
      </c>
      <c r="O52" s="202">
        <v>350</v>
      </c>
      <c r="P52" s="186">
        <f>N52*O52*60%</f>
        <v>31500</v>
      </c>
      <c r="Q52" s="185" t="s">
        <v>354</v>
      </c>
      <c r="R52" s="203">
        <f t="shared" ref="R52:R54" si="41">N52</f>
        <v>150</v>
      </c>
      <c r="S52" s="204">
        <f>O52*22%*60%</f>
        <v>46.199999999999996</v>
      </c>
      <c r="T52" s="186">
        <f t="shared" si="38"/>
        <v>6929.9999999999991</v>
      </c>
      <c r="U52" s="205"/>
      <c r="V52" s="168">
        <f t="shared" si="3"/>
        <v>38430</v>
      </c>
      <c r="W52" s="307">
        <f t="shared" si="17"/>
        <v>6929.9999999999991</v>
      </c>
      <c r="X52" s="307">
        <f t="shared" si="19"/>
        <v>6929.9999999999991</v>
      </c>
      <c r="Y52" s="307">
        <f t="shared" si="19"/>
        <v>6929.9999999999991</v>
      </c>
      <c r="Z52" s="307">
        <f t="shared" si="19"/>
        <v>6929.9999999999991</v>
      </c>
      <c r="AA52" s="307">
        <f t="shared" si="19"/>
        <v>6929.9999999999991</v>
      </c>
      <c r="AB52" s="168">
        <f t="shared" si="5"/>
        <v>0</v>
      </c>
      <c r="AC52" s="168">
        <f t="shared" si="20"/>
        <v>6929.9999999999991</v>
      </c>
      <c r="AD52" s="307">
        <f t="shared" si="40"/>
        <v>6929.9999999999991</v>
      </c>
      <c r="AE52" s="307">
        <f t="shared" si="40"/>
        <v>6929.9999999999991</v>
      </c>
      <c r="AF52" s="307">
        <f t="shared" si="40"/>
        <v>6929.9999999999991</v>
      </c>
      <c r="AG52" s="307">
        <f t="shared" si="40"/>
        <v>6929.9999999999991</v>
      </c>
      <c r="AH52" s="307">
        <f t="shared" si="40"/>
        <v>6929.9999999999991</v>
      </c>
    </row>
    <row r="53" spans="1:34" ht="30" x14ac:dyDescent="0.35">
      <c r="A53" s="166" t="str">
        <f t="shared" si="0"/>
        <v>x</v>
      </c>
      <c r="B53" s="200" t="s">
        <v>352</v>
      </c>
      <c r="C53" s="200"/>
      <c r="D53" s="180" t="s">
        <v>355</v>
      </c>
      <c r="E53" s="180" t="s">
        <v>541</v>
      </c>
      <c r="F53" s="180" t="s">
        <v>527</v>
      </c>
      <c r="G53" s="180" t="s">
        <v>331</v>
      </c>
      <c r="H53" s="187"/>
      <c r="I53" s="212">
        <v>1</v>
      </c>
      <c r="J53" s="187"/>
      <c r="K53" s="187"/>
      <c r="L53" s="192" t="s">
        <v>312</v>
      </c>
      <c r="M53" s="183">
        <f t="shared" si="9"/>
        <v>1</v>
      </c>
      <c r="N53" s="201">
        <v>150</v>
      </c>
      <c r="O53" s="202">
        <v>150</v>
      </c>
      <c r="P53" s="186">
        <f>N53*O53*60%</f>
        <v>13500</v>
      </c>
      <c r="Q53" s="185" t="s">
        <v>356</v>
      </c>
      <c r="R53" s="203">
        <f t="shared" si="41"/>
        <v>150</v>
      </c>
      <c r="S53" s="204">
        <f>O53*22%*60%</f>
        <v>19.8</v>
      </c>
      <c r="T53" s="186">
        <f t="shared" si="38"/>
        <v>2970</v>
      </c>
      <c r="U53" s="205"/>
      <c r="V53" s="168">
        <f t="shared" si="3"/>
        <v>16470</v>
      </c>
      <c r="W53" s="307">
        <f t="shared" si="17"/>
        <v>2970</v>
      </c>
      <c r="X53" s="307">
        <f t="shared" si="19"/>
        <v>2970</v>
      </c>
      <c r="Y53" s="307">
        <f t="shared" si="19"/>
        <v>2970</v>
      </c>
      <c r="Z53" s="307">
        <f t="shared" si="19"/>
        <v>2970</v>
      </c>
      <c r="AA53" s="307">
        <f t="shared" si="19"/>
        <v>2970</v>
      </c>
      <c r="AB53" s="168">
        <f t="shared" si="5"/>
        <v>0</v>
      </c>
      <c r="AC53" s="168">
        <f t="shared" si="20"/>
        <v>2970</v>
      </c>
      <c r="AD53" s="307">
        <f t="shared" si="40"/>
        <v>2970</v>
      </c>
      <c r="AE53" s="307">
        <f t="shared" si="40"/>
        <v>2970</v>
      </c>
      <c r="AF53" s="307">
        <f t="shared" si="40"/>
        <v>2970</v>
      </c>
      <c r="AG53" s="307">
        <f t="shared" si="40"/>
        <v>2970</v>
      </c>
      <c r="AH53" s="307">
        <f t="shared" si="40"/>
        <v>2970</v>
      </c>
    </row>
    <row r="54" spans="1:34" x14ac:dyDescent="0.35">
      <c r="A54" s="166" t="str">
        <f t="shared" si="0"/>
        <v>x</v>
      </c>
      <c r="B54" s="200" t="s">
        <v>352</v>
      </c>
      <c r="C54" s="200"/>
      <c r="D54" s="180" t="s">
        <v>357</v>
      </c>
      <c r="E54" s="180" t="s">
        <v>541</v>
      </c>
      <c r="F54" s="180" t="s">
        <v>527</v>
      </c>
      <c r="G54" s="180" t="s">
        <v>331</v>
      </c>
      <c r="H54" s="187"/>
      <c r="I54" s="212">
        <v>1</v>
      </c>
      <c r="J54" s="187"/>
      <c r="K54" s="187"/>
      <c r="L54" s="192" t="s">
        <v>312</v>
      </c>
      <c r="M54" s="183">
        <f t="shared" si="9"/>
        <v>1</v>
      </c>
      <c r="N54" s="201">
        <v>150</v>
      </c>
      <c r="O54" s="202">
        <v>350</v>
      </c>
      <c r="P54" s="186">
        <f>N54*O54*60%</f>
        <v>31500</v>
      </c>
      <c r="Q54" s="185" t="s">
        <v>356</v>
      </c>
      <c r="R54" s="203">
        <f t="shared" si="41"/>
        <v>150</v>
      </c>
      <c r="S54" s="204">
        <f>O54*22%*60%</f>
        <v>46.199999999999996</v>
      </c>
      <c r="T54" s="186">
        <f t="shared" si="38"/>
        <v>6929.9999999999991</v>
      </c>
      <c r="U54" s="205"/>
      <c r="V54" s="168">
        <f t="shared" si="3"/>
        <v>38430</v>
      </c>
      <c r="W54" s="307">
        <f t="shared" si="17"/>
        <v>6929.9999999999991</v>
      </c>
      <c r="X54" s="307">
        <f t="shared" si="19"/>
        <v>6929.9999999999991</v>
      </c>
      <c r="Y54" s="307">
        <f t="shared" si="19"/>
        <v>6929.9999999999991</v>
      </c>
      <c r="Z54" s="307">
        <f t="shared" si="19"/>
        <v>6929.9999999999991</v>
      </c>
      <c r="AA54" s="307">
        <f t="shared" si="19"/>
        <v>6929.9999999999991</v>
      </c>
      <c r="AB54" s="168">
        <f t="shared" si="5"/>
        <v>0</v>
      </c>
      <c r="AC54" s="168">
        <f t="shared" si="20"/>
        <v>6929.9999999999991</v>
      </c>
      <c r="AD54" s="307">
        <f t="shared" si="40"/>
        <v>6929.9999999999991</v>
      </c>
      <c r="AE54" s="307">
        <f t="shared" si="40"/>
        <v>6929.9999999999991</v>
      </c>
      <c r="AF54" s="307">
        <f t="shared" si="40"/>
        <v>6929.9999999999991</v>
      </c>
      <c r="AG54" s="307">
        <f t="shared" si="40"/>
        <v>6929.9999999999991</v>
      </c>
      <c r="AH54" s="307">
        <f t="shared" si="40"/>
        <v>6929.9999999999991</v>
      </c>
    </row>
    <row r="55" spans="1:34" x14ac:dyDescent="0.35">
      <c r="A55" s="166" t="str">
        <f t="shared" si="0"/>
        <v/>
      </c>
      <c r="B55" s="180" t="s">
        <v>368</v>
      </c>
      <c r="C55" s="180"/>
      <c r="D55" s="180" t="s">
        <v>369</v>
      </c>
      <c r="E55" s="180" t="s">
        <v>556</v>
      </c>
      <c r="F55" s="180" t="s">
        <v>527</v>
      </c>
      <c r="G55" s="180" t="s">
        <v>370</v>
      </c>
      <c r="H55" s="187"/>
      <c r="I55" s="212">
        <v>1</v>
      </c>
      <c r="J55" s="187"/>
      <c r="K55" s="187"/>
      <c r="L55" s="192" t="s">
        <v>312</v>
      </c>
      <c r="M55" s="183">
        <f t="shared" si="9"/>
        <v>1</v>
      </c>
      <c r="N55" s="184">
        <v>2</v>
      </c>
      <c r="O55" s="185">
        <v>5000</v>
      </c>
      <c r="P55" s="186">
        <f>N55*O55</f>
        <v>10000</v>
      </c>
      <c r="Q55" s="185"/>
      <c r="R55" s="203">
        <f>N55</f>
        <v>2</v>
      </c>
      <c r="S55" s="185"/>
      <c r="T55" s="186">
        <f t="shared" si="38"/>
        <v>0</v>
      </c>
      <c r="U55" s="180"/>
      <c r="V55" s="168">
        <f t="shared" si="3"/>
        <v>10000</v>
      </c>
      <c r="W55" s="307">
        <f t="shared" si="17"/>
        <v>0</v>
      </c>
      <c r="X55" s="307">
        <f t="shared" si="19"/>
        <v>0</v>
      </c>
      <c r="Y55" s="307">
        <f t="shared" si="19"/>
        <v>0</v>
      </c>
      <c r="Z55" s="307">
        <f t="shared" si="19"/>
        <v>0</v>
      </c>
      <c r="AA55" s="307">
        <f t="shared" si="19"/>
        <v>0</v>
      </c>
      <c r="AB55" s="168">
        <f t="shared" si="5"/>
        <v>0</v>
      </c>
      <c r="AC55" s="168">
        <f t="shared" si="20"/>
        <v>0</v>
      </c>
      <c r="AD55" s="307">
        <f t="shared" si="40"/>
        <v>0</v>
      </c>
      <c r="AE55" s="307">
        <f t="shared" si="40"/>
        <v>0</v>
      </c>
      <c r="AF55" s="307">
        <f t="shared" si="40"/>
        <v>0</v>
      </c>
      <c r="AG55" s="307">
        <f t="shared" si="40"/>
        <v>0</v>
      </c>
      <c r="AH55" s="307">
        <f t="shared" si="40"/>
        <v>0</v>
      </c>
    </row>
    <row r="56" spans="1:34" ht="20" x14ac:dyDescent="0.35">
      <c r="A56" s="166" t="str">
        <f t="shared" si="0"/>
        <v/>
      </c>
      <c r="B56" s="191" t="s">
        <v>379</v>
      </c>
      <c r="C56" s="191"/>
      <c r="D56" s="210" t="s">
        <v>381</v>
      </c>
      <c r="E56" s="210"/>
      <c r="F56" s="180" t="s">
        <v>527</v>
      </c>
      <c r="G56" s="191" t="s">
        <v>378</v>
      </c>
      <c r="H56" s="192"/>
      <c r="I56" s="212">
        <v>1</v>
      </c>
      <c r="J56" s="192"/>
      <c r="K56" s="192"/>
      <c r="L56" s="192" t="s">
        <v>312</v>
      </c>
      <c r="M56" s="183">
        <f t="shared" si="9"/>
        <v>1</v>
      </c>
      <c r="N56" s="184">
        <v>0</v>
      </c>
      <c r="O56" s="185">
        <v>2000</v>
      </c>
      <c r="P56" s="186">
        <f>N56*O56</f>
        <v>0</v>
      </c>
      <c r="Q56" s="185"/>
      <c r="R56" s="203">
        <f>N56</f>
        <v>0</v>
      </c>
      <c r="S56" s="204">
        <f>20%*O56</f>
        <v>400</v>
      </c>
      <c r="T56" s="186">
        <f>S56*R56</f>
        <v>0</v>
      </c>
      <c r="U56" s="205"/>
      <c r="V56" s="168">
        <f t="shared" si="3"/>
        <v>0</v>
      </c>
      <c r="W56" s="307">
        <f t="shared" si="17"/>
        <v>0</v>
      </c>
      <c r="X56" s="307">
        <f t="shared" si="19"/>
        <v>0</v>
      </c>
      <c r="Y56" s="307">
        <f t="shared" si="19"/>
        <v>0</v>
      </c>
      <c r="Z56" s="307">
        <f t="shared" si="19"/>
        <v>0</v>
      </c>
      <c r="AA56" s="307">
        <f t="shared" si="19"/>
        <v>0</v>
      </c>
      <c r="AB56" s="168">
        <f t="shared" si="5"/>
        <v>0</v>
      </c>
      <c r="AC56" s="168">
        <f t="shared" si="20"/>
        <v>0</v>
      </c>
      <c r="AD56" s="307">
        <f t="shared" si="40"/>
        <v>0</v>
      </c>
      <c r="AE56" s="307">
        <f t="shared" si="40"/>
        <v>0</v>
      </c>
      <c r="AF56" s="307">
        <f t="shared" si="40"/>
        <v>0</v>
      </c>
      <c r="AG56" s="307">
        <f t="shared" si="40"/>
        <v>0</v>
      </c>
      <c r="AH56" s="307">
        <f t="shared" si="40"/>
        <v>0</v>
      </c>
    </row>
    <row r="57" spans="1:34" x14ac:dyDescent="0.35">
      <c r="A57" s="166" t="str">
        <f t="shared" si="0"/>
        <v/>
      </c>
      <c r="B57" s="180" t="s">
        <v>382</v>
      </c>
      <c r="C57" s="180"/>
      <c r="D57" s="210" t="s">
        <v>383</v>
      </c>
      <c r="E57" s="210"/>
      <c r="F57" s="210" t="s">
        <v>523</v>
      </c>
      <c r="G57" s="184" t="s">
        <v>322</v>
      </c>
      <c r="H57" s="212">
        <v>0</v>
      </c>
      <c r="I57" s="212">
        <v>1</v>
      </c>
      <c r="J57" s="212">
        <v>0</v>
      </c>
      <c r="K57" s="212"/>
      <c r="L57" s="192" t="s">
        <v>312</v>
      </c>
      <c r="M57" s="183">
        <f t="shared" si="9"/>
        <v>1</v>
      </c>
      <c r="N57" s="184">
        <v>300</v>
      </c>
      <c r="O57" s="185">
        <v>100</v>
      </c>
      <c r="P57" s="186">
        <f>N57*O57</f>
        <v>30000</v>
      </c>
      <c r="Q57" s="185"/>
      <c r="R57" s="184">
        <v>0</v>
      </c>
      <c r="S57" s="185">
        <v>300</v>
      </c>
      <c r="T57" s="186">
        <f>S57*R57</f>
        <v>0</v>
      </c>
      <c r="U57" s="180"/>
      <c r="V57" s="168">
        <f t="shared" si="3"/>
        <v>30000</v>
      </c>
      <c r="W57" s="307">
        <f t="shared" si="17"/>
        <v>0</v>
      </c>
      <c r="X57" s="307">
        <f t="shared" si="19"/>
        <v>0</v>
      </c>
      <c r="Y57" s="307">
        <f t="shared" si="19"/>
        <v>0</v>
      </c>
      <c r="Z57" s="307">
        <f t="shared" si="19"/>
        <v>0</v>
      </c>
      <c r="AA57" s="307">
        <f t="shared" si="19"/>
        <v>0</v>
      </c>
      <c r="AB57" s="168">
        <f t="shared" si="5"/>
        <v>0</v>
      </c>
      <c r="AC57" s="168">
        <f t="shared" si="20"/>
        <v>0</v>
      </c>
      <c r="AD57" s="307">
        <f t="shared" si="40"/>
        <v>0</v>
      </c>
      <c r="AE57" s="307">
        <f t="shared" si="40"/>
        <v>0</v>
      </c>
      <c r="AF57" s="307">
        <f t="shared" si="40"/>
        <v>0</v>
      </c>
      <c r="AG57" s="307">
        <f t="shared" si="40"/>
        <v>0</v>
      </c>
      <c r="AH57" s="307">
        <f t="shared" si="40"/>
        <v>0</v>
      </c>
    </row>
    <row r="58" spans="1:34" ht="20" x14ac:dyDescent="0.35">
      <c r="A58" s="166" t="str">
        <f t="shared" si="0"/>
        <v>x</v>
      </c>
      <c r="B58" s="180" t="s">
        <v>318</v>
      </c>
      <c r="C58" s="180"/>
      <c r="D58" s="181" t="s">
        <v>319</v>
      </c>
      <c r="E58" s="180" t="s">
        <v>556</v>
      </c>
      <c r="F58" s="181" t="s">
        <v>518</v>
      </c>
      <c r="G58" s="181" t="s">
        <v>519</v>
      </c>
      <c r="H58" s="183"/>
      <c r="I58" s="183">
        <v>1</v>
      </c>
      <c r="J58" s="183"/>
      <c r="K58" s="183"/>
      <c r="L58" s="192" t="s">
        <v>312</v>
      </c>
      <c r="M58" s="183">
        <f t="shared" si="9"/>
        <v>1</v>
      </c>
      <c r="N58" s="184">
        <v>1</v>
      </c>
      <c r="O58" s="185">
        <v>3891.25</v>
      </c>
      <c r="P58" s="186">
        <f t="shared" ref="P58" si="42">N58*O58</f>
        <v>3891.25</v>
      </c>
      <c r="Q58" s="185"/>
      <c r="R58" s="184">
        <v>1</v>
      </c>
      <c r="S58" s="185">
        <f>2984*12*R58</f>
        <v>35808</v>
      </c>
      <c r="T58" s="186">
        <f>S58*R58</f>
        <v>35808</v>
      </c>
      <c r="U58" s="180" t="s">
        <v>520</v>
      </c>
      <c r="V58" s="168">
        <f t="shared" si="3"/>
        <v>39699.25</v>
      </c>
      <c r="W58" s="307">
        <f t="shared" si="17"/>
        <v>35808</v>
      </c>
      <c r="X58" s="307">
        <f t="shared" si="19"/>
        <v>35808</v>
      </c>
      <c r="Y58" s="307">
        <f t="shared" si="19"/>
        <v>35808</v>
      </c>
      <c r="Z58" s="307">
        <f t="shared" si="19"/>
        <v>35808</v>
      </c>
      <c r="AA58" s="307">
        <f t="shared" si="19"/>
        <v>35808</v>
      </c>
      <c r="AB58" s="168">
        <f t="shared" si="5"/>
        <v>0</v>
      </c>
      <c r="AC58" s="168">
        <f t="shared" si="20"/>
        <v>35808</v>
      </c>
      <c r="AD58" s="307">
        <f t="shared" si="40"/>
        <v>35808</v>
      </c>
      <c r="AE58" s="307">
        <f t="shared" si="40"/>
        <v>35808</v>
      </c>
      <c r="AF58" s="307">
        <f t="shared" si="40"/>
        <v>35808</v>
      </c>
      <c r="AG58" s="307">
        <f t="shared" si="40"/>
        <v>35808</v>
      </c>
      <c r="AH58" s="307">
        <f t="shared" si="40"/>
        <v>35808</v>
      </c>
    </row>
    <row r="59" spans="1:34" ht="30" x14ac:dyDescent="0.35">
      <c r="A59" s="166" t="str">
        <f t="shared" si="0"/>
        <v>x</v>
      </c>
      <c r="B59" s="180" t="s">
        <v>542</v>
      </c>
      <c r="C59" s="180"/>
      <c r="D59" s="180" t="s">
        <v>557</v>
      </c>
      <c r="E59" s="180" t="s">
        <v>556</v>
      </c>
      <c r="F59" s="180" t="s">
        <v>523</v>
      </c>
      <c r="G59" s="180" t="s">
        <v>331</v>
      </c>
      <c r="H59" s="187"/>
      <c r="I59" s="187">
        <v>1</v>
      </c>
      <c r="J59" s="187"/>
      <c r="K59" s="187"/>
      <c r="L59" s="192" t="s">
        <v>312</v>
      </c>
      <c r="M59" s="183">
        <f t="shared" si="9"/>
        <v>1</v>
      </c>
      <c r="N59" s="184">
        <v>2</v>
      </c>
      <c r="O59" s="185">
        <v>16000</v>
      </c>
      <c r="P59" s="186">
        <f>N59*O59</f>
        <v>32000</v>
      </c>
      <c r="Q59" s="180" t="s">
        <v>327</v>
      </c>
      <c r="R59" s="184">
        <f t="shared" ref="R59:R64" si="43">N59</f>
        <v>2</v>
      </c>
      <c r="S59" s="185">
        <f>16%*O59</f>
        <v>2560</v>
      </c>
      <c r="T59" s="186">
        <f t="shared" ref="T59" si="44">S59*R59</f>
        <v>5120</v>
      </c>
      <c r="U59" s="190" t="s">
        <v>384</v>
      </c>
      <c r="V59" s="168">
        <f t="shared" si="3"/>
        <v>37120</v>
      </c>
      <c r="W59" s="307">
        <f t="shared" si="17"/>
        <v>5120</v>
      </c>
      <c r="X59" s="307">
        <f t="shared" si="19"/>
        <v>5120</v>
      </c>
      <c r="Y59" s="307">
        <f t="shared" si="19"/>
        <v>5120</v>
      </c>
      <c r="Z59" s="307">
        <f t="shared" si="19"/>
        <v>5120</v>
      </c>
      <c r="AA59" s="307">
        <f t="shared" si="19"/>
        <v>5120</v>
      </c>
      <c r="AB59" s="168">
        <f t="shared" si="5"/>
        <v>0</v>
      </c>
      <c r="AC59" s="168">
        <f t="shared" si="20"/>
        <v>5120</v>
      </c>
      <c r="AD59" s="307">
        <f t="shared" si="40"/>
        <v>5120</v>
      </c>
      <c r="AE59" s="307">
        <f t="shared" si="40"/>
        <v>5120</v>
      </c>
      <c r="AF59" s="307">
        <f t="shared" si="40"/>
        <v>5120</v>
      </c>
      <c r="AG59" s="307">
        <f t="shared" si="40"/>
        <v>5120</v>
      </c>
      <c r="AH59" s="307">
        <f t="shared" si="40"/>
        <v>5120</v>
      </c>
    </row>
    <row r="60" spans="1:34" ht="30" x14ac:dyDescent="0.35">
      <c r="A60" s="166" t="str">
        <f t="shared" si="0"/>
        <v>x</v>
      </c>
      <c r="B60" s="189" t="s">
        <v>332</v>
      </c>
      <c r="C60" s="189" t="s">
        <v>324</v>
      </c>
      <c r="D60" s="180" t="s">
        <v>539</v>
      </c>
      <c r="E60" s="180" t="s">
        <v>556</v>
      </c>
      <c r="F60" s="180" t="s">
        <v>523</v>
      </c>
      <c r="G60" s="180" t="s">
        <v>331</v>
      </c>
      <c r="H60" s="187"/>
      <c r="I60" s="187">
        <v>1</v>
      </c>
      <c r="J60" s="187"/>
      <c r="K60" s="187"/>
      <c r="L60" s="192" t="s">
        <v>312</v>
      </c>
      <c r="M60" s="183">
        <f t="shared" si="9"/>
        <v>1</v>
      </c>
      <c r="N60" s="184">
        <v>1</v>
      </c>
      <c r="O60" s="185">
        <v>8000</v>
      </c>
      <c r="P60" s="186">
        <f>O60*N60</f>
        <v>8000</v>
      </c>
      <c r="Q60" s="185"/>
      <c r="R60" s="184">
        <f t="shared" si="43"/>
        <v>1</v>
      </c>
      <c r="S60" s="185">
        <f t="shared" ref="S60:S64" si="45">21%*O60</f>
        <v>1680</v>
      </c>
      <c r="T60" s="186">
        <f>S60*R60</f>
        <v>1680</v>
      </c>
      <c r="U60" s="190" t="s">
        <v>384</v>
      </c>
      <c r="V60" s="168">
        <f t="shared" ref="V60:V61" si="46">P60</f>
        <v>8000</v>
      </c>
      <c r="W60" s="307">
        <f t="shared" si="17"/>
        <v>1680</v>
      </c>
      <c r="X60" s="307">
        <f t="shared" si="19"/>
        <v>1680</v>
      </c>
      <c r="Y60" s="307">
        <f t="shared" si="19"/>
        <v>1680</v>
      </c>
      <c r="Z60" s="307">
        <f t="shared" si="19"/>
        <v>1680</v>
      </c>
      <c r="AA60" s="307">
        <f t="shared" si="19"/>
        <v>1680</v>
      </c>
      <c r="AB60" s="168">
        <f t="shared" si="5"/>
        <v>8000</v>
      </c>
      <c r="AC60" s="168">
        <f t="shared" si="20"/>
        <v>1680</v>
      </c>
      <c r="AD60" s="307">
        <f t="shared" si="40"/>
        <v>1680</v>
      </c>
      <c r="AE60" s="307">
        <f t="shared" si="40"/>
        <v>1680</v>
      </c>
      <c r="AF60" s="307">
        <f t="shared" si="40"/>
        <v>1680</v>
      </c>
      <c r="AG60" s="307">
        <f t="shared" si="40"/>
        <v>1680</v>
      </c>
      <c r="AH60" s="307">
        <f t="shared" si="40"/>
        <v>1680</v>
      </c>
    </row>
    <row r="61" spans="1:34" ht="30" x14ac:dyDescent="0.35">
      <c r="A61" s="166" t="str">
        <f t="shared" si="0"/>
        <v/>
      </c>
      <c r="B61" s="189" t="s">
        <v>334</v>
      </c>
      <c r="C61" s="189"/>
      <c r="D61" s="180" t="s">
        <v>539</v>
      </c>
      <c r="E61" s="180" t="s">
        <v>556</v>
      </c>
      <c r="F61" s="180" t="s">
        <v>523</v>
      </c>
      <c r="G61" s="180" t="s">
        <v>326</v>
      </c>
      <c r="H61" s="187"/>
      <c r="I61" s="187">
        <v>1</v>
      </c>
      <c r="J61" s="187"/>
      <c r="K61" s="187"/>
      <c r="L61" s="192" t="s">
        <v>312</v>
      </c>
      <c r="M61" s="183">
        <f t="shared" si="9"/>
        <v>1</v>
      </c>
      <c r="N61" s="184">
        <v>0</v>
      </c>
      <c r="O61" s="185">
        <v>8000</v>
      </c>
      <c r="P61" s="186">
        <f>O61*N61</f>
        <v>0</v>
      </c>
      <c r="Q61" s="185"/>
      <c r="R61" s="184">
        <f t="shared" si="43"/>
        <v>0</v>
      </c>
      <c r="S61" s="185">
        <f t="shared" si="45"/>
        <v>1680</v>
      </c>
      <c r="T61" s="186">
        <f>S61*R61</f>
        <v>0</v>
      </c>
      <c r="U61" s="190" t="s">
        <v>384</v>
      </c>
      <c r="V61" s="168">
        <f t="shared" si="46"/>
        <v>0</v>
      </c>
      <c r="W61" s="307">
        <f t="shared" si="17"/>
        <v>0</v>
      </c>
      <c r="X61" s="307">
        <f t="shared" si="19"/>
        <v>0</v>
      </c>
      <c r="Y61" s="307">
        <f t="shared" si="19"/>
        <v>0</v>
      </c>
      <c r="Z61" s="307">
        <f t="shared" si="19"/>
        <v>0</v>
      </c>
      <c r="AA61" s="307">
        <f t="shared" si="19"/>
        <v>0</v>
      </c>
      <c r="AB61" s="168">
        <f t="shared" si="5"/>
        <v>0</v>
      </c>
      <c r="AC61" s="168">
        <f t="shared" si="20"/>
        <v>0</v>
      </c>
      <c r="AD61" s="307">
        <f t="shared" si="40"/>
        <v>0</v>
      </c>
      <c r="AE61" s="307">
        <f t="shared" si="40"/>
        <v>0</v>
      </c>
      <c r="AF61" s="307">
        <f t="shared" si="40"/>
        <v>0</v>
      </c>
      <c r="AG61" s="307">
        <f t="shared" si="40"/>
        <v>0</v>
      </c>
      <c r="AH61" s="307">
        <f t="shared" si="40"/>
        <v>0</v>
      </c>
    </row>
    <row r="62" spans="1:34" ht="20" x14ac:dyDescent="0.35">
      <c r="A62" s="166" t="str">
        <f t="shared" si="0"/>
        <v/>
      </c>
      <c r="B62" s="189" t="s">
        <v>336</v>
      </c>
      <c r="C62" s="189" t="s">
        <v>324</v>
      </c>
      <c r="D62" s="180" t="s">
        <v>337</v>
      </c>
      <c r="E62" s="180"/>
      <c r="F62" s="180" t="s">
        <v>523</v>
      </c>
      <c r="G62" s="180" t="s">
        <v>331</v>
      </c>
      <c r="H62" s="182"/>
      <c r="I62" s="187">
        <v>1</v>
      </c>
      <c r="J62" s="187"/>
      <c r="K62" s="187"/>
      <c r="L62" s="192" t="s">
        <v>312</v>
      </c>
      <c r="M62" s="183">
        <f t="shared" si="9"/>
        <v>1</v>
      </c>
      <c r="N62" s="184"/>
      <c r="O62" s="185">
        <v>65000</v>
      </c>
      <c r="P62" s="186">
        <f t="shared" ref="P62:P64" si="47">N62*O62</f>
        <v>0</v>
      </c>
      <c r="Q62" s="185"/>
      <c r="R62" s="184">
        <f t="shared" si="43"/>
        <v>0</v>
      </c>
      <c r="S62" s="185">
        <f t="shared" si="45"/>
        <v>13650</v>
      </c>
      <c r="T62" s="186">
        <f t="shared" ref="T62:T64" si="48">S62*R62</f>
        <v>0</v>
      </c>
      <c r="U62" s="180"/>
      <c r="V62" s="168">
        <f t="shared" si="3"/>
        <v>0</v>
      </c>
      <c r="W62" s="307">
        <f t="shared" si="17"/>
        <v>0</v>
      </c>
      <c r="X62" s="307">
        <f t="shared" si="19"/>
        <v>0</v>
      </c>
      <c r="Y62" s="307">
        <f t="shared" si="19"/>
        <v>0</v>
      </c>
      <c r="Z62" s="307">
        <f t="shared" si="19"/>
        <v>0</v>
      </c>
      <c r="AA62" s="307">
        <f t="shared" si="19"/>
        <v>0</v>
      </c>
      <c r="AB62" s="168">
        <f t="shared" si="5"/>
        <v>0</v>
      </c>
      <c r="AC62" s="168">
        <f t="shared" si="20"/>
        <v>0</v>
      </c>
      <c r="AD62" s="307">
        <f t="shared" si="40"/>
        <v>0</v>
      </c>
      <c r="AE62" s="307">
        <f t="shared" si="40"/>
        <v>0</v>
      </c>
      <c r="AF62" s="307">
        <f t="shared" si="40"/>
        <v>0</v>
      </c>
      <c r="AG62" s="307">
        <f t="shared" si="40"/>
        <v>0</v>
      </c>
      <c r="AH62" s="307">
        <f t="shared" si="40"/>
        <v>0</v>
      </c>
    </row>
    <row r="63" spans="1:34" ht="30" x14ac:dyDescent="0.35">
      <c r="A63" s="166" t="str">
        <f t="shared" si="0"/>
        <v>x</v>
      </c>
      <c r="B63" s="189" t="s">
        <v>323</v>
      </c>
      <c r="C63" s="189" t="s">
        <v>324</v>
      </c>
      <c r="D63" s="180" t="s">
        <v>539</v>
      </c>
      <c r="E63" s="180" t="s">
        <v>556</v>
      </c>
      <c r="F63" s="180" t="s">
        <v>523</v>
      </c>
      <c r="G63" s="180" t="s">
        <v>331</v>
      </c>
      <c r="H63" s="187"/>
      <c r="I63" s="187">
        <v>1</v>
      </c>
      <c r="J63" s="187"/>
      <c r="K63" s="187"/>
      <c r="L63" s="192" t="s">
        <v>312</v>
      </c>
      <c r="M63" s="183">
        <f t="shared" si="9"/>
        <v>1</v>
      </c>
      <c r="N63" s="184">
        <v>3</v>
      </c>
      <c r="O63" s="185">
        <v>16000</v>
      </c>
      <c r="P63" s="186">
        <f t="shared" si="47"/>
        <v>48000</v>
      </c>
      <c r="Q63" s="180" t="s">
        <v>327</v>
      </c>
      <c r="R63" s="184">
        <f t="shared" si="43"/>
        <v>3</v>
      </c>
      <c r="S63" s="185">
        <f>21%*O63</f>
        <v>3360</v>
      </c>
      <c r="T63" s="186">
        <f t="shared" si="48"/>
        <v>10080</v>
      </c>
      <c r="U63" s="190" t="s">
        <v>328</v>
      </c>
      <c r="V63" s="168">
        <f t="shared" ref="V63" si="49">P63</f>
        <v>48000</v>
      </c>
      <c r="W63" s="307">
        <f t="shared" si="17"/>
        <v>10080</v>
      </c>
      <c r="X63" s="307">
        <f t="shared" si="19"/>
        <v>10080</v>
      </c>
      <c r="Y63" s="307">
        <f t="shared" si="19"/>
        <v>10080</v>
      </c>
      <c r="Z63" s="307">
        <f t="shared" si="19"/>
        <v>10080</v>
      </c>
      <c r="AA63" s="307">
        <f t="shared" si="19"/>
        <v>10080</v>
      </c>
      <c r="AB63" s="168">
        <f>IF(C63="R",P63,)</f>
        <v>48000</v>
      </c>
      <c r="AC63" s="168">
        <f t="shared" si="20"/>
        <v>10080</v>
      </c>
      <c r="AD63" s="307">
        <f t="shared" si="40"/>
        <v>10080</v>
      </c>
      <c r="AE63" s="307">
        <f t="shared" si="40"/>
        <v>10080</v>
      </c>
      <c r="AF63" s="307">
        <f t="shared" si="40"/>
        <v>10080</v>
      </c>
      <c r="AG63" s="307">
        <f t="shared" si="40"/>
        <v>10080</v>
      </c>
      <c r="AH63" s="307">
        <f t="shared" si="40"/>
        <v>10080</v>
      </c>
    </row>
    <row r="64" spans="1:34" ht="30" x14ac:dyDescent="0.35">
      <c r="A64" s="166" t="str">
        <f t="shared" si="0"/>
        <v>x</v>
      </c>
      <c r="B64" s="189" t="s">
        <v>546</v>
      </c>
      <c r="C64" s="189" t="s">
        <v>324</v>
      </c>
      <c r="D64" s="180" t="s">
        <v>539</v>
      </c>
      <c r="E64" s="180" t="s">
        <v>556</v>
      </c>
      <c r="F64" s="180" t="s">
        <v>523</v>
      </c>
      <c r="G64" s="180" t="s">
        <v>331</v>
      </c>
      <c r="H64" s="187"/>
      <c r="I64" s="187">
        <v>1</v>
      </c>
      <c r="J64" s="187"/>
      <c r="K64" s="187"/>
      <c r="L64" s="192" t="s">
        <v>312</v>
      </c>
      <c r="M64" s="183">
        <f t="shared" si="9"/>
        <v>1</v>
      </c>
      <c r="N64" s="184">
        <v>1</v>
      </c>
      <c r="O64" s="185">
        <v>8000</v>
      </c>
      <c r="P64" s="186">
        <f t="shared" si="47"/>
        <v>8000</v>
      </c>
      <c r="Q64" s="185"/>
      <c r="R64" s="184">
        <f t="shared" si="43"/>
        <v>1</v>
      </c>
      <c r="S64" s="185">
        <f t="shared" si="45"/>
        <v>1680</v>
      </c>
      <c r="T64" s="186">
        <f t="shared" si="48"/>
        <v>1680</v>
      </c>
      <c r="U64" s="190" t="s">
        <v>384</v>
      </c>
      <c r="V64" s="168">
        <f>P64</f>
        <v>8000</v>
      </c>
      <c r="W64" s="307">
        <f t="shared" si="17"/>
        <v>1680</v>
      </c>
      <c r="X64" s="307">
        <f t="shared" si="19"/>
        <v>1680</v>
      </c>
      <c r="Y64" s="307">
        <f t="shared" si="19"/>
        <v>1680</v>
      </c>
      <c r="Z64" s="307">
        <f t="shared" si="19"/>
        <v>1680</v>
      </c>
      <c r="AA64" s="307">
        <f t="shared" si="19"/>
        <v>1680</v>
      </c>
      <c r="AB64" s="168">
        <f t="shared" si="5"/>
        <v>8000</v>
      </c>
      <c r="AC64" s="168">
        <f t="shared" si="20"/>
        <v>1680</v>
      </c>
      <c r="AD64" s="307">
        <f t="shared" si="40"/>
        <v>1680</v>
      </c>
      <c r="AE64" s="307">
        <f t="shared" si="40"/>
        <v>1680</v>
      </c>
      <c r="AF64" s="307">
        <f t="shared" si="40"/>
        <v>1680</v>
      </c>
      <c r="AG64" s="307">
        <f t="shared" si="40"/>
        <v>1680</v>
      </c>
      <c r="AH64" s="307">
        <f t="shared" si="40"/>
        <v>1680</v>
      </c>
    </row>
    <row r="65" spans="1:35" x14ac:dyDescent="0.35">
      <c r="A65" s="166" t="str">
        <f t="shared" si="0"/>
        <v/>
      </c>
      <c r="B65" s="189" t="s">
        <v>382</v>
      </c>
      <c r="C65" s="189" t="s">
        <v>324</v>
      </c>
      <c r="D65" s="210" t="s">
        <v>383</v>
      </c>
      <c r="E65" s="210"/>
      <c r="F65" s="180" t="s">
        <v>523</v>
      </c>
      <c r="G65" s="184" t="s">
        <v>322</v>
      </c>
      <c r="H65" s="212">
        <v>0</v>
      </c>
      <c r="I65" s="212">
        <v>1</v>
      </c>
      <c r="J65" s="212">
        <v>0</v>
      </c>
      <c r="K65" s="212"/>
      <c r="L65" s="192" t="s">
        <v>312</v>
      </c>
      <c r="M65" s="183">
        <f t="shared" si="9"/>
        <v>1</v>
      </c>
      <c r="N65" s="184">
        <v>150</v>
      </c>
      <c r="O65" s="185">
        <v>100</v>
      </c>
      <c r="P65" s="186">
        <f>N65*O65</f>
        <v>15000</v>
      </c>
      <c r="Q65" s="185"/>
      <c r="R65" s="184">
        <v>0</v>
      </c>
      <c r="S65" s="185">
        <v>300</v>
      </c>
      <c r="T65" s="186">
        <f>S65*R65</f>
        <v>0</v>
      </c>
      <c r="U65" s="180"/>
      <c r="V65" s="168">
        <f t="shared" si="3"/>
        <v>15000</v>
      </c>
      <c r="W65" s="307">
        <f t="shared" si="17"/>
        <v>0</v>
      </c>
      <c r="X65" s="307">
        <f t="shared" si="19"/>
        <v>0</v>
      </c>
      <c r="Y65" s="307">
        <f t="shared" si="19"/>
        <v>0</v>
      </c>
      <c r="Z65" s="307">
        <f t="shared" si="19"/>
        <v>0</v>
      </c>
      <c r="AA65" s="307">
        <f t="shared" si="19"/>
        <v>0</v>
      </c>
      <c r="AB65" s="168">
        <f t="shared" si="5"/>
        <v>15000</v>
      </c>
      <c r="AC65" s="168">
        <f t="shared" si="20"/>
        <v>0</v>
      </c>
      <c r="AD65" s="307">
        <f t="shared" si="40"/>
        <v>0</v>
      </c>
      <c r="AE65" s="307">
        <f t="shared" si="40"/>
        <v>0</v>
      </c>
      <c r="AF65" s="307">
        <f t="shared" si="40"/>
        <v>0</v>
      </c>
      <c r="AG65" s="307">
        <f t="shared" si="40"/>
        <v>0</v>
      </c>
      <c r="AH65" s="307">
        <f t="shared" si="40"/>
        <v>0</v>
      </c>
    </row>
    <row r="66" spans="1:35" ht="30" x14ac:dyDescent="0.35">
      <c r="A66" s="166" t="str">
        <f t="shared" si="0"/>
        <v>x</v>
      </c>
      <c r="B66" s="189" t="s">
        <v>340</v>
      </c>
      <c r="C66" s="189" t="s">
        <v>324</v>
      </c>
      <c r="D66" s="180" t="s">
        <v>341</v>
      </c>
      <c r="E66" s="180" t="s">
        <v>556</v>
      </c>
      <c r="F66" s="180" t="s">
        <v>523</v>
      </c>
      <c r="G66" s="180" t="s">
        <v>342</v>
      </c>
      <c r="H66" s="183"/>
      <c r="I66" s="187">
        <v>1</v>
      </c>
      <c r="J66" s="187"/>
      <c r="K66" s="187"/>
      <c r="L66" s="192" t="s">
        <v>312</v>
      </c>
      <c r="M66" s="183">
        <f t="shared" si="9"/>
        <v>1</v>
      </c>
      <c r="N66" s="184">
        <v>4</v>
      </c>
      <c r="O66" s="188">
        <v>20400</v>
      </c>
      <c r="P66" s="186">
        <f t="shared" ref="P66:P68" si="50">N66*O66</f>
        <v>81600</v>
      </c>
      <c r="Q66" s="185" t="s">
        <v>343</v>
      </c>
      <c r="R66" s="184">
        <f>N66</f>
        <v>4</v>
      </c>
      <c r="S66" s="185">
        <f>21%*O66</f>
        <v>4284</v>
      </c>
      <c r="T66" s="186">
        <f t="shared" ref="T66:T67" si="51">S66*R66</f>
        <v>17136</v>
      </c>
      <c r="U66" s="190" t="s">
        <v>384</v>
      </c>
      <c r="V66" s="168">
        <f t="shared" si="3"/>
        <v>98736</v>
      </c>
      <c r="W66" s="307">
        <f t="shared" si="17"/>
        <v>17136</v>
      </c>
      <c r="X66" s="307">
        <f t="shared" si="19"/>
        <v>17136</v>
      </c>
      <c r="Y66" s="307">
        <f t="shared" si="19"/>
        <v>17136</v>
      </c>
      <c r="Z66" s="307">
        <f t="shared" si="19"/>
        <v>17136</v>
      </c>
      <c r="AA66" s="307">
        <f t="shared" si="19"/>
        <v>17136</v>
      </c>
      <c r="AB66" s="168">
        <f t="shared" si="5"/>
        <v>81600</v>
      </c>
      <c r="AC66" s="168">
        <f t="shared" si="20"/>
        <v>17136</v>
      </c>
      <c r="AD66" s="307">
        <f t="shared" si="40"/>
        <v>17136</v>
      </c>
      <c r="AE66" s="307">
        <f t="shared" si="40"/>
        <v>17136</v>
      </c>
      <c r="AF66" s="307">
        <f t="shared" si="40"/>
        <v>17136</v>
      </c>
      <c r="AG66" s="307">
        <f t="shared" si="40"/>
        <v>17136</v>
      </c>
      <c r="AH66" s="307">
        <f t="shared" si="40"/>
        <v>17136</v>
      </c>
    </row>
    <row r="67" spans="1:35" ht="20" x14ac:dyDescent="0.35">
      <c r="A67" s="166" t="str">
        <f t="shared" si="0"/>
        <v>x</v>
      </c>
      <c r="B67" s="189" t="s">
        <v>346</v>
      </c>
      <c r="C67" s="189" t="s">
        <v>324</v>
      </c>
      <c r="D67" s="198" t="s">
        <v>347</v>
      </c>
      <c r="E67" s="198"/>
      <c r="F67" s="180" t="s">
        <v>523</v>
      </c>
      <c r="G67" s="198" t="s">
        <v>342</v>
      </c>
      <c r="H67" s="199">
        <v>1</v>
      </c>
      <c r="I67" s="212"/>
      <c r="J67" s="199"/>
      <c r="K67" s="199"/>
      <c r="L67" s="199" t="s">
        <v>311</v>
      </c>
      <c r="M67" s="183">
        <f t="shared" si="9"/>
        <v>1</v>
      </c>
      <c r="N67" s="184"/>
      <c r="O67" s="188">
        <v>17000</v>
      </c>
      <c r="P67" s="186">
        <f t="shared" si="50"/>
        <v>0</v>
      </c>
      <c r="Q67" s="185"/>
      <c r="R67" s="184">
        <v>3</v>
      </c>
      <c r="S67" s="204">
        <f>6500/3</f>
        <v>2166.6666666666665</v>
      </c>
      <c r="T67" s="186">
        <f t="shared" si="51"/>
        <v>6500</v>
      </c>
      <c r="U67" s="180" t="s">
        <v>558</v>
      </c>
      <c r="W67" s="307">
        <f t="shared" si="17"/>
        <v>6500</v>
      </c>
      <c r="X67" s="307">
        <f t="shared" si="19"/>
        <v>6500</v>
      </c>
      <c r="Y67" s="307">
        <f t="shared" si="19"/>
        <v>6500</v>
      </c>
      <c r="Z67" s="307">
        <f t="shared" si="19"/>
        <v>6500</v>
      </c>
      <c r="AA67" s="307">
        <f t="shared" si="19"/>
        <v>6500</v>
      </c>
      <c r="AB67" s="168">
        <f t="shared" si="5"/>
        <v>0</v>
      </c>
      <c r="AC67" s="168">
        <f t="shared" si="20"/>
        <v>6500</v>
      </c>
      <c r="AD67" s="307">
        <f t="shared" ref="AD67:AH76" si="52">AC67+AC67*$W$2</f>
        <v>6500</v>
      </c>
      <c r="AE67" s="307">
        <f t="shared" si="52"/>
        <v>6500</v>
      </c>
      <c r="AF67" s="307">
        <f t="shared" si="52"/>
        <v>6500</v>
      </c>
      <c r="AG67" s="307">
        <f t="shared" si="52"/>
        <v>6500</v>
      </c>
      <c r="AH67" s="307">
        <f t="shared" si="52"/>
        <v>6500</v>
      </c>
    </row>
    <row r="68" spans="1:35" x14ac:dyDescent="0.35">
      <c r="A68" s="166" t="str">
        <f t="shared" si="0"/>
        <v/>
      </c>
      <c r="B68" s="191" t="s">
        <v>386</v>
      </c>
      <c r="C68" s="191"/>
      <c r="D68" s="210" t="s">
        <v>387</v>
      </c>
      <c r="E68" s="210"/>
      <c r="F68" s="210" t="s">
        <v>550</v>
      </c>
      <c r="G68" s="191"/>
      <c r="H68" s="192"/>
      <c r="I68" s="212">
        <v>1</v>
      </c>
      <c r="J68" s="192"/>
      <c r="K68" s="192"/>
      <c r="L68" s="192" t="s">
        <v>312</v>
      </c>
      <c r="M68" s="183">
        <f t="shared" si="9"/>
        <v>1</v>
      </c>
      <c r="N68" s="184">
        <v>0</v>
      </c>
      <c r="O68" s="193">
        <v>1000</v>
      </c>
      <c r="P68" s="194">
        <f t="shared" si="50"/>
        <v>0</v>
      </c>
      <c r="Q68" s="195"/>
      <c r="R68" s="184">
        <v>0</v>
      </c>
      <c r="S68" s="185">
        <f>12*300</f>
        <v>3600</v>
      </c>
      <c r="T68" s="186">
        <f>S68*R68</f>
        <v>0</v>
      </c>
      <c r="U68" s="180"/>
      <c r="V68" s="168">
        <f t="shared" si="3"/>
        <v>0</v>
      </c>
      <c r="W68" s="307">
        <f t="shared" si="17"/>
        <v>0</v>
      </c>
      <c r="X68" s="307">
        <f t="shared" si="19"/>
        <v>0</v>
      </c>
      <c r="Y68" s="307">
        <f t="shared" si="19"/>
        <v>0</v>
      </c>
      <c r="Z68" s="307">
        <f t="shared" si="19"/>
        <v>0</v>
      </c>
      <c r="AA68" s="307">
        <f t="shared" si="19"/>
        <v>0</v>
      </c>
      <c r="AB68" s="168">
        <f t="shared" si="5"/>
        <v>0</v>
      </c>
      <c r="AC68" s="168">
        <f t="shared" si="20"/>
        <v>0</v>
      </c>
      <c r="AD68" s="307">
        <f t="shared" si="52"/>
        <v>0</v>
      </c>
      <c r="AE68" s="307">
        <f t="shared" si="52"/>
        <v>0</v>
      </c>
      <c r="AF68" s="307">
        <f t="shared" si="52"/>
        <v>0</v>
      </c>
      <c r="AG68" s="307">
        <f t="shared" si="52"/>
        <v>0</v>
      </c>
      <c r="AH68" s="307">
        <f t="shared" si="52"/>
        <v>0</v>
      </c>
    </row>
    <row r="69" spans="1:35" x14ac:dyDescent="0.35">
      <c r="A69" s="166" t="str">
        <f t="shared" ref="A69:A76" si="53">IF(AA69&gt;0,"x","")</f>
        <v/>
      </c>
      <c r="B69" s="191" t="s">
        <v>388</v>
      </c>
      <c r="C69" s="191"/>
      <c r="D69" s="191" t="s">
        <v>351</v>
      </c>
      <c r="E69" s="191"/>
      <c r="F69" s="210" t="s">
        <v>550</v>
      </c>
      <c r="G69" s="191"/>
      <c r="H69" s="192"/>
      <c r="I69" s="212">
        <v>1</v>
      </c>
      <c r="J69" s="192"/>
      <c r="K69" s="192"/>
      <c r="L69" s="192" t="s">
        <v>312</v>
      </c>
      <c r="M69" s="183">
        <f t="shared" si="9"/>
        <v>1</v>
      </c>
      <c r="N69" s="184">
        <v>0</v>
      </c>
      <c r="O69" s="193">
        <v>1000</v>
      </c>
      <c r="P69" s="194">
        <f>N69*O69</f>
        <v>0</v>
      </c>
      <c r="Q69" s="195"/>
      <c r="R69" s="184">
        <f>N69</f>
        <v>0</v>
      </c>
      <c r="S69" s="185">
        <f>12*1500</f>
        <v>18000</v>
      </c>
      <c r="T69" s="186">
        <f>R69*S69</f>
        <v>0</v>
      </c>
      <c r="U69" s="180"/>
      <c r="V69" s="168">
        <f t="shared" si="3"/>
        <v>0</v>
      </c>
      <c r="W69" s="307">
        <f t="shared" si="17"/>
        <v>0</v>
      </c>
      <c r="X69" s="307">
        <f t="shared" si="19"/>
        <v>0</v>
      </c>
      <c r="Y69" s="307">
        <f t="shared" si="19"/>
        <v>0</v>
      </c>
      <c r="Z69" s="307">
        <f t="shared" si="19"/>
        <v>0</v>
      </c>
      <c r="AA69" s="307">
        <f t="shared" si="19"/>
        <v>0</v>
      </c>
      <c r="AB69" s="168">
        <f t="shared" si="5"/>
        <v>0</v>
      </c>
      <c r="AC69" s="168">
        <f t="shared" si="20"/>
        <v>0</v>
      </c>
      <c r="AD69" s="307">
        <f t="shared" si="52"/>
        <v>0</v>
      </c>
      <c r="AE69" s="307">
        <f t="shared" si="52"/>
        <v>0</v>
      </c>
      <c r="AF69" s="307">
        <f t="shared" si="52"/>
        <v>0</v>
      </c>
      <c r="AG69" s="307">
        <f t="shared" si="52"/>
        <v>0</v>
      </c>
      <c r="AH69" s="307">
        <f t="shared" si="52"/>
        <v>0</v>
      </c>
    </row>
    <row r="70" spans="1:35" x14ac:dyDescent="0.35">
      <c r="A70" s="166" t="str">
        <f t="shared" si="53"/>
        <v>x</v>
      </c>
      <c r="B70" s="200" t="s">
        <v>352</v>
      </c>
      <c r="C70" s="200"/>
      <c r="D70" s="180" t="s">
        <v>353</v>
      </c>
      <c r="E70" s="180" t="s">
        <v>556</v>
      </c>
      <c r="F70" s="180" t="s">
        <v>527</v>
      </c>
      <c r="G70" s="180" t="s">
        <v>331</v>
      </c>
      <c r="H70" s="187"/>
      <c r="I70" s="212">
        <v>1</v>
      </c>
      <c r="J70" s="187"/>
      <c r="K70" s="187"/>
      <c r="L70" s="192" t="s">
        <v>312</v>
      </c>
      <c r="M70" s="183">
        <f t="shared" ref="M70:M76" si="54">SUM(H70:K70)</f>
        <v>1</v>
      </c>
      <c r="N70" s="201">
        <v>3</v>
      </c>
      <c r="O70" s="202">
        <v>17500</v>
      </c>
      <c r="P70" s="186">
        <f>N70*O70*60%</f>
        <v>31500</v>
      </c>
      <c r="Q70" s="185" t="s">
        <v>354</v>
      </c>
      <c r="R70" s="203">
        <f t="shared" ref="R70:R72" si="55">N70</f>
        <v>3</v>
      </c>
      <c r="S70" s="204">
        <f>O70*22%*60%</f>
        <v>2310</v>
      </c>
      <c r="T70" s="186">
        <f t="shared" ref="T70:T76" si="56">S70*R70</f>
        <v>6930</v>
      </c>
      <c r="U70" s="205"/>
      <c r="V70" s="168">
        <f t="shared" si="3"/>
        <v>38430</v>
      </c>
      <c r="W70" s="307">
        <f t="shared" si="17"/>
        <v>6930</v>
      </c>
      <c r="X70" s="307">
        <f t="shared" si="19"/>
        <v>6930</v>
      </c>
      <c r="Y70" s="307">
        <f t="shared" si="19"/>
        <v>6930</v>
      </c>
      <c r="Z70" s="307">
        <f t="shared" si="19"/>
        <v>6930</v>
      </c>
      <c r="AA70" s="307">
        <f t="shared" si="19"/>
        <v>6930</v>
      </c>
      <c r="AB70" s="168">
        <f t="shared" si="5"/>
        <v>0</v>
      </c>
      <c r="AC70" s="168">
        <f t="shared" si="20"/>
        <v>6930</v>
      </c>
      <c r="AD70" s="307">
        <f t="shared" si="52"/>
        <v>6930</v>
      </c>
      <c r="AE70" s="307">
        <f t="shared" si="52"/>
        <v>6930</v>
      </c>
      <c r="AF70" s="307">
        <f t="shared" si="52"/>
        <v>6930</v>
      </c>
      <c r="AG70" s="307">
        <f t="shared" si="52"/>
        <v>6930</v>
      </c>
      <c r="AH70" s="307">
        <f t="shared" si="52"/>
        <v>6930</v>
      </c>
    </row>
    <row r="71" spans="1:35" ht="30" x14ac:dyDescent="0.35">
      <c r="A71" s="166" t="str">
        <f t="shared" si="53"/>
        <v>x</v>
      </c>
      <c r="B71" s="200" t="s">
        <v>352</v>
      </c>
      <c r="C71" s="200"/>
      <c r="D71" s="180" t="s">
        <v>355</v>
      </c>
      <c r="E71" s="180" t="s">
        <v>556</v>
      </c>
      <c r="F71" s="180" t="s">
        <v>527</v>
      </c>
      <c r="G71" s="180" t="s">
        <v>331</v>
      </c>
      <c r="H71" s="187"/>
      <c r="I71" s="212">
        <v>1</v>
      </c>
      <c r="J71" s="187"/>
      <c r="K71" s="187"/>
      <c r="L71" s="192" t="s">
        <v>312</v>
      </c>
      <c r="M71" s="183">
        <f t="shared" si="54"/>
        <v>1</v>
      </c>
      <c r="N71" s="201">
        <v>3</v>
      </c>
      <c r="O71" s="202">
        <v>7500</v>
      </c>
      <c r="P71" s="186">
        <f>N71*O71*60%</f>
        <v>13500</v>
      </c>
      <c r="Q71" s="185" t="s">
        <v>354</v>
      </c>
      <c r="R71" s="203">
        <f t="shared" si="55"/>
        <v>3</v>
      </c>
      <c r="S71" s="204">
        <f>O71*22%*60%</f>
        <v>990</v>
      </c>
      <c r="T71" s="186">
        <f t="shared" si="56"/>
        <v>2970</v>
      </c>
      <c r="U71" s="205"/>
      <c r="V71" s="168">
        <f t="shared" si="3"/>
        <v>16470</v>
      </c>
      <c r="W71" s="307">
        <f t="shared" si="17"/>
        <v>2970</v>
      </c>
      <c r="X71" s="307">
        <f t="shared" si="19"/>
        <v>2970</v>
      </c>
      <c r="Y71" s="307">
        <f t="shared" si="19"/>
        <v>2970</v>
      </c>
      <c r="Z71" s="307">
        <f t="shared" si="19"/>
        <v>2970</v>
      </c>
      <c r="AA71" s="307">
        <f t="shared" si="19"/>
        <v>2970</v>
      </c>
      <c r="AB71" s="168">
        <f t="shared" si="5"/>
        <v>0</v>
      </c>
      <c r="AC71" s="168">
        <f t="shared" si="20"/>
        <v>2970</v>
      </c>
      <c r="AD71" s="307">
        <f t="shared" si="52"/>
        <v>2970</v>
      </c>
      <c r="AE71" s="307">
        <f t="shared" si="52"/>
        <v>2970</v>
      </c>
      <c r="AF71" s="307">
        <f t="shared" si="52"/>
        <v>2970</v>
      </c>
      <c r="AG71" s="307">
        <f t="shared" si="52"/>
        <v>2970</v>
      </c>
      <c r="AH71" s="307">
        <f t="shared" si="52"/>
        <v>2970</v>
      </c>
    </row>
    <row r="72" spans="1:35" x14ac:dyDescent="0.35">
      <c r="A72" s="166" t="str">
        <f t="shared" si="53"/>
        <v>x</v>
      </c>
      <c r="B72" s="200" t="s">
        <v>352</v>
      </c>
      <c r="C72" s="200"/>
      <c r="D72" s="180" t="s">
        <v>357</v>
      </c>
      <c r="E72" s="180" t="s">
        <v>556</v>
      </c>
      <c r="F72" s="180" t="s">
        <v>527</v>
      </c>
      <c r="G72" s="180" t="s">
        <v>331</v>
      </c>
      <c r="H72" s="187"/>
      <c r="I72" s="212">
        <v>1</v>
      </c>
      <c r="J72" s="187"/>
      <c r="K72" s="187"/>
      <c r="L72" s="192" t="s">
        <v>312</v>
      </c>
      <c r="M72" s="183">
        <f t="shared" si="54"/>
        <v>1</v>
      </c>
      <c r="N72" s="201">
        <v>3</v>
      </c>
      <c r="O72" s="202">
        <v>17500</v>
      </c>
      <c r="P72" s="186">
        <f>N72*O72*60%</f>
        <v>31500</v>
      </c>
      <c r="Q72" s="185" t="s">
        <v>354</v>
      </c>
      <c r="R72" s="203">
        <f t="shared" si="55"/>
        <v>3</v>
      </c>
      <c r="S72" s="204">
        <f>O72*22%*60%</f>
        <v>2310</v>
      </c>
      <c r="T72" s="186">
        <f t="shared" si="56"/>
        <v>6930</v>
      </c>
      <c r="U72" s="205"/>
      <c r="V72" s="168">
        <f t="shared" si="3"/>
        <v>38430</v>
      </c>
      <c r="W72" s="307">
        <f t="shared" si="17"/>
        <v>6930</v>
      </c>
      <c r="X72" s="307">
        <f t="shared" si="19"/>
        <v>6930</v>
      </c>
      <c r="Y72" s="307">
        <f t="shared" si="19"/>
        <v>6930</v>
      </c>
      <c r="Z72" s="307">
        <f t="shared" si="19"/>
        <v>6930</v>
      </c>
      <c r="AA72" s="307">
        <f t="shared" si="19"/>
        <v>6930</v>
      </c>
      <c r="AB72" s="168">
        <f t="shared" si="5"/>
        <v>0</v>
      </c>
      <c r="AC72" s="168">
        <f t="shared" si="20"/>
        <v>6930</v>
      </c>
      <c r="AD72" s="307">
        <f t="shared" si="52"/>
        <v>6930</v>
      </c>
      <c r="AE72" s="307">
        <f t="shared" si="52"/>
        <v>6930</v>
      </c>
      <c r="AF72" s="307">
        <f t="shared" si="52"/>
        <v>6930</v>
      </c>
      <c r="AG72" s="307">
        <f t="shared" si="52"/>
        <v>6930</v>
      </c>
      <c r="AH72" s="307">
        <f t="shared" si="52"/>
        <v>6930</v>
      </c>
    </row>
    <row r="73" spans="1:35" x14ac:dyDescent="0.35">
      <c r="A73" s="166" t="str">
        <f t="shared" si="53"/>
        <v/>
      </c>
      <c r="B73" s="180" t="s">
        <v>368</v>
      </c>
      <c r="C73" s="180"/>
      <c r="D73" s="180" t="s">
        <v>369</v>
      </c>
      <c r="E73" s="180"/>
      <c r="F73" s="180" t="s">
        <v>527</v>
      </c>
      <c r="G73" s="180" t="s">
        <v>370</v>
      </c>
      <c r="H73" s="187"/>
      <c r="I73" s="212">
        <v>1</v>
      </c>
      <c r="J73" s="187"/>
      <c r="K73" s="187"/>
      <c r="L73" s="192" t="s">
        <v>312</v>
      </c>
      <c r="M73" s="183">
        <f t="shared" si="54"/>
        <v>1</v>
      </c>
      <c r="N73" s="184">
        <v>2</v>
      </c>
      <c r="O73" s="185">
        <v>5000</v>
      </c>
      <c r="P73" s="186">
        <f>N73*O73</f>
        <v>10000</v>
      </c>
      <c r="Q73" s="185"/>
      <c r="R73" s="203">
        <f>N73</f>
        <v>2</v>
      </c>
      <c r="S73" s="185"/>
      <c r="T73" s="186">
        <f t="shared" si="56"/>
        <v>0</v>
      </c>
      <c r="U73" s="180"/>
      <c r="V73" s="168">
        <f t="shared" si="3"/>
        <v>10000</v>
      </c>
      <c r="W73" s="307">
        <f t="shared" si="17"/>
        <v>0</v>
      </c>
      <c r="X73" s="307">
        <f t="shared" si="19"/>
        <v>0</v>
      </c>
      <c r="Y73" s="307">
        <f t="shared" si="19"/>
        <v>0</v>
      </c>
      <c r="Z73" s="307">
        <f t="shared" si="19"/>
        <v>0</v>
      </c>
      <c r="AA73" s="307">
        <f t="shared" si="19"/>
        <v>0</v>
      </c>
      <c r="AB73" s="168">
        <f t="shared" si="5"/>
        <v>0</v>
      </c>
      <c r="AC73" s="168">
        <f t="shared" si="20"/>
        <v>0</v>
      </c>
      <c r="AD73" s="307">
        <f t="shared" si="52"/>
        <v>0</v>
      </c>
      <c r="AE73" s="307">
        <f t="shared" si="52"/>
        <v>0</v>
      </c>
      <c r="AF73" s="307">
        <f t="shared" si="52"/>
        <v>0</v>
      </c>
      <c r="AG73" s="307">
        <f t="shared" si="52"/>
        <v>0</v>
      </c>
      <c r="AH73" s="307">
        <f t="shared" si="52"/>
        <v>0</v>
      </c>
    </row>
    <row r="74" spans="1:35" ht="20" x14ac:dyDescent="0.35">
      <c r="A74" s="166" t="str">
        <f t="shared" si="53"/>
        <v/>
      </c>
      <c r="B74" s="191" t="s">
        <v>376</v>
      </c>
      <c r="C74" s="191"/>
      <c r="D74" s="210" t="s">
        <v>377</v>
      </c>
      <c r="E74" s="210"/>
      <c r="F74" s="180" t="s">
        <v>527</v>
      </c>
      <c r="G74" s="191" t="s">
        <v>378</v>
      </c>
      <c r="H74" s="192"/>
      <c r="I74" s="212">
        <v>1</v>
      </c>
      <c r="J74" s="192"/>
      <c r="K74" s="192"/>
      <c r="L74" s="192" t="s">
        <v>312</v>
      </c>
      <c r="M74" s="183">
        <f t="shared" si="54"/>
        <v>1</v>
      </c>
      <c r="N74" s="184"/>
      <c r="O74" s="185">
        <v>8000</v>
      </c>
      <c r="P74" s="186">
        <f t="shared" ref="P74" si="57">N74*O74</f>
        <v>0</v>
      </c>
      <c r="Q74" s="185"/>
      <c r="R74" s="203">
        <f>N74</f>
        <v>0</v>
      </c>
      <c r="S74" s="204">
        <v>2000</v>
      </c>
      <c r="T74" s="186">
        <f t="shared" si="56"/>
        <v>0</v>
      </c>
      <c r="U74" s="205"/>
      <c r="V74" s="168">
        <f t="shared" ref="V74" si="58">P74+T74</f>
        <v>0</v>
      </c>
      <c r="W74" s="307">
        <f t="shared" si="17"/>
        <v>0</v>
      </c>
      <c r="X74" s="307">
        <f t="shared" si="19"/>
        <v>0</v>
      </c>
      <c r="Y74" s="307">
        <f t="shared" si="19"/>
        <v>0</v>
      </c>
      <c r="Z74" s="307">
        <f t="shared" si="19"/>
        <v>0</v>
      </c>
      <c r="AA74" s="307">
        <f t="shared" si="19"/>
        <v>0</v>
      </c>
      <c r="AB74" s="168">
        <f t="shared" si="5"/>
        <v>0</v>
      </c>
      <c r="AC74" s="168">
        <f t="shared" si="20"/>
        <v>0</v>
      </c>
      <c r="AD74" s="307">
        <f t="shared" si="52"/>
        <v>0</v>
      </c>
      <c r="AE74" s="307">
        <f t="shared" si="52"/>
        <v>0</v>
      </c>
      <c r="AF74" s="307">
        <f t="shared" si="52"/>
        <v>0</v>
      </c>
      <c r="AG74" s="307">
        <f t="shared" si="52"/>
        <v>0</v>
      </c>
      <c r="AH74" s="307">
        <f t="shared" si="52"/>
        <v>0</v>
      </c>
    </row>
    <row r="75" spans="1:35" ht="30" x14ac:dyDescent="0.35">
      <c r="A75" s="166" t="str">
        <f t="shared" si="53"/>
        <v>x</v>
      </c>
      <c r="B75" s="189" t="s">
        <v>534</v>
      </c>
      <c r="C75" s="189"/>
      <c r="D75" s="180" t="s">
        <v>559</v>
      </c>
      <c r="E75" s="180" t="s">
        <v>522</v>
      </c>
      <c r="F75" s="180" t="s">
        <v>527</v>
      </c>
      <c r="G75" s="180" t="s">
        <v>535</v>
      </c>
      <c r="H75" s="187"/>
      <c r="I75" s="187">
        <v>1</v>
      </c>
      <c r="J75" s="187"/>
      <c r="K75" s="187"/>
      <c r="L75" s="192" t="s">
        <v>312</v>
      </c>
      <c r="M75" s="183">
        <f t="shared" si="54"/>
        <v>1</v>
      </c>
      <c r="N75" s="184">
        <v>1</v>
      </c>
      <c r="O75" s="185"/>
      <c r="P75" s="186"/>
      <c r="Q75" s="180"/>
      <c r="R75" s="184">
        <f>N75</f>
        <v>1</v>
      </c>
      <c r="S75" s="185">
        <v>25000</v>
      </c>
      <c r="T75" s="186">
        <f t="shared" si="56"/>
        <v>25000</v>
      </c>
      <c r="U75" s="180" t="s">
        <v>560</v>
      </c>
      <c r="W75" s="307">
        <f>P75+T75</f>
        <v>25000</v>
      </c>
      <c r="X75" s="307">
        <f>T75</f>
        <v>25000</v>
      </c>
      <c r="Y75" s="307">
        <f t="shared" si="19"/>
        <v>25000</v>
      </c>
      <c r="Z75" s="307">
        <f t="shared" si="19"/>
        <v>25000</v>
      </c>
      <c r="AA75" s="307">
        <f t="shared" si="19"/>
        <v>25000</v>
      </c>
      <c r="AB75" s="168">
        <f t="shared" si="5"/>
        <v>0</v>
      </c>
      <c r="AC75" s="168">
        <f t="shared" si="20"/>
        <v>25000</v>
      </c>
      <c r="AD75" s="307">
        <f t="shared" si="52"/>
        <v>25000</v>
      </c>
      <c r="AE75" s="307">
        <f t="shared" si="52"/>
        <v>25000</v>
      </c>
      <c r="AF75" s="307">
        <f t="shared" si="52"/>
        <v>25000</v>
      </c>
      <c r="AG75" s="307">
        <f t="shared" si="52"/>
        <v>25000</v>
      </c>
      <c r="AH75" s="307">
        <f t="shared" si="52"/>
        <v>25000</v>
      </c>
    </row>
    <row r="76" spans="1:35" ht="20" x14ac:dyDescent="0.35">
      <c r="A76" s="166" t="str">
        <f t="shared" si="53"/>
        <v/>
      </c>
      <c r="B76" s="191" t="s">
        <v>379</v>
      </c>
      <c r="C76" s="191"/>
      <c r="D76" s="210" t="s">
        <v>389</v>
      </c>
      <c r="E76" s="210"/>
      <c r="F76" s="180" t="s">
        <v>527</v>
      </c>
      <c r="G76" s="191" t="s">
        <v>378</v>
      </c>
      <c r="H76" s="192"/>
      <c r="I76" s="212">
        <v>1</v>
      </c>
      <c r="J76" s="192"/>
      <c r="K76" s="192"/>
      <c r="L76" s="192" t="s">
        <v>312</v>
      </c>
      <c r="M76" s="183">
        <f t="shared" si="54"/>
        <v>1</v>
      </c>
      <c r="N76" s="184"/>
      <c r="O76" s="185">
        <v>2000</v>
      </c>
      <c r="P76" s="186">
        <f>N76*O76</f>
        <v>0</v>
      </c>
      <c r="Q76" s="185"/>
      <c r="R76" s="203">
        <f>N76</f>
        <v>0</v>
      </c>
      <c r="S76" s="204">
        <f t="shared" ref="S76" si="59">20%*O76</f>
        <v>400</v>
      </c>
      <c r="T76" s="186">
        <f t="shared" si="56"/>
        <v>0</v>
      </c>
      <c r="U76" s="205"/>
      <c r="V76" s="168">
        <f>P76+T76</f>
        <v>0</v>
      </c>
      <c r="W76" s="307">
        <f t="shared" si="17"/>
        <v>0</v>
      </c>
      <c r="X76" s="307">
        <f t="shared" si="19"/>
        <v>0</v>
      </c>
      <c r="Y76" s="307">
        <f t="shared" si="19"/>
        <v>0</v>
      </c>
      <c r="Z76" s="307">
        <f t="shared" si="19"/>
        <v>0</v>
      </c>
      <c r="AA76" s="307">
        <f t="shared" si="19"/>
        <v>0</v>
      </c>
      <c r="AB76" s="168">
        <f t="shared" si="5"/>
        <v>0</v>
      </c>
      <c r="AC76" s="168">
        <f t="shared" si="20"/>
        <v>0</v>
      </c>
      <c r="AD76" s="307">
        <f t="shared" si="52"/>
        <v>0</v>
      </c>
      <c r="AE76" s="307">
        <f t="shared" si="52"/>
        <v>0</v>
      </c>
      <c r="AF76" s="307">
        <f t="shared" si="52"/>
        <v>0</v>
      </c>
      <c r="AG76" s="307">
        <f t="shared" si="52"/>
        <v>0</v>
      </c>
      <c r="AH76" s="307">
        <f t="shared" si="52"/>
        <v>0</v>
      </c>
      <c r="AI76" s="168"/>
    </row>
    <row r="77" spans="1:35" x14ac:dyDescent="0.35">
      <c r="A77" s="166"/>
      <c r="B77" s="171"/>
      <c r="C77" s="171"/>
      <c r="D77" s="173"/>
      <c r="E77" s="173"/>
      <c r="F77" s="173"/>
      <c r="G77" s="173"/>
      <c r="H77" s="182"/>
      <c r="I77" s="182"/>
      <c r="J77" s="182"/>
      <c r="K77" s="182"/>
      <c r="L77" s="182"/>
      <c r="M77" s="182"/>
      <c r="N77" s="166"/>
      <c r="O77" s="175"/>
      <c r="P77" s="166"/>
      <c r="Q77" s="166"/>
      <c r="R77" s="171"/>
      <c r="S77" s="166"/>
      <c r="T77" s="166"/>
      <c r="U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8"/>
    </row>
    <row r="78" spans="1:35" x14ac:dyDescent="0.35">
      <c r="A78" s="166"/>
      <c r="B78" s="171"/>
      <c r="C78" s="171"/>
      <c r="D78" s="173"/>
      <c r="E78" s="173"/>
      <c r="F78" s="173"/>
      <c r="G78" s="173"/>
      <c r="H78" s="182"/>
      <c r="I78" s="182"/>
      <c r="J78" s="182"/>
      <c r="K78" s="182"/>
      <c r="L78" s="182"/>
      <c r="M78" s="182"/>
      <c r="N78" s="166"/>
      <c r="O78" s="175"/>
      <c r="P78" s="166"/>
      <c r="Q78" s="166"/>
      <c r="R78" s="171"/>
      <c r="S78" s="166"/>
      <c r="T78" s="213"/>
      <c r="U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8"/>
    </row>
    <row r="79" spans="1:35" x14ac:dyDescent="0.35">
      <c r="A79" s="166"/>
      <c r="B79" s="171" t="s">
        <v>390</v>
      </c>
      <c r="C79" s="171"/>
      <c r="D79" s="173"/>
      <c r="E79" s="173"/>
      <c r="F79" s="173"/>
      <c r="G79" s="173"/>
      <c r="H79" s="182"/>
      <c r="I79" s="182"/>
      <c r="J79" s="182"/>
      <c r="K79" s="182"/>
      <c r="L79" s="182"/>
      <c r="M79" s="182"/>
      <c r="N79" s="166"/>
      <c r="O79" s="175"/>
      <c r="P79" s="175">
        <f>SUM(P5:P76)</f>
        <v>1097873.25</v>
      </c>
      <c r="Q79" s="166"/>
      <c r="R79" s="171"/>
      <c r="S79" s="166"/>
      <c r="T79" s="175">
        <f>SUM(T5:T76)</f>
        <v>1202888.3999999999</v>
      </c>
      <c r="U79" s="166"/>
      <c r="V79" s="175">
        <f t="shared" ref="V79:AG79" si="60">SUM(V5:V76)</f>
        <v>2193296.65</v>
      </c>
      <c r="W79" s="175">
        <f t="shared" si="60"/>
        <v>1133230.8999999999</v>
      </c>
      <c r="X79" s="175">
        <f t="shared" si="60"/>
        <v>1138755.8999999999</v>
      </c>
      <c r="Y79" s="175">
        <f t="shared" si="60"/>
        <v>1138755.8999999999</v>
      </c>
      <c r="Z79" s="175">
        <f t="shared" si="60"/>
        <v>1138755.8999999999</v>
      </c>
      <c r="AA79" s="175">
        <f t="shared" si="60"/>
        <v>1138755.8999999999</v>
      </c>
      <c r="AB79" s="175">
        <f t="shared" si="60"/>
        <v>434200</v>
      </c>
      <c r="AC79" s="175">
        <f t="shared" si="60"/>
        <v>1138755.8999999999</v>
      </c>
      <c r="AD79" s="175">
        <f t="shared" si="60"/>
        <v>1138755.8999999999</v>
      </c>
      <c r="AE79" s="175">
        <f t="shared" si="60"/>
        <v>1138755.8999999999</v>
      </c>
      <c r="AF79" s="175">
        <f t="shared" si="60"/>
        <v>1138755.8999999999</v>
      </c>
      <c r="AG79" s="175">
        <f t="shared" si="60"/>
        <v>1138755.8999999999</v>
      </c>
      <c r="AH79" s="168">
        <f>SUM(V79:AF79)</f>
        <v>12870774.750000002</v>
      </c>
    </row>
    <row r="80" spans="1:35" x14ac:dyDescent="0.35">
      <c r="AC80" s="214">
        <f>AC79+AB79</f>
        <v>1572955.9</v>
      </c>
    </row>
    <row r="81" spans="15:33" x14ac:dyDescent="0.35">
      <c r="V81" s="168">
        <f>P79+T79-V79</f>
        <v>107465</v>
      </c>
      <c r="AB81" s="108">
        <f>SUMIF($L$5:$L$76,O86,AB$5:AB$76)</f>
        <v>434200</v>
      </c>
      <c r="AD81" s="108" t="s">
        <v>391</v>
      </c>
      <c r="AE81" s="108">
        <f>P79+T79*10+AB79</f>
        <v>13560957.25</v>
      </c>
    </row>
    <row r="86" spans="15:33" x14ac:dyDescent="0.35">
      <c r="O86" s="108" t="s">
        <v>312</v>
      </c>
      <c r="P86" s="316">
        <f>SUMIF($L$5:$L$76,O86,$P$5:$P$76)</f>
        <v>1097873.25</v>
      </c>
      <c r="T86" s="310">
        <f>SUMIF($L$5:$L$76,O86,$T$5:$T$76)</f>
        <v>610708.4</v>
      </c>
      <c r="V86" s="168">
        <f>SUMIF($L$5:$L$76,$O86,V$5:V$76)</f>
        <v>1607616.65</v>
      </c>
      <c r="W86" s="168">
        <f t="shared" ref="W86:AG86" si="61">SUMIF($L$5:$L$76,$O86,W$5:W$76)</f>
        <v>568790.9</v>
      </c>
      <c r="X86" s="168">
        <f t="shared" si="61"/>
        <v>574315.9</v>
      </c>
      <c r="Y86" s="168">
        <f t="shared" si="61"/>
        <v>574315.9</v>
      </c>
      <c r="Z86" s="168">
        <f t="shared" si="61"/>
        <v>574315.9</v>
      </c>
      <c r="AA86" s="168">
        <f t="shared" si="61"/>
        <v>574315.9</v>
      </c>
      <c r="AB86" s="168">
        <f t="shared" si="61"/>
        <v>434200</v>
      </c>
      <c r="AC86" s="168">
        <f t="shared" si="61"/>
        <v>574315.9</v>
      </c>
      <c r="AD86" s="168">
        <f t="shared" si="61"/>
        <v>574315.9</v>
      </c>
      <c r="AE86" s="168">
        <f t="shared" si="61"/>
        <v>574315.9</v>
      </c>
      <c r="AF86" s="168">
        <f t="shared" si="61"/>
        <v>574315.9</v>
      </c>
      <c r="AG86" s="168">
        <f t="shared" si="61"/>
        <v>574315.9</v>
      </c>
    </row>
    <row r="87" spans="15:33" x14ac:dyDescent="0.35">
      <c r="O87" s="108" t="s">
        <v>311</v>
      </c>
      <c r="P87" s="316">
        <f>SUMIF($L$5:$L$76,O87,$P$5:$P$76)</f>
        <v>0</v>
      </c>
      <c r="T87" s="310">
        <f t="shared" ref="T87:T88" si="62">SUMIF($L$5:$L$76,O87,$T$5:$T$76)</f>
        <v>559180</v>
      </c>
      <c r="V87" s="168">
        <f t="shared" ref="V87:AG88" si="63">SUMIF($L$5:$L$76,$O87,V$5:V$76)</f>
        <v>552680</v>
      </c>
      <c r="W87" s="168">
        <f t="shared" si="63"/>
        <v>531440</v>
      </c>
      <c r="X87" s="168">
        <f t="shared" si="63"/>
        <v>531440</v>
      </c>
      <c r="Y87" s="168">
        <f t="shared" si="63"/>
        <v>531440</v>
      </c>
      <c r="Z87" s="168">
        <f t="shared" si="63"/>
        <v>531440</v>
      </c>
      <c r="AA87" s="168">
        <f t="shared" si="63"/>
        <v>531440</v>
      </c>
      <c r="AB87" s="168">
        <f t="shared" si="63"/>
        <v>0</v>
      </c>
      <c r="AC87" s="168">
        <f t="shared" si="63"/>
        <v>531440</v>
      </c>
      <c r="AD87" s="168">
        <f t="shared" si="63"/>
        <v>531440</v>
      </c>
      <c r="AE87" s="168">
        <f t="shared" si="63"/>
        <v>531440</v>
      </c>
      <c r="AF87" s="168">
        <f t="shared" si="63"/>
        <v>531440</v>
      </c>
      <c r="AG87" s="168">
        <f t="shared" si="63"/>
        <v>531440</v>
      </c>
    </row>
    <row r="88" spans="15:33" x14ac:dyDescent="0.35">
      <c r="O88" s="108" t="s">
        <v>313</v>
      </c>
      <c r="P88" s="316">
        <f>SUMIF($L$5:$L$76,O88,$P$5:$P$76)</f>
        <v>0</v>
      </c>
      <c r="T88" s="310">
        <f t="shared" si="62"/>
        <v>33000</v>
      </c>
      <c r="V88" s="168">
        <f t="shared" si="63"/>
        <v>33000</v>
      </c>
      <c r="W88" s="168">
        <f t="shared" si="63"/>
        <v>33000</v>
      </c>
      <c r="X88" s="168">
        <f t="shared" si="63"/>
        <v>33000</v>
      </c>
      <c r="Y88" s="168">
        <f t="shared" si="63"/>
        <v>33000</v>
      </c>
      <c r="Z88" s="168">
        <f t="shared" si="63"/>
        <v>33000</v>
      </c>
      <c r="AA88" s="168">
        <f t="shared" si="63"/>
        <v>33000</v>
      </c>
      <c r="AB88" s="168">
        <f t="shared" si="63"/>
        <v>0</v>
      </c>
      <c r="AC88" s="168">
        <f t="shared" si="63"/>
        <v>33000</v>
      </c>
      <c r="AD88" s="168">
        <f t="shared" si="63"/>
        <v>33000</v>
      </c>
      <c r="AE88" s="168">
        <f t="shared" si="63"/>
        <v>33000</v>
      </c>
      <c r="AF88" s="168">
        <f t="shared" si="63"/>
        <v>33000</v>
      </c>
      <c r="AG88" s="168">
        <f t="shared" si="63"/>
        <v>33000</v>
      </c>
    </row>
    <row r="89" spans="15:33" x14ac:dyDescent="0.35">
      <c r="Q89" s="309"/>
      <c r="T89" s="310">
        <f>SUM(T86:T88)</f>
        <v>1202888.3999999999</v>
      </c>
      <c r="V89" s="168">
        <f>SUM(V86:V88)</f>
        <v>2193296.65</v>
      </c>
      <c r="W89" s="168">
        <f t="shared" ref="W89:AB89" si="64">SUM(W86:W88)</f>
        <v>1133230.8999999999</v>
      </c>
      <c r="X89" s="168">
        <f t="shared" si="64"/>
        <v>1138755.8999999999</v>
      </c>
      <c r="Y89" s="168">
        <f t="shared" si="64"/>
        <v>1138755.8999999999</v>
      </c>
      <c r="Z89" s="168">
        <f t="shared" si="64"/>
        <v>1138755.8999999999</v>
      </c>
      <c r="AA89" s="168">
        <f t="shared" si="64"/>
        <v>1138755.8999999999</v>
      </c>
      <c r="AB89" s="168">
        <f t="shared" si="64"/>
        <v>434200</v>
      </c>
      <c r="AC89" s="168">
        <f t="shared" ref="AC89" si="65">SUM(AC86:AC88)</f>
        <v>1138755.8999999999</v>
      </c>
      <c r="AD89" s="168">
        <f t="shared" ref="AD89" si="66">SUM(AD86:AD88)</f>
        <v>1138755.8999999999</v>
      </c>
      <c r="AE89" s="168">
        <f t="shared" ref="AE89" si="67">SUM(AE86:AE88)</f>
        <v>1138755.8999999999</v>
      </c>
      <c r="AF89" s="168">
        <f t="shared" ref="AF89:AG89" si="68">SUM(AF86:AF88)</f>
        <v>1138755.8999999999</v>
      </c>
      <c r="AG89" s="168">
        <f t="shared" si="68"/>
        <v>1138755.8999999999</v>
      </c>
    </row>
    <row r="91" spans="15:33" x14ac:dyDescent="0.35">
      <c r="T91" s="310">
        <f>SUM(T5:T76)</f>
        <v>1202888.3999999999</v>
      </c>
      <c r="V91" s="168">
        <f>V79-V89</f>
        <v>0</v>
      </c>
      <c r="W91" s="168">
        <f t="shared" ref="W91:AA91" si="69">W79-W89</f>
        <v>0</v>
      </c>
      <c r="X91" s="168">
        <f t="shared" si="69"/>
        <v>0</v>
      </c>
      <c r="Y91" s="168">
        <f t="shared" si="69"/>
        <v>0</v>
      </c>
      <c r="Z91" s="168">
        <f t="shared" si="69"/>
        <v>0</v>
      </c>
      <c r="AA91" s="168">
        <f t="shared" si="69"/>
        <v>0</v>
      </c>
      <c r="AB91" s="168">
        <f t="shared" ref="AB91:AG91" si="70">AB79-AB89</f>
        <v>0</v>
      </c>
      <c r="AC91" s="168">
        <f t="shared" si="70"/>
        <v>0</v>
      </c>
      <c r="AD91" s="168">
        <f t="shared" si="70"/>
        <v>0</v>
      </c>
      <c r="AE91" s="168">
        <f t="shared" si="70"/>
        <v>0</v>
      </c>
      <c r="AF91" s="168">
        <f t="shared" si="70"/>
        <v>0</v>
      </c>
      <c r="AG91" s="168">
        <f t="shared" si="70"/>
        <v>0</v>
      </c>
    </row>
    <row r="94" spans="15:33" x14ac:dyDescent="0.35">
      <c r="V94" s="168">
        <f>P86+T86-V86</f>
        <v>100965</v>
      </c>
    </row>
  </sheetData>
  <autoFilter ref="A4:AI76" xr:uid="{CC166B5A-8518-4848-9335-09F7FA60DFD3}"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</autoFilter>
  <mergeCells count="5">
    <mergeCell ref="H1:K1"/>
    <mergeCell ref="N1:Q1"/>
    <mergeCell ref="R1:U1"/>
    <mergeCell ref="N4:Q4"/>
    <mergeCell ref="R4:U4"/>
  </mergeCells>
  <conditionalFormatting sqref="O1:O41">
    <cfRule type="cellIs" dxfId="4" priority="4" operator="greaterThan">
      <formula>20000</formula>
    </cfRule>
  </conditionalFormatting>
  <conditionalFormatting sqref="O45:O79">
    <cfRule type="cellIs" dxfId="3" priority="1" operator="greaterThan">
      <formula>20000</formula>
    </cfRule>
  </conditionalFormatting>
  <conditionalFormatting sqref="P79">
    <cfRule type="cellIs" dxfId="2" priority="26" operator="greaterThan">
      <formula>20000</formula>
    </cfRule>
  </conditionalFormatting>
  <conditionalFormatting sqref="T79">
    <cfRule type="cellIs" dxfId="1" priority="57" operator="greaterThan">
      <formula>20000</formula>
    </cfRule>
  </conditionalFormatting>
  <conditionalFormatting sqref="V79:AG79">
    <cfRule type="cellIs" dxfId="0" priority="24" operator="greaterThan">
      <formula>20000</formula>
    </cfRule>
  </conditionalFormatting>
  <pageMargins left="0.7" right="0.7" top="0.75" bottom="0.75" header="0.3" footer="0.3"/>
  <pageSetup orientation="portrait" r:id="rId1"/>
  <headerFooter>
    <oddHeader>&amp;L&amp;"Franklin Gothic Book"&amp;10&amp;K000000Sensitive&amp;1#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9D5E-459E-4A9C-A8AD-58AFBF0B4882}">
  <dimension ref="A1:H22"/>
  <sheetViews>
    <sheetView workbookViewId="0">
      <selection activeCell="D22" sqref="D22"/>
    </sheetView>
  </sheetViews>
  <sheetFormatPr defaultRowHeight="17.25" customHeight="1" x14ac:dyDescent="0.35"/>
  <cols>
    <col min="1" max="1" width="33.26953125" customWidth="1"/>
    <col min="2" max="3" width="32.26953125" customWidth="1"/>
    <col min="4" max="4" width="12.1796875" style="341" customWidth="1"/>
    <col min="5" max="5" width="72.1796875" bestFit="1" customWidth="1"/>
    <col min="6" max="6" width="12.54296875" customWidth="1"/>
    <col min="7" max="7" width="17.81640625" customWidth="1"/>
  </cols>
  <sheetData>
    <row r="1" spans="1:7" ht="17.25" customHeight="1" thickBot="1" x14ac:dyDescent="0.4">
      <c r="A1" s="317" t="s">
        <v>570</v>
      </c>
      <c r="B1" s="317" t="s">
        <v>571</v>
      </c>
      <c r="C1" s="317" t="s">
        <v>572</v>
      </c>
      <c r="D1" s="318" t="s">
        <v>573</v>
      </c>
      <c r="E1" s="317"/>
      <c r="F1" s="317" t="s">
        <v>574</v>
      </c>
    </row>
    <row r="2" spans="1:7" ht="17.25" customHeight="1" thickTop="1" x14ac:dyDescent="0.35">
      <c r="A2" s="319"/>
      <c r="B2" s="319"/>
      <c r="C2" s="319"/>
      <c r="D2" s="320"/>
      <c r="E2" s="319"/>
      <c r="F2" s="321"/>
    </row>
    <row r="3" spans="1:7" ht="17.25" customHeight="1" x14ac:dyDescent="0.35">
      <c r="A3" s="322" t="s">
        <v>575</v>
      </c>
      <c r="B3" s="322" t="s">
        <v>576</v>
      </c>
      <c r="C3" s="322">
        <v>80</v>
      </c>
      <c r="D3" s="323">
        <v>99</v>
      </c>
      <c r="E3" s="322"/>
      <c r="F3" s="324">
        <f t="shared" ref="F3:F12" si="0">C3*D3</f>
        <v>7920</v>
      </c>
    </row>
    <row r="4" spans="1:7" ht="17.25" customHeight="1" x14ac:dyDescent="0.35">
      <c r="A4" s="322" t="s">
        <v>577</v>
      </c>
      <c r="B4" s="322" t="s">
        <v>578</v>
      </c>
      <c r="C4" s="322">
        <v>80</v>
      </c>
      <c r="D4" s="323">
        <v>25</v>
      </c>
      <c r="E4" s="322"/>
      <c r="F4" s="324">
        <f t="shared" si="0"/>
        <v>2000</v>
      </c>
    </row>
    <row r="5" spans="1:7" ht="17.25" customHeight="1" x14ac:dyDescent="0.35">
      <c r="A5" s="322" t="s">
        <v>579</v>
      </c>
      <c r="B5" s="322" t="s">
        <v>580</v>
      </c>
      <c r="C5" s="322">
        <v>80</v>
      </c>
      <c r="D5" s="323">
        <v>25</v>
      </c>
      <c r="E5" s="322"/>
      <c r="F5" s="324">
        <f t="shared" si="0"/>
        <v>2000</v>
      </c>
    </row>
    <row r="6" spans="1:7" ht="17.25" customHeight="1" x14ac:dyDescent="0.35">
      <c r="A6" s="322" t="s">
        <v>581</v>
      </c>
      <c r="B6" s="322" t="s">
        <v>582</v>
      </c>
      <c r="C6" s="322">
        <v>80</v>
      </c>
      <c r="D6" s="323">
        <v>550</v>
      </c>
      <c r="E6" s="322"/>
      <c r="F6" s="324">
        <f t="shared" si="0"/>
        <v>44000</v>
      </c>
    </row>
    <row r="7" spans="1:7" ht="17.25" customHeight="1" x14ac:dyDescent="0.35">
      <c r="A7" s="322" t="s">
        <v>583</v>
      </c>
      <c r="B7" s="322" t="s">
        <v>584</v>
      </c>
      <c r="C7" s="322">
        <v>80</v>
      </c>
      <c r="D7" s="323">
        <v>950</v>
      </c>
      <c r="E7" s="322" t="s">
        <v>585</v>
      </c>
      <c r="F7" s="324">
        <f t="shared" si="0"/>
        <v>76000</v>
      </c>
    </row>
    <row r="8" spans="1:7" ht="17.25" customHeight="1" x14ac:dyDescent="0.35">
      <c r="A8" s="322" t="s">
        <v>583</v>
      </c>
      <c r="B8" s="322" t="s">
        <v>586</v>
      </c>
      <c r="C8" s="322">
        <v>40</v>
      </c>
      <c r="D8" s="323">
        <v>550</v>
      </c>
      <c r="E8" s="322" t="s">
        <v>587</v>
      </c>
      <c r="F8" s="324">
        <f t="shared" si="0"/>
        <v>22000</v>
      </c>
    </row>
    <row r="9" spans="1:7" ht="17.25" customHeight="1" x14ac:dyDescent="0.35">
      <c r="A9" s="322"/>
      <c r="B9" s="322"/>
      <c r="C9" s="322"/>
      <c r="D9" s="323"/>
      <c r="E9" s="322"/>
      <c r="F9" s="324">
        <f t="shared" si="0"/>
        <v>0</v>
      </c>
    </row>
    <row r="10" spans="1:7" ht="17.25" customHeight="1" x14ac:dyDescent="0.35">
      <c r="A10" s="322" t="s">
        <v>588</v>
      </c>
      <c r="B10" s="322" t="s">
        <v>589</v>
      </c>
      <c r="C10" s="322">
        <v>80</v>
      </c>
      <c r="D10" s="323">
        <v>25</v>
      </c>
      <c r="E10" s="322"/>
      <c r="F10" s="324">
        <f t="shared" si="0"/>
        <v>2000</v>
      </c>
    </row>
    <row r="11" spans="1:7" ht="17.25" customHeight="1" x14ac:dyDescent="0.35">
      <c r="A11" s="322" t="s">
        <v>590</v>
      </c>
      <c r="B11" s="322" t="s">
        <v>591</v>
      </c>
      <c r="C11" s="322">
        <v>80</v>
      </c>
      <c r="D11" s="323">
        <v>675</v>
      </c>
      <c r="E11" s="322"/>
      <c r="F11" s="324">
        <f t="shared" si="0"/>
        <v>54000</v>
      </c>
    </row>
    <row r="12" spans="1:7" ht="17.25" customHeight="1" x14ac:dyDescent="0.35">
      <c r="A12" s="325"/>
      <c r="B12" s="325"/>
      <c r="C12" s="325"/>
      <c r="D12" s="326"/>
      <c r="E12" s="325"/>
      <c r="F12" s="324">
        <f t="shared" si="0"/>
        <v>0</v>
      </c>
    </row>
    <row r="13" spans="1:7" ht="17.25" customHeight="1" x14ac:dyDescent="0.35">
      <c r="A13" s="327"/>
      <c r="B13" s="327"/>
      <c r="C13" s="327"/>
      <c r="D13" s="328"/>
      <c r="E13" s="329"/>
      <c r="F13" s="330"/>
      <c r="G13" s="331"/>
    </row>
    <row r="14" spans="1:7" ht="17.25" customHeight="1" x14ac:dyDescent="0.35">
      <c r="A14" s="332"/>
      <c r="B14" s="332"/>
      <c r="C14" s="332"/>
      <c r="D14" s="333" t="s">
        <v>592</v>
      </c>
      <c r="E14" s="334" t="s">
        <v>593</v>
      </c>
      <c r="F14" s="335" t="s">
        <v>594</v>
      </c>
      <c r="G14" s="335" t="s">
        <v>595</v>
      </c>
    </row>
    <row r="15" spans="1:7" ht="17.25" customHeight="1" x14ac:dyDescent="0.35">
      <c r="A15" s="322" t="s">
        <v>596</v>
      </c>
      <c r="B15" s="322"/>
      <c r="C15" s="322"/>
      <c r="D15" s="323">
        <f>SUM($D$11,$D$10,$D$7,$D$6,$D$4,$D$3,$D$2)</f>
        <v>2324</v>
      </c>
      <c r="E15" s="336">
        <f>D15/16</f>
        <v>145.25</v>
      </c>
      <c r="F15" s="259"/>
    </row>
    <row r="16" spans="1:7" ht="17.25" customHeight="1" x14ac:dyDescent="0.35">
      <c r="A16" s="322" t="s">
        <v>597</v>
      </c>
      <c r="B16" s="322"/>
      <c r="C16" s="322"/>
      <c r="D16" s="323">
        <f>SUM($D$11,$D$10,$D$8,$D$6,$D$4,$D$3,$D$2)</f>
        <v>1924</v>
      </c>
      <c r="E16" s="336">
        <f>D16/16</f>
        <v>120.25</v>
      </c>
      <c r="F16" s="337"/>
      <c r="G16" s="338"/>
    </row>
    <row r="17" spans="1:8" ht="17.25" customHeight="1" x14ac:dyDescent="0.35">
      <c r="A17" s="322" t="s">
        <v>598</v>
      </c>
      <c r="B17" s="322"/>
      <c r="C17" s="322"/>
      <c r="D17" s="323">
        <f>SUM($D$11,$D$10,$D$7,$D$6,$D$4,$D$3,$D$2)</f>
        <v>2324</v>
      </c>
      <c r="E17" s="322">
        <f xml:space="preserve"> D17 + (D17*F17)</f>
        <v>3137.4</v>
      </c>
      <c r="F17" s="339">
        <v>0.35</v>
      </c>
      <c r="G17" s="340">
        <f>E17/20</f>
        <v>156.87</v>
      </c>
      <c r="H17" s="341"/>
    </row>
    <row r="18" spans="1:8" ht="17.25" customHeight="1" x14ac:dyDescent="0.35">
      <c r="A18" s="322" t="s">
        <v>599</v>
      </c>
      <c r="B18" s="322"/>
      <c r="C18" s="322"/>
      <c r="D18" s="323">
        <f>SUM($D$11,$D$10,$D$8,$D$6,$D$4,$D$3,$D$2)</f>
        <v>1924</v>
      </c>
      <c r="E18" s="322">
        <f xml:space="preserve"> D18 + (D18*F18)</f>
        <v>2597.4</v>
      </c>
      <c r="F18" s="342">
        <v>0.35</v>
      </c>
      <c r="G18" s="340">
        <f>E18/20</f>
        <v>129.87</v>
      </c>
    </row>
    <row r="19" spans="1:8" ht="17.25" customHeight="1" x14ac:dyDescent="0.35">
      <c r="B19" s="129" t="s">
        <v>600</v>
      </c>
    </row>
    <row r="20" spans="1:8" ht="17.25" customHeight="1" x14ac:dyDescent="0.35">
      <c r="C20" t="s">
        <v>601</v>
      </c>
      <c r="D20" s="341">
        <f>SUM(D3:D7,D11)</f>
        <v>2324</v>
      </c>
    </row>
    <row r="21" spans="1:8" ht="17.25" customHeight="1" x14ac:dyDescent="0.35">
      <c r="B21" t="s">
        <v>602</v>
      </c>
      <c r="C21">
        <v>0.25</v>
      </c>
      <c r="D21" s="341">
        <f>D20*(1+C21)</f>
        <v>2905</v>
      </c>
    </row>
    <row r="22" spans="1:8" ht="17.25" customHeight="1" x14ac:dyDescent="0.35">
      <c r="B22" t="s">
        <v>603</v>
      </c>
      <c r="C22">
        <v>80</v>
      </c>
      <c r="D22" s="341">
        <f>D21*C22</f>
        <v>232400</v>
      </c>
    </row>
  </sheetData>
  <pageMargins left="0.7" right="0.7" top="0.75" bottom="0.75" header="0.3" footer="0.3"/>
  <pageSetup orientation="portrait" r:id="rId1"/>
  <headerFooter>
    <oddHeader>&amp;L&amp;"Franklin Gothic Book"&amp;10&amp;K000000Sensitive&amp;1#</oddHeader>
  </headerFooter>
  <drawing r:id="rId2"/>
  <legacyDrawing r:id="rId3"/>
  <oleObjects>
    <mc:AlternateContent xmlns:mc="http://schemas.openxmlformats.org/markup-compatibility/2006">
      <mc:Choice Requires="x14">
        <oleObject progId="Packager Shell Object" shapeId="8193" r:id="rId4">
          <objectPr defaultSize="0" autoPict="0" r:id="rId5">
            <anchor moveWithCells="1">
              <from>
                <xdr:col>6</xdr:col>
                <xdr:colOff>95250</xdr:colOff>
                <xdr:row>8</xdr:row>
                <xdr:rowOff>95250</xdr:rowOff>
              </from>
              <to>
                <xdr:col>6</xdr:col>
                <xdr:colOff>1079500</xdr:colOff>
                <xdr:row>10</xdr:row>
                <xdr:rowOff>171450</xdr:rowOff>
              </to>
            </anchor>
          </objectPr>
        </oleObject>
      </mc:Choice>
      <mc:Fallback>
        <oleObject progId="Packager Shell Object" shapeId="8193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8A42-3340-4907-AECA-85C0E660B5E8}">
  <dimension ref="A1:J23"/>
  <sheetViews>
    <sheetView topLeftCell="A4" workbookViewId="0">
      <selection activeCell="G22" sqref="G22"/>
    </sheetView>
  </sheetViews>
  <sheetFormatPr defaultRowHeight="51" customHeight="1" x14ac:dyDescent="0.35"/>
  <cols>
    <col min="1" max="1" width="33.26953125" customWidth="1"/>
    <col min="2" max="2" width="12.7265625" customWidth="1"/>
    <col min="3" max="3" width="32.26953125" customWidth="1"/>
    <col min="4" max="4" width="15.7265625" customWidth="1"/>
    <col min="5" max="5" width="9.1796875" style="341"/>
    <col min="6" max="6" width="14.81640625" style="156" customWidth="1"/>
    <col min="7" max="7" width="41.26953125" customWidth="1"/>
    <col min="9" max="9" width="15.7265625" bestFit="1" customWidth="1"/>
  </cols>
  <sheetData>
    <row r="1" spans="1:9" ht="51" customHeight="1" thickBot="1" x14ac:dyDescent="0.4">
      <c r="A1" s="317" t="s">
        <v>570</v>
      </c>
      <c r="B1" s="317" t="s">
        <v>604</v>
      </c>
      <c r="C1" s="317" t="s">
        <v>571</v>
      </c>
      <c r="D1" s="317" t="s">
        <v>572</v>
      </c>
      <c r="E1" s="318" t="s">
        <v>573</v>
      </c>
      <c r="F1" s="343" t="s">
        <v>317</v>
      </c>
      <c r="G1" s="317"/>
    </row>
    <row r="2" spans="1:9" ht="19.5" customHeight="1" thickTop="1" thickBot="1" x14ac:dyDescent="0.4">
      <c r="A2" s="319" t="s">
        <v>605</v>
      </c>
      <c r="B2" s="344">
        <v>105.98</v>
      </c>
      <c r="C2" s="345" t="s">
        <v>606</v>
      </c>
      <c r="D2" s="345">
        <v>1250</v>
      </c>
      <c r="E2" s="346">
        <v>50</v>
      </c>
      <c r="F2" s="347">
        <f t="shared" ref="F2:F14" si="0">D2*E2</f>
        <v>62500</v>
      </c>
      <c r="G2" s="319"/>
    </row>
    <row r="3" spans="1:9" ht="19.5" customHeight="1" thickTop="1" thickBot="1" x14ac:dyDescent="0.4">
      <c r="A3" s="322" t="s">
        <v>575</v>
      </c>
      <c r="B3" s="348">
        <v>299.99</v>
      </c>
      <c r="C3" s="322" t="s">
        <v>576</v>
      </c>
      <c r="D3" s="345">
        <v>1250</v>
      </c>
      <c r="E3" s="323">
        <v>99</v>
      </c>
      <c r="F3" s="347">
        <f t="shared" si="0"/>
        <v>123750</v>
      </c>
      <c r="G3" s="322"/>
    </row>
    <row r="4" spans="1:9" ht="19.5" customHeight="1" thickTop="1" thickBot="1" x14ac:dyDescent="0.4">
      <c r="A4" s="322" t="s">
        <v>577</v>
      </c>
      <c r="B4" s="348">
        <v>40.840000000000003</v>
      </c>
      <c r="C4" s="322" t="s">
        <v>578</v>
      </c>
      <c r="D4" s="345">
        <v>1250</v>
      </c>
      <c r="E4" s="323">
        <v>25</v>
      </c>
      <c r="F4" s="347">
        <f t="shared" si="0"/>
        <v>31250</v>
      </c>
      <c r="G4" s="322"/>
    </row>
    <row r="5" spans="1:9" ht="19.5" customHeight="1" thickTop="1" thickBot="1" x14ac:dyDescent="0.4">
      <c r="A5" s="322" t="s">
        <v>579</v>
      </c>
      <c r="B5" s="348">
        <v>153.9</v>
      </c>
      <c r="C5" s="322" t="s">
        <v>580</v>
      </c>
      <c r="D5" s="345">
        <v>1250</v>
      </c>
      <c r="E5" s="323">
        <v>25</v>
      </c>
      <c r="F5" s="347">
        <f t="shared" si="0"/>
        <v>31250</v>
      </c>
      <c r="G5" s="322"/>
    </row>
    <row r="6" spans="1:9" ht="19.5" customHeight="1" thickTop="1" thickBot="1" x14ac:dyDescent="0.4">
      <c r="A6" s="322" t="s">
        <v>581</v>
      </c>
      <c r="B6" s="348">
        <v>273.7</v>
      </c>
      <c r="C6" s="322" t="s">
        <v>582</v>
      </c>
      <c r="D6" s="345">
        <v>1250</v>
      </c>
      <c r="E6" s="323">
        <v>550</v>
      </c>
      <c r="F6" s="347">
        <f t="shared" si="0"/>
        <v>687500</v>
      </c>
      <c r="G6" s="322"/>
    </row>
    <row r="7" spans="1:9" ht="19.5" customHeight="1" thickTop="1" thickBot="1" x14ac:dyDescent="0.4">
      <c r="A7" s="322" t="s">
        <v>583</v>
      </c>
      <c r="B7" s="348">
        <v>710.58</v>
      </c>
      <c r="C7" s="322" t="s">
        <v>607</v>
      </c>
      <c r="D7" s="345">
        <v>1250</v>
      </c>
      <c r="E7" s="323">
        <v>450</v>
      </c>
      <c r="F7" s="347">
        <f t="shared" si="0"/>
        <v>562500</v>
      </c>
      <c r="G7" s="322"/>
    </row>
    <row r="8" spans="1:9" ht="19.5" customHeight="1" thickTop="1" thickBot="1" x14ac:dyDescent="0.4">
      <c r="A8" s="322" t="s">
        <v>608</v>
      </c>
      <c r="B8" s="348">
        <v>129.13</v>
      </c>
      <c r="C8" s="322" t="s">
        <v>609</v>
      </c>
      <c r="D8" s="345">
        <v>1250</v>
      </c>
      <c r="E8" s="323">
        <v>100</v>
      </c>
      <c r="F8" s="347">
        <f t="shared" si="0"/>
        <v>125000</v>
      </c>
      <c r="G8" s="322" t="s">
        <v>610</v>
      </c>
    </row>
    <row r="9" spans="1:9" ht="19.5" customHeight="1" thickTop="1" thickBot="1" x14ac:dyDescent="0.4">
      <c r="A9" s="322" t="s">
        <v>588</v>
      </c>
      <c r="B9" s="348">
        <v>17.59</v>
      </c>
      <c r="C9" s="322" t="s">
        <v>589</v>
      </c>
      <c r="D9" s="345">
        <v>1250</v>
      </c>
      <c r="E9" s="323">
        <v>25</v>
      </c>
      <c r="F9" s="347">
        <f t="shared" si="0"/>
        <v>31250</v>
      </c>
      <c r="G9" s="322"/>
    </row>
    <row r="10" spans="1:9" ht="19.5" customHeight="1" thickTop="1" thickBot="1" x14ac:dyDescent="0.4">
      <c r="A10" s="322" t="s">
        <v>590</v>
      </c>
      <c r="B10" s="349">
        <v>250</v>
      </c>
      <c r="C10" s="322" t="s">
        <v>591</v>
      </c>
      <c r="D10" s="345">
        <v>1250</v>
      </c>
      <c r="E10" s="323">
        <v>675</v>
      </c>
      <c r="F10" s="347">
        <f t="shared" si="0"/>
        <v>843750</v>
      </c>
      <c r="G10" s="322"/>
    </row>
    <row r="11" spans="1:9" ht="19.5" customHeight="1" thickTop="1" thickBot="1" x14ac:dyDescent="0.4">
      <c r="A11" s="325" t="s">
        <v>590</v>
      </c>
      <c r="B11" s="350">
        <v>250</v>
      </c>
      <c r="C11" s="325" t="s">
        <v>611</v>
      </c>
      <c r="D11" s="325">
        <v>100</v>
      </c>
      <c r="E11" s="326">
        <v>385</v>
      </c>
      <c r="F11" s="347">
        <f t="shared" si="0"/>
        <v>38500</v>
      </c>
      <c r="G11" s="325" t="s">
        <v>612</v>
      </c>
    </row>
    <row r="12" spans="1:9" ht="19.5" customHeight="1" thickTop="1" thickBot="1" x14ac:dyDescent="0.4">
      <c r="A12" s="322" t="s">
        <v>613</v>
      </c>
      <c r="B12" s="348">
        <v>16.989999999999998</v>
      </c>
      <c r="C12" s="351" t="s">
        <v>614</v>
      </c>
      <c r="D12" s="352">
        <v>500</v>
      </c>
      <c r="E12" s="326">
        <v>16.989999999999998</v>
      </c>
      <c r="F12" s="347">
        <f t="shared" si="0"/>
        <v>8495</v>
      </c>
      <c r="G12" s="322"/>
    </row>
    <row r="13" spans="1:9" ht="19.5" customHeight="1" thickTop="1" x14ac:dyDescent="0.35">
      <c r="A13" s="322"/>
      <c r="B13" s="348"/>
      <c r="C13" s="348" t="s">
        <v>615</v>
      </c>
      <c r="D13" s="325">
        <v>1250</v>
      </c>
      <c r="E13" s="326">
        <v>50</v>
      </c>
      <c r="F13" s="347">
        <f t="shared" si="0"/>
        <v>62500</v>
      </c>
      <c r="G13" s="322" t="s">
        <v>616</v>
      </c>
    </row>
    <row r="14" spans="1:9" ht="19.5" customHeight="1" x14ac:dyDescent="0.35">
      <c r="A14" s="322"/>
      <c r="B14" s="348"/>
      <c r="C14" s="351" t="s">
        <v>617</v>
      </c>
      <c r="D14" s="325">
        <v>1250</v>
      </c>
      <c r="E14" s="326">
        <v>50</v>
      </c>
      <c r="F14" s="353">
        <f t="shared" si="0"/>
        <v>62500</v>
      </c>
      <c r="G14" s="322" t="s">
        <v>618</v>
      </c>
    </row>
    <row r="15" spans="1:9" ht="17.25" customHeight="1" x14ac:dyDescent="0.35">
      <c r="A15" s="327"/>
      <c r="B15" s="327"/>
      <c r="C15" s="327"/>
      <c r="D15" s="328"/>
      <c r="E15" s="329"/>
      <c r="F15" s="330"/>
      <c r="G15" s="331"/>
      <c r="H15" s="331"/>
      <c r="I15" s="331"/>
    </row>
    <row r="16" spans="1:9" ht="17.25" customHeight="1" x14ac:dyDescent="0.35">
      <c r="A16" s="332"/>
      <c r="B16" s="332"/>
      <c r="C16" s="332"/>
      <c r="D16" s="333"/>
      <c r="E16" s="334"/>
      <c r="F16" s="354" t="s">
        <v>592</v>
      </c>
      <c r="G16" s="331"/>
      <c r="H16" s="335" t="s">
        <v>594</v>
      </c>
      <c r="I16" s="335" t="s">
        <v>595</v>
      </c>
    </row>
    <row r="17" spans="1:10" ht="19.5" customHeight="1" x14ac:dyDescent="0.35">
      <c r="A17" s="322" t="s">
        <v>619</v>
      </c>
      <c r="B17" s="322"/>
      <c r="C17" s="322"/>
      <c r="D17" s="322"/>
      <c r="E17" s="323">
        <f>SUM($E$10,$E$9,$E$8,$E$7,$E$6,$E$4,$E$3,$E$2)</f>
        <v>1974</v>
      </c>
      <c r="F17" s="355"/>
      <c r="G17" s="336">
        <f>E17/16</f>
        <v>123.375</v>
      </c>
      <c r="H17" s="259"/>
    </row>
    <row r="18" spans="1:10" ht="19.5" customHeight="1" x14ac:dyDescent="0.35">
      <c r="A18" s="322" t="s">
        <v>620</v>
      </c>
      <c r="B18" s="322"/>
      <c r="C18" s="322"/>
      <c r="D18" s="322"/>
      <c r="E18" s="323">
        <f>SUM($E$11,$E$9,$E$8,$E$7,$E$4,$E$3,$E$6)</f>
        <v>1634</v>
      </c>
      <c r="F18" s="355"/>
      <c r="G18" s="336">
        <f>E18/16</f>
        <v>102.125</v>
      </c>
      <c r="H18" s="356"/>
      <c r="I18" s="357"/>
    </row>
    <row r="19" spans="1:10" ht="19.5" customHeight="1" x14ac:dyDescent="0.35">
      <c r="A19" s="322" t="s">
        <v>621</v>
      </c>
      <c r="B19" s="322"/>
      <c r="C19" s="322"/>
      <c r="D19" s="322"/>
      <c r="E19" s="323">
        <f>SUM($E$10,$E$9,$E$8,$E$7,$E$6,$E$4,$E$3,$E$2)</f>
        <v>1974</v>
      </c>
      <c r="F19" s="324"/>
      <c r="G19" s="322">
        <f xml:space="preserve"> E19 + (E19*H19)</f>
        <v>2664.9</v>
      </c>
      <c r="H19" s="339">
        <v>0.35</v>
      </c>
      <c r="I19" s="340">
        <v>90</v>
      </c>
      <c r="J19" s="341"/>
    </row>
    <row r="20" spans="1:10" ht="19.5" customHeight="1" x14ac:dyDescent="0.35">
      <c r="A20" s="322" t="s">
        <v>622</v>
      </c>
      <c r="B20" s="322"/>
      <c r="C20" s="322"/>
      <c r="D20" s="322"/>
      <c r="E20" s="323">
        <f>SUM($E$11,$E$9,$E$8,$E$7,$E$4,$E$3,$E$6)</f>
        <v>1634</v>
      </c>
      <c r="F20" s="324"/>
      <c r="G20" s="322">
        <f xml:space="preserve"> E20 + (E20*H20)</f>
        <v>2205.9</v>
      </c>
      <c r="H20" s="342">
        <v>0.35</v>
      </c>
      <c r="I20" s="358">
        <v>70</v>
      </c>
    </row>
    <row r="21" spans="1:10" ht="21" customHeight="1" x14ac:dyDescent="0.35">
      <c r="A21" s="322" t="s">
        <v>623</v>
      </c>
      <c r="B21" s="322"/>
      <c r="C21" s="322"/>
      <c r="D21" s="322"/>
      <c r="E21" s="323"/>
      <c r="F21" s="324">
        <f>SUM(F2:F13)</f>
        <v>2608245</v>
      </c>
      <c r="G21" s="322"/>
    </row>
    <row r="22" spans="1:10" ht="51" customHeight="1" x14ac:dyDescent="0.35">
      <c r="C22" s="129" t="s">
        <v>624</v>
      </c>
      <c r="D22" t="s">
        <v>625</v>
      </c>
      <c r="E22" s="341">
        <v>1250</v>
      </c>
      <c r="F22" s="156">
        <f>F21/E22</f>
        <v>2086.596</v>
      </c>
    </row>
    <row r="23" spans="1:10" ht="51" customHeight="1" x14ac:dyDescent="0.35">
      <c r="D23" t="s">
        <v>602</v>
      </c>
      <c r="E23" s="159">
        <v>0.25</v>
      </c>
      <c r="F23" s="359">
        <f>F22*(1+E23)</f>
        <v>2608.2449999999999</v>
      </c>
    </row>
  </sheetData>
  <pageMargins left="0.7" right="0.7" top="0.75" bottom="0.75" header="0.3" footer="0.3"/>
  <pageSetup orientation="portrait" r:id="rId1"/>
  <headerFooter>
    <oddHeader>&amp;L&amp;"Franklin Gothic Book"&amp;10&amp;K000000Sensitive&amp;1#</oddHeader>
  </headerFooter>
  <drawing r:id="rId2"/>
  <legacyDrawing r:id="rId3"/>
  <oleObjects>
    <mc:AlternateContent xmlns:mc="http://schemas.openxmlformats.org/markup-compatibility/2006">
      <mc:Choice Requires="x14">
        <oleObject progId="Packager Shell Object" shapeId="9217" r:id="rId4">
          <objectPr defaultSize="0" autoPict="0" r:id="rId5">
            <anchor moveWithCells="1">
              <from>
                <xdr:col>7</xdr:col>
                <xdr:colOff>57150</xdr:colOff>
                <xdr:row>1</xdr:row>
                <xdr:rowOff>133350</xdr:rowOff>
              </from>
              <to>
                <xdr:col>8</xdr:col>
                <xdr:colOff>571500</xdr:colOff>
                <xdr:row>3</xdr:row>
                <xdr:rowOff>152400</xdr:rowOff>
              </to>
            </anchor>
          </objectPr>
        </oleObject>
      </mc:Choice>
      <mc:Fallback>
        <oleObject progId="Packager Shell Object" shapeId="9217" r:id="rId4"/>
      </mc:Fallback>
    </mc:AlternateContent>
    <mc:AlternateContent xmlns:mc="http://schemas.openxmlformats.org/markup-compatibility/2006">
      <mc:Choice Requires="x14">
        <oleObject progId="Packager Shell Object" shapeId="9218" r:id="rId6">
          <objectPr defaultSize="0" autoPict="0" r:id="rId7">
            <anchor moveWithCells="1">
              <from>
                <xdr:col>7</xdr:col>
                <xdr:colOff>57150</xdr:colOff>
                <xdr:row>3</xdr:row>
                <xdr:rowOff>209550</xdr:rowOff>
              </from>
              <to>
                <xdr:col>8</xdr:col>
                <xdr:colOff>590550</xdr:colOff>
                <xdr:row>5</xdr:row>
                <xdr:rowOff>228600</xdr:rowOff>
              </to>
            </anchor>
          </objectPr>
        </oleObject>
      </mc:Choice>
      <mc:Fallback>
        <oleObject progId="Packager Shell Object" shapeId="9218" r:id="rId6"/>
      </mc:Fallback>
    </mc:AlternateContent>
    <mc:AlternateContent xmlns:mc="http://schemas.openxmlformats.org/markup-compatibility/2006">
      <mc:Choice Requires="x14">
        <oleObject progId="Packager Shell Object" shapeId="9219" r:id="rId8">
          <objectPr defaultSize="0" autoPict="0" r:id="rId9">
            <anchor moveWithCells="1">
              <from>
                <xdr:col>7</xdr:col>
                <xdr:colOff>57150</xdr:colOff>
                <xdr:row>6</xdr:row>
                <xdr:rowOff>38100</xdr:rowOff>
              </from>
              <to>
                <xdr:col>9</xdr:col>
                <xdr:colOff>431800</xdr:colOff>
                <xdr:row>8</xdr:row>
                <xdr:rowOff>57150</xdr:rowOff>
              </to>
            </anchor>
          </objectPr>
        </oleObject>
      </mc:Choice>
      <mc:Fallback>
        <oleObject progId="Packager Shell Object" shapeId="9219" r:id="rId8"/>
      </mc:Fallback>
    </mc:AlternateContent>
    <mc:AlternateContent xmlns:mc="http://schemas.openxmlformats.org/markup-compatibility/2006">
      <mc:Choice Requires="x14">
        <oleObject progId="Packager Shell Object" shapeId="9220" r:id="rId10">
          <objectPr defaultSize="0" autoPict="0" r:id="rId11">
            <anchor moveWithCells="1">
              <from>
                <xdr:col>7</xdr:col>
                <xdr:colOff>69850</xdr:colOff>
                <xdr:row>8</xdr:row>
                <xdr:rowOff>114300</xdr:rowOff>
              </from>
              <to>
                <xdr:col>8</xdr:col>
                <xdr:colOff>488950</xdr:colOff>
                <xdr:row>10</xdr:row>
                <xdr:rowOff>133350</xdr:rowOff>
              </to>
            </anchor>
          </objectPr>
        </oleObject>
      </mc:Choice>
      <mc:Fallback>
        <oleObject progId="Packager Shell Object" shapeId="9220" r:id="rId10"/>
      </mc:Fallback>
    </mc:AlternateContent>
    <mc:AlternateContent xmlns:mc="http://schemas.openxmlformats.org/markup-compatibility/2006">
      <mc:Choice Requires="x14">
        <oleObject progId="Packager Shell Object" shapeId="9221" r:id="rId12">
          <objectPr defaultSize="0" autoPict="0" r:id="rId13">
            <anchor moveWithCells="1">
              <from>
                <xdr:col>8</xdr:col>
                <xdr:colOff>533400</xdr:colOff>
                <xdr:row>8</xdr:row>
                <xdr:rowOff>114300</xdr:rowOff>
              </from>
              <to>
                <xdr:col>10</xdr:col>
                <xdr:colOff>19050</xdr:colOff>
                <xdr:row>10</xdr:row>
                <xdr:rowOff>133350</xdr:rowOff>
              </to>
            </anchor>
          </objectPr>
        </oleObject>
      </mc:Choice>
      <mc:Fallback>
        <oleObject progId="Packager Shell Object" shapeId="9221" r:id="rId12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12C5-5287-4DAB-9C3B-759F0F2E34F7}">
  <dimension ref="A1:H16"/>
  <sheetViews>
    <sheetView zoomScale="85" zoomScaleNormal="85" workbookViewId="0">
      <selection activeCell="D18" sqref="D18"/>
    </sheetView>
  </sheetViews>
  <sheetFormatPr defaultRowHeight="51" customHeight="1" x14ac:dyDescent="0.35"/>
  <cols>
    <col min="1" max="1" width="33.26953125" customWidth="1"/>
    <col min="2" max="2" width="76" customWidth="1"/>
    <col min="3" max="3" width="12.7265625" customWidth="1"/>
    <col min="4" max="4" width="32.26953125" customWidth="1"/>
    <col min="5" max="5" width="10.81640625" bestFit="1" customWidth="1"/>
    <col min="6" max="6" width="14.7265625" style="341" customWidth="1"/>
    <col min="7" max="7" width="14.7265625" style="156" customWidth="1"/>
    <col min="8" max="8" width="41.26953125" customWidth="1"/>
  </cols>
  <sheetData>
    <row r="1" spans="1:8" ht="51" customHeight="1" thickBot="1" x14ac:dyDescent="0.4">
      <c r="A1" s="317" t="s">
        <v>570</v>
      </c>
      <c r="B1" s="317" t="s">
        <v>97</v>
      </c>
      <c r="C1" s="317" t="s">
        <v>604</v>
      </c>
      <c r="D1" s="317" t="s">
        <v>571</v>
      </c>
      <c r="E1" s="360" t="s">
        <v>626</v>
      </c>
      <c r="F1" s="318" t="s">
        <v>573</v>
      </c>
      <c r="G1" s="343" t="s">
        <v>317</v>
      </c>
      <c r="H1" s="317"/>
    </row>
    <row r="2" spans="1:8" ht="25.5" customHeight="1" thickTop="1" x14ac:dyDescent="0.35">
      <c r="A2" s="361" t="s">
        <v>605</v>
      </c>
      <c r="B2" s="361" t="s">
        <v>627</v>
      </c>
      <c r="C2" s="362">
        <v>105.98</v>
      </c>
      <c r="D2" s="361" t="s">
        <v>606</v>
      </c>
      <c r="E2" s="345"/>
      <c r="F2" s="363">
        <v>50</v>
      </c>
      <c r="G2" s="364"/>
      <c r="H2" s="361"/>
    </row>
    <row r="3" spans="1:8" ht="25.5" customHeight="1" x14ac:dyDescent="0.35">
      <c r="A3" s="322" t="s">
        <v>575</v>
      </c>
      <c r="B3" s="322" t="s">
        <v>628</v>
      </c>
      <c r="C3" s="348">
        <v>299.99</v>
      </c>
      <c r="D3" s="322" t="s">
        <v>576</v>
      </c>
      <c r="E3" s="322">
        <v>168</v>
      </c>
      <c r="F3" s="323">
        <v>99</v>
      </c>
      <c r="G3" s="324">
        <f t="shared" ref="G3:G14" si="0">E3*F3</f>
        <v>16632</v>
      </c>
      <c r="H3" s="322"/>
    </row>
    <row r="4" spans="1:8" ht="25.5" customHeight="1" x14ac:dyDescent="0.35">
      <c r="A4" s="322" t="s">
        <v>577</v>
      </c>
      <c r="B4" s="322" t="s">
        <v>629</v>
      </c>
      <c r="C4" s="348">
        <v>40.840000000000003</v>
      </c>
      <c r="D4" s="322" t="s">
        <v>578</v>
      </c>
      <c r="E4" s="322">
        <v>168</v>
      </c>
      <c r="F4" s="323">
        <v>25</v>
      </c>
      <c r="G4" s="324">
        <f t="shared" si="0"/>
        <v>4200</v>
      </c>
      <c r="H4" s="322"/>
    </row>
    <row r="5" spans="1:8" ht="25.5" customHeight="1" x14ac:dyDescent="0.35">
      <c r="A5" s="322" t="s">
        <v>579</v>
      </c>
      <c r="B5" s="322" t="s">
        <v>630</v>
      </c>
      <c r="C5" s="348">
        <v>153.9</v>
      </c>
      <c r="D5" s="322" t="s">
        <v>580</v>
      </c>
      <c r="E5" s="322">
        <v>168</v>
      </c>
      <c r="F5" s="323">
        <v>25</v>
      </c>
      <c r="G5" s="324">
        <f t="shared" si="0"/>
        <v>4200</v>
      </c>
      <c r="H5" s="322"/>
    </row>
    <row r="6" spans="1:8" ht="25.5" customHeight="1" x14ac:dyDescent="0.35">
      <c r="A6" s="322" t="s">
        <v>581</v>
      </c>
      <c r="B6" s="322" t="s">
        <v>631</v>
      </c>
      <c r="C6" s="348">
        <v>273.7</v>
      </c>
      <c r="D6" s="322" t="s">
        <v>582</v>
      </c>
      <c r="E6" s="322">
        <v>93</v>
      </c>
      <c r="F6" s="323">
        <v>550</v>
      </c>
      <c r="G6" s="324">
        <f t="shared" si="0"/>
        <v>51150</v>
      </c>
      <c r="H6" s="322"/>
    </row>
    <row r="7" spans="1:8" ht="25.5" customHeight="1" x14ac:dyDescent="0.35">
      <c r="A7" s="322" t="s">
        <v>583</v>
      </c>
      <c r="B7" s="322" t="s">
        <v>632</v>
      </c>
      <c r="C7" s="348">
        <v>710.58</v>
      </c>
      <c r="D7" s="322" t="s">
        <v>607</v>
      </c>
      <c r="E7" s="365">
        <v>168</v>
      </c>
      <c r="F7" s="323">
        <v>450</v>
      </c>
      <c r="G7" s="324">
        <f t="shared" si="0"/>
        <v>75600</v>
      </c>
      <c r="H7" s="322"/>
    </row>
    <row r="8" spans="1:8" ht="25.5" customHeight="1" x14ac:dyDescent="0.35">
      <c r="A8" s="322" t="s">
        <v>608</v>
      </c>
      <c r="B8" s="322" t="s">
        <v>633</v>
      </c>
      <c r="C8" s="348">
        <v>129.13</v>
      </c>
      <c r="D8" s="322" t="s">
        <v>609</v>
      </c>
      <c r="E8" s="322">
        <v>218</v>
      </c>
      <c r="F8" s="323">
        <v>100</v>
      </c>
      <c r="G8" s="324">
        <f t="shared" si="0"/>
        <v>21800</v>
      </c>
      <c r="H8" s="322" t="s">
        <v>610</v>
      </c>
    </row>
    <row r="9" spans="1:8" ht="25.5" customHeight="1" x14ac:dyDescent="0.35">
      <c r="A9" s="322" t="s">
        <v>588</v>
      </c>
      <c r="B9" s="322" t="s">
        <v>634</v>
      </c>
      <c r="C9" s="348">
        <v>17.59</v>
      </c>
      <c r="D9" s="322" t="s">
        <v>589</v>
      </c>
      <c r="E9" s="322">
        <v>142</v>
      </c>
      <c r="F9" s="323">
        <v>75</v>
      </c>
      <c r="G9" s="324">
        <f t="shared" si="0"/>
        <v>10650</v>
      </c>
      <c r="H9" s="322"/>
    </row>
    <row r="10" spans="1:8" ht="25.5" customHeight="1" x14ac:dyDescent="0.35">
      <c r="A10" s="322" t="s">
        <v>590</v>
      </c>
      <c r="B10" s="322" t="s">
        <v>635</v>
      </c>
      <c r="C10" s="349">
        <v>250</v>
      </c>
      <c r="D10" s="322" t="s">
        <v>611</v>
      </c>
      <c r="E10" s="365">
        <v>118</v>
      </c>
      <c r="F10" s="323">
        <v>675</v>
      </c>
      <c r="G10" s="324">
        <f t="shared" si="0"/>
        <v>79650</v>
      </c>
      <c r="H10" s="322"/>
    </row>
    <row r="11" spans="1:8" ht="24.75" customHeight="1" x14ac:dyDescent="0.35">
      <c r="A11" s="322"/>
      <c r="B11" s="322"/>
      <c r="C11" s="322"/>
      <c r="D11" s="322" t="s">
        <v>636</v>
      </c>
      <c r="E11" s="322">
        <v>25</v>
      </c>
      <c r="F11" s="323">
        <v>385</v>
      </c>
      <c r="G11" s="324">
        <f t="shared" si="0"/>
        <v>9625</v>
      </c>
      <c r="H11" s="322"/>
    </row>
    <row r="12" spans="1:8" ht="22.5" customHeight="1" thickBot="1" x14ac:dyDescent="0.4">
      <c r="A12" s="322"/>
      <c r="B12" s="322"/>
      <c r="C12" s="322"/>
      <c r="D12" s="322" t="s">
        <v>637</v>
      </c>
      <c r="E12" s="322">
        <v>36</v>
      </c>
      <c r="F12" s="323">
        <v>950</v>
      </c>
      <c r="G12" s="324">
        <f t="shared" si="0"/>
        <v>34200</v>
      </c>
      <c r="H12" s="322"/>
    </row>
    <row r="13" spans="1:8" ht="22.5" customHeight="1" thickTop="1" x14ac:dyDescent="0.35">
      <c r="A13" s="322"/>
      <c r="B13" s="322"/>
      <c r="C13" s="322"/>
      <c r="D13" s="366" t="s">
        <v>638</v>
      </c>
      <c r="E13" s="345">
        <v>18</v>
      </c>
      <c r="F13" s="323">
        <v>100</v>
      </c>
      <c r="G13" s="324">
        <f t="shared" si="0"/>
        <v>1800</v>
      </c>
      <c r="H13" s="322"/>
    </row>
    <row r="14" spans="1:8" ht="22.5" customHeight="1" x14ac:dyDescent="0.35">
      <c r="A14" s="322"/>
      <c r="B14" s="322"/>
      <c r="C14" s="322"/>
      <c r="D14" s="367" t="s">
        <v>639</v>
      </c>
      <c r="E14" s="322">
        <v>18</v>
      </c>
      <c r="F14" s="323">
        <v>100</v>
      </c>
      <c r="G14" s="324">
        <f t="shared" si="0"/>
        <v>1800</v>
      </c>
      <c r="H14" s="322"/>
    </row>
    <row r="15" spans="1:8" ht="51" customHeight="1" x14ac:dyDescent="0.35">
      <c r="A15" s="322"/>
      <c r="B15" s="322"/>
      <c r="C15" s="322"/>
      <c r="D15" s="322" t="s">
        <v>640</v>
      </c>
      <c r="E15" s="322"/>
      <c r="F15" s="323"/>
      <c r="G15" s="368">
        <f>SUM(G3:G14)</f>
        <v>311307</v>
      </c>
      <c r="H15" s="322"/>
    </row>
    <row r="16" spans="1:8" ht="51" customHeight="1" x14ac:dyDescent="0.35">
      <c r="E16" s="341" t="s">
        <v>641</v>
      </c>
      <c r="F16" s="341">
        <v>0.25</v>
      </c>
      <c r="G16" s="359">
        <f>G15*+(1+F16)</f>
        <v>389133.75</v>
      </c>
    </row>
  </sheetData>
  <pageMargins left="0.7" right="0.7" top="0.75" bottom="0.75" header="0.3" footer="0.3"/>
  <pageSetup orientation="portrait" r:id="rId1"/>
  <headerFooter>
    <oddHeader>&amp;L&amp;"Franklin Gothic Book"&amp;10&amp;K000000Sensitive&amp;1#</oddHeader>
  </headerFooter>
  <drawing r:id="rId2"/>
  <legacyDrawing r:id="rId3"/>
  <oleObjects>
    <mc:AlternateContent xmlns:mc="http://schemas.openxmlformats.org/markup-compatibility/2006">
      <mc:Choice Requires="x14">
        <oleObject progId="Packager Shell Object" shapeId="10241" r:id="rId4">
          <objectPr defaultSize="0" autoPict="0" r:id="rId5">
            <anchor moveWithCells="1">
              <from>
                <xdr:col>8</xdr:col>
                <xdr:colOff>107950</xdr:colOff>
                <xdr:row>1</xdr:row>
                <xdr:rowOff>50800</xdr:rowOff>
              </from>
              <to>
                <xdr:col>10</xdr:col>
                <xdr:colOff>12700</xdr:colOff>
                <xdr:row>2</xdr:row>
                <xdr:rowOff>241300</xdr:rowOff>
              </to>
            </anchor>
          </objectPr>
        </oleObject>
      </mc:Choice>
      <mc:Fallback>
        <oleObject progId="Packager Shell Object" shapeId="10241" r:id="rId4"/>
      </mc:Fallback>
    </mc:AlternateContent>
    <mc:AlternateContent xmlns:mc="http://schemas.openxmlformats.org/markup-compatibility/2006">
      <mc:Choice Requires="x14">
        <oleObject progId="Packager Shell Object" shapeId="10242" r:id="rId6">
          <objectPr defaultSize="0" autoPict="0" r:id="rId7">
            <anchor moveWithCells="1">
              <from>
                <xdr:col>8</xdr:col>
                <xdr:colOff>133350</xdr:colOff>
                <xdr:row>3</xdr:row>
                <xdr:rowOff>0</xdr:rowOff>
              </from>
              <to>
                <xdr:col>10</xdr:col>
                <xdr:colOff>57150</xdr:colOff>
                <xdr:row>4</xdr:row>
                <xdr:rowOff>190500</xdr:rowOff>
              </to>
            </anchor>
          </objectPr>
        </oleObject>
      </mc:Choice>
      <mc:Fallback>
        <oleObject progId="Packager Shell Object" shapeId="10242" r:id="rId6"/>
      </mc:Fallback>
    </mc:AlternateContent>
    <mc:AlternateContent xmlns:mc="http://schemas.openxmlformats.org/markup-compatibility/2006">
      <mc:Choice Requires="x14">
        <oleObject progId="Packager Shell Object" shapeId="10243" r:id="rId8">
          <objectPr defaultSize="0" autoPict="0" r:id="rId9">
            <anchor moveWithCells="1">
              <from>
                <xdr:col>8</xdr:col>
                <xdr:colOff>171450</xdr:colOff>
                <xdr:row>4</xdr:row>
                <xdr:rowOff>304800</xdr:rowOff>
              </from>
              <to>
                <xdr:col>11</xdr:col>
                <xdr:colOff>374650</xdr:colOff>
                <xdr:row>6</xdr:row>
                <xdr:rowOff>171450</xdr:rowOff>
              </to>
            </anchor>
          </objectPr>
        </oleObject>
      </mc:Choice>
      <mc:Fallback>
        <oleObject progId="Packager Shell Object" shapeId="10243" r:id="rId8"/>
      </mc:Fallback>
    </mc:AlternateContent>
    <mc:AlternateContent xmlns:mc="http://schemas.openxmlformats.org/markup-compatibility/2006">
      <mc:Choice Requires="x14">
        <oleObject progId="Packager Shell Object" shapeId="10244" r:id="rId10">
          <objectPr defaultSize="0" autoPict="0" r:id="rId11">
            <anchor moveWithCells="1">
              <from>
                <xdr:col>8</xdr:col>
                <xdr:colOff>171450</xdr:colOff>
                <xdr:row>6</xdr:row>
                <xdr:rowOff>260350</xdr:rowOff>
              </from>
              <to>
                <xdr:col>9</xdr:col>
                <xdr:colOff>590550</xdr:colOff>
                <xdr:row>8</xdr:row>
                <xdr:rowOff>127000</xdr:rowOff>
              </to>
            </anchor>
          </objectPr>
        </oleObject>
      </mc:Choice>
      <mc:Fallback>
        <oleObject progId="Packager Shell Object" shapeId="10244" r:id="rId10"/>
      </mc:Fallback>
    </mc:AlternateContent>
    <mc:AlternateContent xmlns:mc="http://schemas.openxmlformats.org/markup-compatibility/2006">
      <mc:Choice Requires="x14">
        <oleObject progId="Packager Shell Object" shapeId="10245" r:id="rId12">
          <objectPr defaultSize="0" autoPict="0" r:id="rId13">
            <anchor moveWithCells="1">
              <from>
                <xdr:col>10</xdr:col>
                <xdr:colOff>95250</xdr:colOff>
                <xdr:row>6</xdr:row>
                <xdr:rowOff>260350</xdr:rowOff>
              </from>
              <to>
                <xdr:col>12</xdr:col>
                <xdr:colOff>19050</xdr:colOff>
                <xdr:row>8</xdr:row>
                <xdr:rowOff>127000</xdr:rowOff>
              </to>
            </anchor>
          </objectPr>
        </oleObject>
      </mc:Choice>
      <mc:Fallback>
        <oleObject progId="Packager Shell Object" shapeId="10245" r:id="rId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Assumpt</vt:lpstr>
      <vt:lpstr>Pricing details</vt:lpstr>
      <vt:lpstr>cash flow</vt:lpstr>
      <vt:lpstr>price submittal form</vt:lpstr>
      <vt:lpstr>Application Development</vt:lpstr>
      <vt:lpstr>infrastructureold</vt:lpstr>
      <vt:lpstr>infrastructure</vt:lpstr>
      <vt:lpstr>Tablet (PIF - BUS TEAM)</vt:lpstr>
      <vt:lpstr>DESKTOP (PIF)</vt:lpstr>
      <vt:lpstr>DESKTOP (CIF)</vt:lpstr>
      <vt:lpstr>g</vt:lpstr>
      <vt:lpstr>Assumpt!Print_Area</vt:lpstr>
      <vt:lpstr>'price submittal form'!Print_Titles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Blair, Gord</dc:creator>
  <cp:lastModifiedBy>Leckie, Robert [US-US]</cp:lastModifiedBy>
  <cp:lastPrinted>2019-10-09T02:17:45Z</cp:lastPrinted>
  <dcterms:created xsi:type="dcterms:W3CDTF">2019-10-01T17:45:38Z</dcterms:created>
  <dcterms:modified xsi:type="dcterms:W3CDTF">2026-01-19T13:00:33Z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1e7834-6be8-4780-ac5e-8408bbf8216f_Enabled">
    <vt:lpwstr>True</vt:lpwstr>
  </property>
  <property fmtid="{D5CDD505-2E9C-101B-9397-08002B2CF9AE}" pid="3" name="MSIP_Label_5c1e7834-6be8-4780-ac5e-8408bbf8216f_SiteId">
    <vt:lpwstr>8d088ff8-7e52-4d0f-8187-dcd9ca37815a</vt:lpwstr>
  </property>
  <property fmtid="{D5CDD505-2E9C-101B-9397-08002B2CF9AE}" pid="4" name="MSIP_Label_5c1e7834-6be8-4780-ac5e-8408bbf8216f_Owner">
    <vt:lpwstr>Gord.Blair@parsons.com</vt:lpwstr>
  </property>
  <property fmtid="{D5CDD505-2E9C-101B-9397-08002B2CF9AE}" pid="5" name="MSIP_Label_5c1e7834-6be8-4780-ac5e-8408bbf8216f_SetDate">
    <vt:lpwstr>2019-10-01T17:46:37.9269970Z</vt:lpwstr>
  </property>
  <property fmtid="{D5CDD505-2E9C-101B-9397-08002B2CF9AE}" pid="6" name="MSIP_Label_5c1e7834-6be8-4780-ac5e-8408bbf8216f_Name">
    <vt:lpwstr>Sensitive, Proprietary</vt:lpwstr>
  </property>
  <property fmtid="{D5CDD505-2E9C-101B-9397-08002B2CF9AE}" pid="7" name="MSIP_Label_5c1e7834-6be8-4780-ac5e-8408bbf8216f_Application">
    <vt:lpwstr>Microsoft Azure Information Protection</vt:lpwstr>
  </property>
  <property fmtid="{D5CDD505-2E9C-101B-9397-08002B2CF9AE}" pid="8" name="MSIP_Label_5c1e7834-6be8-4780-ac5e-8408bbf8216f_ActionId">
    <vt:lpwstr>163f478d-ecb1-4c14-bfe9-34944409de52</vt:lpwstr>
  </property>
  <property fmtid="{D5CDD505-2E9C-101B-9397-08002B2CF9AE}" pid="9" name="MSIP_Label_5c1e7834-6be8-4780-ac5e-8408bbf8216f_Extended_MSFT_Method">
    <vt:lpwstr>Manual</vt:lpwstr>
  </property>
  <property fmtid="{D5CDD505-2E9C-101B-9397-08002B2CF9AE}" pid="10" name="Sensitivity">
    <vt:lpwstr>Sensitive, Proprietary</vt:lpwstr>
  </property>
</Properties>
</file>