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Bob\Documents\GitHub\owasp-mstg\Checklists\"/>
    </mc:Choice>
  </mc:AlternateContent>
  <xr:revisionPtr revIDLastSave="0" documentId="13_ncr:1_{6144EDD6-F77A-40AD-9219-90CBDDE2A8D8}" xr6:coauthVersionLast="43" xr6:coauthVersionMax="45" xr10:uidLastSave="{00000000-0000-0000-0000-000000000000}"/>
  <bookViews>
    <workbookView xWindow="3585" yWindow="1065" windowWidth="20685" windowHeight="19860" tabRatio="500" firstSheet="1" activeTab="3" xr2:uid="{00000000-000D-0000-FFFF-FFFF00000000}"/>
  </bookViews>
  <sheets>
    <sheet name="Dashboard" sheetId="1" r:id="rId1"/>
    <sheet name="Management Summary" sheetId="2" r:id="rId2"/>
    <sheet name="SR - Android" sheetId="3" r:id="rId3"/>
    <sheet name="RE - Android" sheetId="4" r:id="rId4"/>
    <sheet name="SR - iOS" sheetId="5" r:id="rId5"/>
    <sheet name="RE - iOS" sheetId="6" r:id="rId6"/>
    <sheet name="Version History" sheetId="7" r:id="rId7"/>
  </sheets>
  <definedNames>
    <definedName name="_xlnm._FilterDatabase" localSheetId="2">'SR - Android'!$B$3:$L$81</definedName>
    <definedName name="BASE_URL">Dashboard!$D$14</definedName>
    <definedName name="MASVS_VERSION">Dashboard!$D$11</definedName>
    <definedName name="MSTG_VERSION">Dashboard!$D$13</definedName>
  </definedNames>
  <calcPr calcId="191029"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55" i="3" l="1"/>
  <c r="H54" i="3"/>
  <c r="H11" i="3"/>
  <c r="H6" i="3"/>
  <c r="H45" i="3"/>
  <c r="H29" i="5"/>
  <c r="H29" i="3"/>
  <c r="F43" i="2"/>
  <c r="D43" i="2"/>
  <c r="E43" i="2"/>
  <c r="J41" i="3"/>
  <c r="J11" i="3"/>
  <c r="H28" i="3" l="1"/>
  <c r="H25" i="3"/>
  <c r="H20" i="3"/>
  <c r="H19" i="3"/>
  <c r="H18" i="3"/>
  <c r="G17" i="4"/>
  <c r="G15" i="4"/>
  <c r="G13" i="4"/>
  <c r="G9" i="4"/>
  <c r="G8" i="4"/>
  <c r="G7" i="4"/>
  <c r="G6" i="4"/>
  <c r="G5" i="4"/>
  <c r="G10" i="4"/>
  <c r="G17" i="6" l="1"/>
  <c r="G15" i="6"/>
  <c r="G7" i="6"/>
  <c r="G6" i="6"/>
  <c r="G5" i="6"/>
  <c r="H5" i="5"/>
  <c r="H81" i="3" l="1"/>
  <c r="H80" i="3"/>
  <c r="H79" i="3"/>
  <c r="H78" i="3"/>
  <c r="H77" i="3"/>
  <c r="H76" i="3"/>
  <c r="H75" i="3"/>
  <c r="H74" i="3"/>
  <c r="H73" i="3"/>
  <c r="H68" i="3"/>
  <c r="H67" i="3"/>
  <c r="H66" i="3"/>
  <c r="H65" i="3"/>
  <c r="H64" i="3"/>
  <c r="H63" i="3"/>
  <c r="I62" i="3"/>
  <c r="H62" i="3"/>
  <c r="H61" i="3"/>
  <c r="H59" i="3" l="1"/>
  <c r="H58" i="3"/>
  <c r="H57" i="3"/>
  <c r="I57" i="3"/>
  <c r="H56" i="3"/>
  <c r="H50" i="3"/>
  <c r="H49" i="3"/>
  <c r="H48" i="3"/>
  <c r="H47" i="3"/>
  <c r="I46" i="3"/>
  <c r="H46" i="3"/>
  <c r="H44" i="3"/>
  <c r="I43" i="3"/>
  <c r="H43" i="3"/>
  <c r="H42" i="3"/>
  <c r="I41" i="3"/>
  <c r="H41" i="3"/>
  <c r="H39" i="3"/>
  <c r="H38" i="3"/>
  <c r="H37" i="3"/>
  <c r="I37" i="3"/>
  <c r="I36" i="3"/>
  <c r="H36" i="3"/>
  <c r="I35" i="3"/>
  <c r="I34" i="3"/>
  <c r="H35" i="3"/>
  <c r="H34" i="3"/>
  <c r="I28" i="3"/>
  <c r="H27" i="3"/>
  <c r="H26" i="3"/>
  <c r="H24" i="3"/>
  <c r="H23" i="3"/>
  <c r="H22" i="3"/>
  <c r="H21" i="3"/>
  <c r="I18" i="3"/>
  <c r="H14" i="3"/>
  <c r="H13" i="3"/>
  <c r="H12" i="3"/>
  <c r="I11" i="3"/>
  <c r="H10" i="3"/>
  <c r="H9" i="3"/>
  <c r="H8" i="3"/>
  <c r="H7" i="3"/>
  <c r="I6" i="3"/>
  <c r="I5" i="3"/>
  <c r="H5" i="3"/>
  <c r="H76" i="5"/>
  <c r="H67" i="5"/>
  <c r="H58" i="5"/>
  <c r="H49" i="5"/>
  <c r="H43" i="5"/>
  <c r="H35" i="5"/>
  <c r="H23" i="5"/>
  <c r="H12" i="5"/>
  <c r="H6" i="5"/>
  <c r="J50" i="2"/>
  <c r="I50" i="2"/>
  <c r="H50" i="2"/>
  <c r="F50" i="2"/>
  <c r="E50" i="2"/>
  <c r="D50" i="2"/>
  <c r="J49" i="2"/>
  <c r="I49" i="2"/>
  <c r="H49" i="2"/>
  <c r="F49" i="2"/>
  <c r="E49" i="2"/>
  <c r="D49" i="2"/>
  <c r="J48" i="2"/>
  <c r="I48" i="2"/>
  <c r="H48" i="2"/>
  <c r="F48" i="2"/>
  <c r="E48" i="2"/>
  <c r="D48" i="2"/>
  <c r="J47" i="2"/>
  <c r="I47" i="2"/>
  <c r="H47" i="2"/>
  <c r="F47" i="2"/>
  <c r="E47" i="2"/>
  <c r="D47" i="2"/>
  <c r="J46" i="2"/>
  <c r="I46" i="2"/>
  <c r="H46" i="2"/>
  <c r="F46" i="2"/>
  <c r="E46" i="2"/>
  <c r="D46" i="2"/>
  <c r="J45" i="2"/>
  <c r="I45" i="2"/>
  <c r="H45" i="2"/>
  <c r="F45" i="2"/>
  <c r="E45" i="2"/>
  <c r="D45" i="2"/>
  <c r="J44" i="2"/>
  <c r="I44" i="2"/>
  <c r="H44" i="2"/>
  <c r="F44" i="2"/>
  <c r="E44" i="2"/>
  <c r="D44" i="2"/>
  <c r="J43" i="2"/>
  <c r="I43" i="2"/>
  <c r="H43" i="2"/>
  <c r="D14" i="1"/>
  <c r="D12" i="1"/>
  <c r="G48" i="2" l="1"/>
  <c r="G44" i="2"/>
  <c r="K43" i="2"/>
  <c r="K47" i="2"/>
  <c r="K50" i="2"/>
  <c r="K46" i="2"/>
  <c r="K45" i="2"/>
  <c r="K49" i="2"/>
  <c r="G43" i="2"/>
  <c r="G47" i="2"/>
  <c r="K44" i="2"/>
  <c r="K48" i="2"/>
  <c r="G46" i="2"/>
  <c r="G50" i="2"/>
  <c r="G45" i="2"/>
  <c r="G49" i="2"/>
  <c r="I6" i="5"/>
  <c r="H13" i="5"/>
  <c r="H36" i="5"/>
  <c r="I43" i="5"/>
  <c r="H50" i="5"/>
  <c r="H59" i="5"/>
  <c r="H77" i="5"/>
  <c r="H7" i="5"/>
  <c r="H14" i="5"/>
  <c r="H25" i="5"/>
  <c r="H37" i="5"/>
  <c r="H44" i="5"/>
  <c r="H52" i="5"/>
  <c r="H61" i="5"/>
  <c r="H70" i="5"/>
  <c r="H78" i="5"/>
  <c r="H24" i="5"/>
  <c r="H68" i="5"/>
  <c r="H8" i="5"/>
  <c r="H18" i="5"/>
  <c r="H26" i="5"/>
  <c r="H38" i="5"/>
  <c r="H45" i="5"/>
  <c r="H54" i="5"/>
  <c r="H62" i="5"/>
  <c r="H71" i="5"/>
  <c r="H10" i="5"/>
  <c r="H20" i="5"/>
  <c r="H28" i="5"/>
  <c r="H41" i="5"/>
  <c r="I46" i="5"/>
  <c r="I55" i="5"/>
  <c r="H64" i="5"/>
  <c r="H73" i="5"/>
  <c r="H72" i="5"/>
  <c r="H11" i="5"/>
  <c r="H21" i="5"/>
  <c r="I41" i="5"/>
  <c r="H47" i="5"/>
  <c r="H56" i="5"/>
  <c r="H65" i="5"/>
  <c r="H74" i="5"/>
  <c r="H9" i="5"/>
  <c r="H19" i="5"/>
  <c r="H27" i="5"/>
  <c r="H39" i="5"/>
  <c r="H46" i="5"/>
  <c r="H55" i="5"/>
  <c r="H63" i="5"/>
  <c r="I11" i="5"/>
  <c r="H22" i="5"/>
  <c r="H34" i="5"/>
  <c r="H42" i="5"/>
  <c r="H48" i="5"/>
  <c r="H57" i="5"/>
  <c r="H66" i="5"/>
  <c r="H75" i="5"/>
  <c r="V8" i="2" l="1"/>
  <c r="G8" i="2"/>
</calcChain>
</file>

<file path=xl/sharedStrings.xml><?xml version="1.0" encoding="utf-8"?>
<sst xmlns="http://schemas.openxmlformats.org/spreadsheetml/2006/main" count="1065" uniqueCount="433">
  <si>
    <t>1.1.4</t>
  </si>
  <si>
    <t>1.1.3</t>
  </si>
  <si>
    <t>Version</t>
  </si>
  <si>
    <t>`</t>
  </si>
  <si>
    <t>Android</t>
  </si>
  <si>
    <t>iOS</t>
  </si>
  <si>
    <t>NA</t>
  </si>
  <si>
    <t>%</t>
  </si>
  <si>
    <t>ID</t>
  </si>
  <si>
    <t>MSTG-ID</t>
  </si>
  <si>
    <t>Level 1</t>
  </si>
  <si>
    <t>Level 2</t>
  </si>
  <si>
    <t>Status</t>
  </si>
  <si>
    <t>Testing Procedure(s)</t>
  </si>
  <si>
    <t>Comment</t>
  </si>
  <si>
    <t>V1</t>
  </si>
  <si>
    <t>1.1</t>
  </si>
  <si>
    <t>MSTG-ARCH-1</t>
  </si>
  <si>
    <t>✓</t>
  </si>
  <si>
    <t>1.2</t>
  </si>
  <si>
    <t>MSTG-ARCH-2</t>
  </si>
  <si>
    <t>1.3</t>
  </si>
  <si>
    <t>MSTG-ARCH-3</t>
  </si>
  <si>
    <t>1.4</t>
  </si>
  <si>
    <t>MSTG-ARCH-4</t>
  </si>
  <si>
    <t>1.5</t>
  </si>
  <si>
    <t>MSTG-ARCH-5</t>
  </si>
  <si>
    <t>N/A</t>
  </si>
  <si>
    <t>1.6</t>
  </si>
  <si>
    <t>MSTG-ARCH-6</t>
  </si>
  <si>
    <t>1.7</t>
  </si>
  <si>
    <t>MSTG-ARCH-7</t>
  </si>
  <si>
    <t>1.8</t>
  </si>
  <si>
    <t>MSTG-ARCH-8</t>
  </si>
  <si>
    <t>1.9</t>
  </si>
  <si>
    <t>MSTG-ARCH-9</t>
  </si>
  <si>
    <t>1.10</t>
  </si>
  <si>
    <t>MSTG-ARCH-10</t>
  </si>
  <si>
    <t>V2</t>
  </si>
  <si>
    <t>2.1</t>
  </si>
  <si>
    <t>MSTG-STORAGE‑1</t>
  </si>
  <si>
    <t>2.2</t>
  </si>
  <si>
    <t>MSTG-STORAGE‑2</t>
  </si>
  <si>
    <t>2.3</t>
  </si>
  <si>
    <t>MSTG-STORAGE‑3</t>
  </si>
  <si>
    <t>2.4</t>
  </si>
  <si>
    <t>MSTG-STORAGE‑4</t>
  </si>
  <si>
    <t>2.5</t>
  </si>
  <si>
    <t>MSTG-STORAGE‑5</t>
  </si>
  <si>
    <t>2.6</t>
  </si>
  <si>
    <t>MSTG-STORAGE‑6</t>
  </si>
  <si>
    <t>2.7</t>
  </si>
  <si>
    <t>MSTG-STORAGE‑7</t>
  </si>
  <si>
    <t>2.8</t>
  </si>
  <si>
    <t>MSTG-STORAGE‑8</t>
  </si>
  <si>
    <t>2.9</t>
  </si>
  <si>
    <t>MSTG-STORAGE‑9</t>
  </si>
  <si>
    <t>2.10</t>
  </si>
  <si>
    <t>MSTG-STORAGE‑10</t>
  </si>
  <si>
    <t>2.11</t>
  </si>
  <si>
    <t>MSTG-STORAGE‑11</t>
  </si>
  <si>
    <t>2.12</t>
  </si>
  <si>
    <t>MSTG-STORAGE‑12</t>
  </si>
  <si>
    <t>V3</t>
  </si>
  <si>
    <t>3.1</t>
  </si>
  <si>
    <t>MSTG‑CRYPTO‑1</t>
  </si>
  <si>
    <t>3.2</t>
  </si>
  <si>
    <t>MSTG‑CRYPTO‑2</t>
  </si>
  <si>
    <t>3.3</t>
  </si>
  <si>
    <t>MSTG‑CRYPTO‑3</t>
  </si>
  <si>
    <t>3.4</t>
  </si>
  <si>
    <t>MSTG‑CRYPTO‑4</t>
  </si>
  <si>
    <t>3.5</t>
  </si>
  <si>
    <t>MSTG‑CRYPTO‑5</t>
  </si>
  <si>
    <t>3.6</t>
  </si>
  <si>
    <t>MSTG‑CRYPTO‑6</t>
  </si>
  <si>
    <t>V4</t>
  </si>
  <si>
    <t>4.1</t>
  </si>
  <si>
    <t>MSTG-AUTH-1</t>
  </si>
  <si>
    <t>4.2</t>
  </si>
  <si>
    <t>MSTG-AUTH-2</t>
  </si>
  <si>
    <t>4.3</t>
  </si>
  <si>
    <t>MSTG-AUTH-3</t>
  </si>
  <si>
    <t>4.4</t>
  </si>
  <si>
    <t>MSTG-AUTH-4</t>
  </si>
  <si>
    <t>4.5</t>
  </si>
  <si>
    <t>MSTG-AUTH-5</t>
  </si>
  <si>
    <t>4.6</t>
  </si>
  <si>
    <t>MSTG-AUTH-6</t>
  </si>
  <si>
    <t>4.7</t>
  </si>
  <si>
    <t>MSTG-AUTH-7</t>
  </si>
  <si>
    <t>4.8</t>
  </si>
  <si>
    <t>MSTG-AUTH-8</t>
  </si>
  <si>
    <t>4.9</t>
  </si>
  <si>
    <t>MSTG-AUTH-9</t>
  </si>
  <si>
    <t>4.10</t>
  </si>
  <si>
    <t>MSTG-AUTH-10</t>
  </si>
  <si>
    <t>4.11</t>
  </si>
  <si>
    <t>MSTG-AUTH-11</t>
  </si>
  <si>
    <t>V5</t>
  </si>
  <si>
    <t>5.1</t>
  </si>
  <si>
    <t>MSTG-NETWORK-1</t>
  </si>
  <si>
    <t>5.2</t>
  </si>
  <si>
    <t>MSTG-NETWORK-2</t>
  </si>
  <si>
    <t>5.3</t>
  </si>
  <si>
    <t>MSTG-NETWORK-3</t>
  </si>
  <si>
    <t>5.4</t>
  </si>
  <si>
    <t>MSTG-NETWORK-4</t>
  </si>
  <si>
    <t>5.5</t>
  </si>
  <si>
    <t>MSTG-NETWORK-5</t>
  </si>
  <si>
    <t>5.6</t>
  </si>
  <si>
    <t>MSTG-NETWORK-6</t>
  </si>
  <si>
    <t>V6</t>
  </si>
  <si>
    <t>6.1</t>
  </si>
  <si>
    <t>MSTG-PLATFORM-1</t>
  </si>
  <si>
    <t>6.2</t>
  </si>
  <si>
    <t>MSTG-PLATFORM-2</t>
  </si>
  <si>
    <t>6.3</t>
  </si>
  <si>
    <t>MSTG-PLATFORM-3</t>
  </si>
  <si>
    <t>6.4</t>
  </si>
  <si>
    <t>MSTG-PLATFORM-4</t>
  </si>
  <si>
    <t>6.5</t>
  </si>
  <si>
    <t>MSTG-PLATFORM-5</t>
  </si>
  <si>
    <t>6.6</t>
  </si>
  <si>
    <t>MSTG-PLATFORM-6</t>
  </si>
  <si>
    <t>6.7</t>
  </si>
  <si>
    <t>MSTG-PLATFORM-7</t>
  </si>
  <si>
    <t>6.8</t>
  </si>
  <si>
    <t>MSTG-PLATFORM-8</t>
  </si>
  <si>
    <t>V7</t>
  </si>
  <si>
    <t>7.1</t>
  </si>
  <si>
    <t>MSTG-CODE-1</t>
  </si>
  <si>
    <t>7.2</t>
  </si>
  <si>
    <t>MSTG-CODE-2</t>
  </si>
  <si>
    <t>7.3</t>
  </si>
  <si>
    <t>MSTG-CODE-3</t>
  </si>
  <si>
    <t>7.4</t>
  </si>
  <si>
    <t>MSTG-CODE-4</t>
  </si>
  <si>
    <t>7.5</t>
  </si>
  <si>
    <t>MSTG-CODE-5</t>
  </si>
  <si>
    <t>7.6</t>
  </si>
  <si>
    <t>MSTG-CODE-6</t>
  </si>
  <si>
    <t>7.7</t>
  </si>
  <si>
    <t>MSTG-CODE-7</t>
  </si>
  <si>
    <t>7.8</t>
  </si>
  <si>
    <t>MSTG-CODE-8</t>
  </si>
  <si>
    <t>7.9</t>
  </si>
  <si>
    <t>MSTG-CODE-9</t>
  </si>
  <si>
    <t>Legend</t>
  </si>
  <si>
    <t>Pass</t>
  </si>
  <si>
    <t>Fail</t>
  </si>
  <si>
    <t>R</t>
  </si>
  <si>
    <t>8.1</t>
  </si>
  <si>
    <t>MSTG-RESILIENCE-1</t>
  </si>
  <si>
    <t>8.2</t>
  </si>
  <si>
    <t>MSTG-RESILIENCE-2</t>
  </si>
  <si>
    <t>8.3</t>
  </si>
  <si>
    <t>MSTG-RESILIENCE-3</t>
  </si>
  <si>
    <t>8.4</t>
  </si>
  <si>
    <t>MSTG-RESILIENCE-4</t>
  </si>
  <si>
    <t>8.5</t>
  </si>
  <si>
    <t>MSTG-RESILIENCE-5</t>
  </si>
  <si>
    <t>8.6</t>
  </si>
  <si>
    <t>MSTG-RESILIENCE-6</t>
  </si>
  <si>
    <t>8.7</t>
  </si>
  <si>
    <t>MSTG-RESILIENCE-7</t>
  </si>
  <si>
    <t xml:space="preserve"> -</t>
  </si>
  <si>
    <t>8.8</t>
  </si>
  <si>
    <t>MSTG-RESILIENCE-8</t>
  </si>
  <si>
    <t>-</t>
  </si>
  <si>
    <t>8.9</t>
  </si>
  <si>
    <t>MSTG-RESILIENCE-9</t>
  </si>
  <si>
    <t>8.10</t>
  </si>
  <si>
    <t>MSTG-RESILIENCE-10</t>
  </si>
  <si>
    <t>8.11</t>
  </si>
  <si>
    <t>MSTG-RESILIENCE-11</t>
  </si>
  <si>
    <t>8.12</t>
  </si>
  <si>
    <t>MSTG-RESILIENCE-12</t>
  </si>
  <si>
    <t>XLS Version History</t>
  </si>
  <si>
    <t>Name</t>
  </si>
  <si>
    <t>MASVS version</t>
  </si>
  <si>
    <t>Date</t>
  </si>
  <si>
    <t>Alexander Antukh (Opera Software)</t>
  </si>
  <si>
    <t>Initial draft</t>
  </si>
  <si>
    <t xml:space="preserve">Sven Schleier </t>
  </si>
  <si>
    <t>Merging of three diffeent templates</t>
  </si>
  <si>
    <t>Abdessamad Temmar</t>
  </si>
  <si>
    <t>Adding Spider Chart</t>
  </si>
  <si>
    <t>Bernhard Mueller</t>
  </si>
  <si>
    <t>0.8.1</t>
  </si>
  <si>
    <t>Rework, adding links to Testing Guide</t>
  </si>
  <si>
    <t>0.9.2</t>
  </si>
  <si>
    <t>QA (and sync version number with MASVS)</t>
  </si>
  <si>
    <t>0.9.3</t>
  </si>
  <si>
    <t>Sync with MASVS (merge 7.9 into 7.8)</t>
  </si>
  <si>
    <t>Sync with MASVS (update requirements of domain 4 and R)</t>
  </si>
  <si>
    <t>0.9.4</t>
  </si>
  <si>
    <t>Sync with MASVS (update requirements of domain 1, 4 and 6)</t>
  </si>
  <si>
    <t>1.0</t>
  </si>
  <si>
    <t>Sync with MASVS (update requirements of domain 3 and 8)</t>
  </si>
  <si>
    <t>Sync with MASVS (update requirements of domain 2), change links to new Gitbook</t>
  </si>
  <si>
    <t>Abderrahmane Aftahi</t>
  </si>
  <si>
    <t>1.1.0.1</t>
  </si>
  <si>
    <t>Translating to French based on MASVS 1.1.1</t>
  </si>
  <si>
    <t>Romuald Szkudlarek</t>
  </si>
  <si>
    <t>1.1.0.2</t>
  </si>
  <si>
    <t>Georges Bolssens</t>
  </si>
  <si>
    <t>1.1.0.3</t>
  </si>
  <si>
    <t>1.1.0</t>
  </si>
  <si>
    <r>
      <rPr>
        <b/>
        <sz val="12"/>
        <color rgb="FF000000"/>
        <rFont val="Calibri"/>
        <family val="2"/>
        <charset val="1"/>
      </rPr>
      <t xml:space="preserve">Sync with MASVS/MSTG v1.1.0
</t>
    </r>
    <r>
      <rPr>
        <sz val="12"/>
        <color rgb="FF000000"/>
        <rFont val="Calibri"/>
        <family val="2"/>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rgb="FF000000"/>
        <rFont val="Calibri"/>
        <family val="2"/>
        <charset val="1"/>
      </rPr>
      <t xml:space="preserve">
Coupling the checklist version to a specific MASVS/MSTG versio</t>
    </r>
    <r>
      <rPr>
        <sz val="12"/>
        <color rgb="FF000000"/>
        <rFont val="Calibri"/>
        <family val="2"/>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rgb="FF000000"/>
        <rFont val="Calibri"/>
        <family val="2"/>
        <charset val="1"/>
      </rPr>
      <t xml:space="preserve">
Syncing "Anti-RE" worksheets to better match the L1/L2 "Security Requirements" worksheets
</t>
    </r>
    <r>
      <rPr>
        <sz val="12"/>
        <color rgb="FF000000"/>
        <rFont val="Calibri"/>
        <family val="2"/>
        <charset val="1"/>
      </rPr>
      <t xml:space="preserve">- Adding "ID" header
- Removing inner cell borders
</t>
    </r>
    <r>
      <rPr>
        <b/>
        <sz val="12"/>
        <color rgb="FF000000"/>
        <rFont val="Calibri"/>
        <family val="2"/>
        <charset val="1"/>
      </rPr>
      <t xml:space="preserve">
Housekeeping/Mis</t>
    </r>
    <r>
      <rPr>
        <sz val="12"/>
        <color rgb="FF000000"/>
        <rFont val="Calibri"/>
        <family val="2"/>
        <charset val="1"/>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</si>
  <si>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1.1.0.4</t>
  </si>
  <si>
    <t>Updating the lnk to the 1.1.0 version of the guide</t>
  </si>
  <si>
    <t>1.1.0.5</t>
  </si>
  <si>
    <t xml:space="preserve">SHA256 checksum instead of MD5 on Dashboard worksheet
Fixed the Management Summary worksheet
Added explanation for hyperlinking to the Dashboard worksheet
Added 0x04 hyperlink to MSTG for V4.11 on both platforms (previously blank)
</t>
  </si>
  <si>
    <t>1.1.0.6</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</si>
  <si>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</si>
  <si>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</si>
  <si>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</si>
  <si>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1.1.1.1</t>
  </si>
  <si>
    <r>
      <rPr>
        <b/>
        <sz val="12"/>
        <color rgb="FF000000"/>
        <rFont val="Calibri"/>
        <family val="2"/>
        <charset val="1"/>
      </rPr>
      <t xml:space="preserve">Updating the links based on OSS19 restructured chapters:
</t>
    </r>
    <r>
      <rPr>
        <sz val="12"/>
        <color rgb="FF000000"/>
        <rFont val="Calibri"/>
        <family val="2"/>
        <charset val="1"/>
      </rPr>
      <t xml:space="preserve">android 
3.2|3.4|4.9|4.10|5.2|5.4|7.7
IOS
3.2|4.5|4.10|4.11|5.1|5.3|6.4|7.8
</t>
    </r>
  </si>
  <si>
    <t>1.1.1.2</t>
  </si>
  <si>
    <t>Correcting the Link to the MSTG repo and adding a link to the MASVS repo</t>
  </si>
  <si>
    <t>1.1.1.3</t>
  </si>
  <si>
    <t>Synchronizing the requirements wording in excel with the MASVS
changes:
2.9</t>
  </si>
  <si>
    <t xml:space="preserve">Updating the link 2.12 for IOS </t>
  </si>
  <si>
    <t>Ensure that tiles are in sync on Excel and MSTG</t>
  </si>
  <si>
    <t>1.1.2</t>
  </si>
  <si>
    <t>Updates:
- Adding the MSTG-IDs
- Covering the V1 MSTG links</t>
  </si>
  <si>
    <t>Jonas Wendorf</t>
  </si>
  <si>
    <t>Updates:
- Added missing translations for headings
- Fixed some outlines</t>
  </si>
  <si>
    <t>Android 反逆向工程能力</t>
  </si>
  <si>
    <t>常规测试信息</t>
  </si>
  <si>
    <t>MASVS 版本</t>
  </si>
  <si>
    <t>在线 MASVS 版本:</t>
  </si>
  <si>
    <t>在线 MSTG 版本:</t>
  </si>
  <si>
    <t>客户名字:</t>
  </si>
  <si>
    <t>测试地址:</t>
  </si>
  <si>
    <t>开始日期:</t>
  </si>
  <si>
    <t>结束日期:</t>
  </si>
  <si>
    <t>测试者名字:</t>
  </si>
  <si>
    <t>测试范围</t>
  </si>
  <si>
    <t>App &lt;应用名字&gt;中的所有可用功能</t>
  </si>
  <si>
    <t>验证等级</t>
  </si>
  <si>
    <t>与&lt;客户&gt;协商后，决定仅1级要求适用于&lt;应用程序名称&gt;。</t>
  </si>
  <si>
    <t>MSTG 版本:</t>
  </si>
  <si>
    <t>Android 测试信息</t>
  </si>
  <si>
    <t>应用名字:</t>
  </si>
  <si>
    <t>Google Play 商店链接</t>
  </si>
  <si>
    <t>文件名字</t>
  </si>
  <si>
    <t>版本</t>
  </si>
  <si>
    <t>SHA256 APK的哈希
（可以通过使用shasum，openssl或sha256sum获得）</t>
  </si>
  <si>
    <t>iOS 测试信息</t>
  </si>
  <si>
    <t>应用名称：</t>
  </si>
  <si>
    <t>App Store 链接</t>
  </si>
  <si>
    <t>文档名称</t>
  </si>
  <si>
    <t>IPA的SHA256哈希
（可以通过使用shasum，openssl或sha256sum获得）</t>
  </si>
  <si>
    <t>客户代表和联系信息</t>
  </si>
  <si>
    <t>组织:</t>
  </si>
  <si>
    <t>职位:</t>
  </si>
  <si>
    <t>电话:</t>
  </si>
  <si>
    <t>邮件:</t>
  </si>
  <si>
    <t>姓名:</t>
  </si>
  <si>
    <t>MASVS 合规评分 ( / 5)</t>
  </si>
  <si>
    <t>评论</t>
  </si>
  <si>
    <t>状态</t>
  </si>
  <si>
    <t>符号</t>
  </si>
  <si>
    <t>定义</t>
  </si>
  <si>
    <t>该要求适用于移动应用程序，并根据最佳实践实施。</t>
  </si>
  <si>
    <t>要求是适用于移动应用程序，但没有兑现。</t>
  </si>
  <si>
    <t>该要求不适用于移动应用。</t>
  </si>
  <si>
    <t>对逆向工程需求的弹性</t>
  </si>
  <si>
    <t>测试程序(s)</t>
  </si>
  <si>
    <t>妨碍动态分析和篡改</t>
  </si>
  <si>
    <t>该应用程序通过警告用户或终止应用程序来检测和响应有根设备或越狱设备的存在。</t>
  </si>
  <si>
    <t>应用程序可以防止调试和/或检测并响应附加的调试器。必须覆盖所有可用的调试协议。</t>
  </si>
  <si>
    <t>该应用程序在自己的沙箱中检测、响应、篡改可执行文件和关键数据。</t>
  </si>
  <si>
    <t>该应用程序检测并响应设备上广泛使用的逆向工程工具和框架。</t>
  </si>
  <si>
    <t>应用程序检测并响应正在模拟器中运行的程序。</t>
  </si>
  <si>
    <t>应用程序在自己的内存空间中检测、响应并篡改代码和数据。</t>
  </si>
  <si>
    <t>该应用程序在每个防御类中实现多个机制(8.1到8.6)。请注意，弹性的规模与数量，多样性的原始使用的机制。</t>
  </si>
  <si>
    <t>检测机制触发不同类型的响应，包括延迟响应和隐形响应。</t>
  </si>
  <si>
    <t>混淆化被应用于程序化的防御，这反过来又通过动态分析阻碍去混淆化。</t>
  </si>
  <si>
    <t>设备绑定</t>
  </si>
  <si>
    <t>该应用程序实现了一个“设备绑定”功能，使用一个设备指纹衍生自该设备的多个独特属性。</t>
  </si>
  <si>
    <t>阻碍理解</t>
  </si>
  <si>
    <t>应用程序的所有可执行文件和库都在文件级加密，可执行文件中的重要代码和数据段都加密或打包。简单的静态分析并不能揭示重要的代码或数据。</t>
  </si>
  <si>
    <t>如果模糊化的目标是保护敏感的计算结果，那么考虑到目前发表的研究成果，模糊化方案既适用于特定的任务，又对手动和自动去模糊化方法具有较强的鲁棒性。模糊化方案的有效性必须通过人工测试来验证。请注意，尽可能使用基于硬件的隔离特性而不是混淆。</t>
  </si>
  <si>
    <t>要求适用于移动应用程序，并根据最佳实践实施。</t>
  </si>
  <si>
    <t>要求是适用于移动应用程序，但不满足。</t>
  </si>
  <si>
    <t>要求不适用于移动应用。</t>
  </si>
  <si>
    <t>对抗逆向工程的弹性 - iOS</t>
  </si>
  <si>
    <t>iOS - 移动应用安全需求</t>
  </si>
  <si>
    <t>Android - 移动应用安全要求</t>
  </si>
  <si>
    <t>管理概述(Management Summary)</t>
  </si>
  <si>
    <t>V1: 架构，设计和威胁建模 (Architecture, Design an Threat Modelling)</t>
  </si>
  <si>
    <t>V2: 数据存储和隐私 (Data Storage and Privacy)</t>
  </si>
  <si>
    <t>V3: 密码学验证 (Cryptography Verification)</t>
  </si>
  <si>
    <t>V4: 身份验证和会话管理 (Authentication &amp; Session Management)</t>
  </si>
  <si>
    <t>V5: 网络通讯 (Network Communication)</t>
  </si>
  <si>
    <t>V6: 平台互动 (Platform Interaction)</t>
  </si>
  <si>
    <t>V7: 代码质量和构建设置 (Code Quality &amp; Build Settings)</t>
  </si>
  <si>
    <t>V8: 逆向工程的弹性 (Resiliency Against Reverse Engineering)</t>
  </si>
  <si>
    <t>等级 1 (Level 1)</t>
  </si>
  <si>
    <t>等级 2 (Level 2)</t>
  </si>
  <si>
    <t>状态 (Status)</t>
  </si>
  <si>
    <t>1.11</t>
  </si>
  <si>
    <t>1.12</t>
  </si>
  <si>
    <t>MSTG-ARCH-11</t>
  </si>
  <si>
    <t>MSTG-ARCH-12</t>
  </si>
  <si>
    <t>Chef Inspec</t>
  </si>
  <si>
    <t>测试流程(s) (Testing Procedure(s))</t>
  </si>
  <si>
    <t>测试工具 (Testing Tools)</t>
  </si>
  <si>
    <t>评论 (Comments)</t>
  </si>
  <si>
    <t>PASS</t>
  </si>
  <si>
    <t>FAIL</t>
  </si>
  <si>
    <t>2.13</t>
  </si>
  <si>
    <t>2.14</t>
  </si>
  <si>
    <t>MSTG-STORAGE‑13</t>
  </si>
  <si>
    <t>MSTG-STORAGE‑14</t>
  </si>
  <si>
    <t>2.15</t>
  </si>
  <si>
    <t>MSTG-STORAGE‑15</t>
  </si>
  <si>
    <t>所有应用程序组件被识别，并确定其需要性. 
(All app components are identified and known to be needed.)</t>
  </si>
  <si>
    <t>安全控制永远不会仅强制在客户端上，而其相应的远程端点上也需要. 
(Security controls are never enforced only on the client side, but on the respective remote endpoints.)</t>
  </si>
  <si>
    <t>移动应用的高级架构图 和 所有连接的远程服务已被定义, 并且安全在此架构中被关注. 
(A high-level architecture for the mobile app and all connected remote services has been defined and security has been addressed in that architecture.)</t>
  </si>
  <si>
    <t>在移动应用环境下被认为敏感的数据清楚的被识别出来. 
(Data considered sensitive in the context of the mobile app is clearly identified.)</t>
  </si>
  <si>
    <t>所有提供的基于业务功能和/或安全功能的应用组件被定义和识别. 
(All app components are defined in terms of the business functions and/or security functions they provide.)</t>
  </si>
  <si>
    <t>移动应用和其相关联远程服务都通过生成威胁建模的方式, 识别其潜在威胁和应对措施. 
(A threat model for the mobile app and the associated remote services has been produced that identifies potential threats and countermeasures.)</t>
  </si>
  <si>
    <t>所有安全控制都可以集中执行. 
(All security controls have a centralized implementation.)</t>
  </si>
  <si>
    <t>关于"加密秘钥如何被管理(如果存在)" 和 "加密秘钥生命周期是否被强制" 应有明确策略. 理想情况下, 应遵循 NIST SP 800-57 密钥管理标准. 
(There is an explicit policy for how cryptographic keys (if any) are managed, and the lifecycle of cryptographic keys is enforced. Ideally, follow a key management standard such as NIST SP 800-57.)</t>
  </si>
  <si>
    <t>已存在一种强制更新移动应用的机制. 
(A mechanism for enforcing updates of the mobile app exists.)</t>
  </si>
  <si>
    <t>在整个 SDLC (软件开发生命周期) 中, 安全被关注. 
(Security is addressed within all parts of the software development lifecycle.)</t>
  </si>
  <si>
    <t>一份负责信息披露政策应存在并有效的应用. 
(A responsible disclosure policy is in place and effectively applied.)</t>
  </si>
  <si>
    <t>该应用应遵循隐私法和条例. 
(The app should comply with privacy laws and regulations.)</t>
  </si>
  <si>
    <t>系统凭据存储设施正确的保存敏感信息. 比如, PII, 用户凭证或者加密秘钥. 
(System credential storage facilities are used appropriately to store sensitive data, such as PII, user credentials or cryptographic keys.)</t>
  </si>
  <si>
    <t>敏感数据不应该在容器应用或者系统凭据存储设备之外被保存.  
(No sensitive data should be stored outside of the app container or system credential storage facilities.)</t>
  </si>
  <si>
    <t>没有敏感数据被写入到应用程序日志. 
(No sensitive data is written to application logs.)</t>
  </si>
  <si>
    <t>没有敏感数据通过第三方被共享, 除非是部分架构的需要. 
(No sensitive data is shared with third parties unless it is a necessary part of the architecture.)</t>
  </si>
  <si>
    <t>键盘缓存在处理敏感数据的文本输入时应该被禁用.  
(The keyboard cache is disabled on text inputs that process sensitive data.)</t>
  </si>
  <si>
    <t>没有敏感数据通过 IPC 机制被暴露. 
(No sensitive data is exposed via IPC mechanisms.)</t>
  </si>
  <si>
    <t>没有敏感数据, 例如密码, 通过用户界面被暴露. 
(No sensitive data, such as passwords or pins, is exposed through the user interface.)</t>
  </si>
  <si>
    <t>没有敏感数据内藏于由移动操作系统生成的备份上. 
(No sensitive data is included in backups generated by the mobile operating system.)</t>
  </si>
  <si>
    <t>当切换到后台时, 该应用应该移除可视模式下的敏感数据. 
(The app removes sensitive data from views when moved to the background.)</t>
  </si>
  <si>
    <t>该应用不会超过必要的时间保留敏感数据在内存中, 并且使用过后内存被直接清除. 
(The app does not hold sensitive data in memory longer than necessary, and memory is cleared explicitly after use.)</t>
  </si>
  <si>
    <t>该应用强制执行最小设备访问安全策略，例如要求用户设置设备密码锁. 
(The app enforces a minimum device-access-security policy, such as requiring the user to set a device passcode.)</t>
  </si>
  <si>
    <t>该应用指导用户关于"被处理的个人身份信息的类型, 以及用户使用该应用时,因遵循的安全最佳实践.  "
(The app educates the user about the types of personally identifiable information processed, as well as security best practices the user should follow in using the app.)</t>
  </si>
  <si>
    <t>没有敏感信息在移动设备上被保存. 相反, 数据应该从远程端点获取, 在需要的时候存储在内存中. 
(No sensitive data should be stored locally on the mobile device. Instead, data should be retrieved from a remote endpoint when needed and only be kept in memory.)</t>
  </si>
  <si>
    <t>如果敏感信息需要存在本地, 那么应该被加密, 且加密秘钥是来自需要身份验证的硬件存储. 
(If sensitive data is still required to be stored locally, it should be encrypted using a key derived from hardware backed storage which requires authentication.)</t>
  </si>
  <si>
    <t>当过多数量的失败认证尝试, 应用的本地存储应被清除. 
(The app’s local storage should be wiped after an excessive number of failed authentication attempts.)</t>
  </si>
  <si>
    <t>该应用程序不依赖带有硬编码密钥的对称加密方式作为唯一的加密方法.
(The app does not rely on symmetric cryptography with hardcoded keys as a sole method of encryption.)</t>
  </si>
  <si>
    <t>该应用程序使用经过实现验证的密码基元.
(The app uses proven implementations of cryptographic primitives.)</t>
  </si>
  <si>
    <t>该应用在特定的案例下使用了合适的加密基元, 参数配置符合行业最佳实践.
(The app uses cryptographic primitives that are appropriate for the particular use-case, configured with parameters that adhere to industry best practices.)</t>
  </si>
  <si>
    <t>该应用不使用基于安全被广泛认为已经淘汰的加密协议或者算法. 
(The app does not use cryptographic protocols or algorithms that are widely considered deprecated for security purposes.)</t>
  </si>
  <si>
    <t>该应用不重复使用相同秘钥用于多种途径. 
(The app doesn't re-use the same cryptographic key for multiple purposes.)</t>
  </si>
  <si>
    <t>所有任意数值都使用一个足够安全的随机数字器被生成.
(All random values are generated using a sufficiently secure random number generator.)</t>
  </si>
  <si>
    <t>认证 和 会话管理 
(Authentication and Session Management Requirements)</t>
  </si>
  <si>
    <t>数据存储和隐私 
(Data Storage and Privacy)</t>
  </si>
  <si>
    <t>体系结构，设计和威胁建模 
(Architecture, design and threat modelling)</t>
  </si>
  <si>
    <t>详细验证要求 
(Detailed Verification Requirement)</t>
  </si>
  <si>
    <t>密码系统要求 
(Cryptography Requirements)</t>
  </si>
  <si>
    <r>
      <t xml:space="preserve">OWASP 移动应用安全检查列表
</t>
    </r>
    <r>
      <rPr>
        <sz val="10"/>
        <rFont val="微软雅黑"/>
        <family val="2"/>
        <charset val="134"/>
      </rPr>
      <t xml:space="preserve">
基于OWASP 移动应用安全验证标准</t>
    </r>
  </si>
  <si>
    <t>如果该应用提供给用户访问远程服务, 即某些形式的认证, 例如用户名/密码认证, 都应在远程终端施行. 
(If the app provides users access to a remote service, some form of authentication, such as username/password authentication, is performed at the remote endpoint.)</t>
  </si>
  <si>
    <t>如果状态会话管理被使用，则远程端点使用随机生成的会话标识符来认证客户端请求，而不会发送用户的凭证.
(If stateful session management is used, the remote endpoint uses randomly generated session identifiers to authenticate client requests without sending the user's credentials.)</t>
  </si>
  <si>
    <t>测试登录活动和设备阻止 (MSTG-AUTH-11)</t>
  </si>
  <si>
    <t>MSTG-AUTH-12</t>
  </si>
  <si>
    <t>如果无状态的基于令牌认证机制被使用, 该服务器所提供的令牌应用安全算法签名.
(If stateless token-based authentication is used, the server provides a token that has been signed using a secure algorithm.)</t>
  </si>
  <si>
    <t>当用户注销时，远程端点应终止已经存在的会话.
(The remote endpoint terminates the existing session when the user logs out.)</t>
  </si>
  <si>
    <t>一套密码策略存在并且被强制执行在远程端点上. 
(A password policy exists and is enforced at the remote endpoint.)</t>
  </si>
  <si>
    <t>上面的两行用于构造 Android 和 iOS 清单中所有超链接的基础。
调整为您的特定用例，以将所有超链接更新为特定版本的 MSTG</t>
  </si>
  <si>
    <t>该远程终端执行一种机制来对抗提交凭据的次数过多.
(The remote endpoint implements a mechanism to protect against the submission of credentials an excessive number of times.)</t>
  </si>
  <si>
    <t>在预设不活动时间和访问令牌到期之后, 在远程端点的会话将无效.
(Sessions are invalidated at the remote endpoint after a predefined period of inactivity and access tokens expire.)</t>
  </si>
  <si>
    <t>生物特征认证（如果有的话）不是事件绑定的（即，使用仅返回“ true”或“ false”的API）. 相反，它基于解锁钥匙串/密钥库. 
(Biometric authentication, if any, is not event-bound (i.e. using an API that simply returns "true" or "false"). Instead, it is based on unlocking the keychain/keystore.)</t>
  </si>
  <si>
    <t>第二个因素认证存在于远程端点, 并且始终如一的按需执行.
(A second factor of authentication exists at the remote endpoint and the 2FA requirement is consistently enforced.)</t>
  </si>
  <si>
    <t>敏感交易需要逐步进行身份验证.
(Sensitive transactions require step-up authentication.)</t>
  </si>
  <si>
    <t>该应用通知该用户他/她的账户所有的敏感行为. 用可以查看设备列表, 查看场景信息 (IP 地址, 位置, 等等.) 以及屏蔽特定设备.
(The app informs the user of all sensitive activities with their account. Users are able to view a list of devices, view contextual information (IP address, location, etc.), and to block specific devices.)</t>
  </si>
  <si>
    <t>授权模型在远程端点应该被定义, 和被强制执行. 
(Authorization models should be defined and enforced at the remote endpoint.)</t>
  </si>
  <si>
    <t>4.12</t>
  </si>
  <si>
    <t>网络通讯要求 
(Network Communication Requirements)</t>
  </si>
  <si>
    <t>在网络传输中使用TLS对数据加密. 整个应用程序始终使用安全通道. 
(Data is encrypted on the network using TLS. The secure channel is used consistently throughout the app.)</t>
  </si>
  <si>
    <t>此 TLS 设置符合当前的最佳实践，或者当移动操作系统不支持建议的标准，则设置最接近.
(The TLS settings are in line with current best practices, or as close as possible if the mobile operating system does not support the recommended standards.)</t>
  </si>
  <si>
    <t>当安全通道被建立后，该应用程序将验证远程端点的X.509证书。 并且仅接受由受信任的CA签名的证书. 
(The app verifies the X.509 certificate of the remote endpoint when the secure channel is established. Only certificates signed by a trusted CA are accepted.)</t>
  </si>
  <si>
    <t>该应用程序要么使用自己的证书存储区，要么固定端点证书或公钥，即便随后提供一个不同的,受信任的CA签署的证书或者秘钥，也不会与端点建立连接.
(The app either uses its own certificate store, or pins the endpoint certificate or public key, and subsequently does not establish connections with endpoints that offer a different certificate or key, even if signed by a trusted CA.)</t>
  </si>
  <si>
    <t>该应用程序不依赖单一的不安全通信渠道（电子邮件或SMS）进行关键操作(例如, 注册和帐户恢复). 
(The app doesn't rely on a single insecure communication channel (email or SMS) for critical operations, such as enrollments and account recovery)</t>
  </si>
  <si>
    <t>该应用程序仅依赖于最新的连接 和 安全库.
(The app only depends on up-to-date connectivity and security libraries.)</t>
  </si>
  <si>
    <t>认证 和 会话管理  要求
(Authentication and Session Management Requirements)</t>
  </si>
  <si>
    <t>密码系统 要求 
(Cryptography Requirements)</t>
  </si>
  <si>
    <t>平台互动 要求
(Platform Interaction Requirements)</t>
  </si>
  <si>
    <t>6.9</t>
  </si>
  <si>
    <t>6.10</t>
  </si>
  <si>
    <t>6.11</t>
  </si>
  <si>
    <t>MSTG-PLATFORM-9</t>
  </si>
  <si>
    <t>MSTG-PLATFORM-10</t>
  </si>
  <si>
    <t>MSTG-PLATFORM-11</t>
  </si>
  <si>
    <t>该应用只需要应所需的最小权限集.
(The app only requests the minimum set of permissions necessary.)</t>
  </si>
  <si>
    <t>该应用不会通过自定义URL模式暴露敏感功能, 除非这些机制被正确的保护起来.
(The app does not export sensitive functionality via custom URL schemes, unless these mechanisms are properly protected.)</t>
  </si>
  <si>
    <t>所有来自外部资源的输入, 以及用户验证过地,  都需要进行无害处理. 这包括从 UI 接收的数据, IPC 机制 (例如, Intent, 自定义链接, 网络源 等等).
(All inputs from external sources and the user are validated and if necessary sanitized. This includes data received via the UI, IPC mechanisms such as intents, custom URLs, and network sources.)</t>
  </si>
  <si>
    <t>在 WebView 功能中 JavaScript 被禁用, 除非有明确的需求.
(JavaScript is disabled in WebViews unless explicitly required.)</t>
  </si>
  <si>
    <t>该应用不会通过 IPC 设施暴露敏感功能, 除非这些机制被正确的保护起来.
(The app does not export sensitive functionality through IPC facilities, unless these mechanisms are properly protected.)</t>
  </si>
  <si>
    <t>WebView 被配置为只允许最小协议组处理程序需求 (理想情况下，只支持https). 有潜在危险的处理程序，如文件、tel 和 app-id 应被禁用.
(WebViews are configured to allow only the minimum set of protocol handlers required (ideally, only https is supported). Potentially dangerous handlers, such as file, tel and app-id, are disabled.)</t>
  </si>
  <si>
    <t>如果应用的原生方法暴露给一个 WebView，验证 WebView 只渲染包含在应用程序包中的 JavaScript.
(If native methods of the app are exposed to a WebView, verify that the WebView only renders JavaScript contained within the app package.)</t>
  </si>
  <si>
    <t>对象反序列化(如果有) , 是通过使用安全的序列化 API 实现的.
(Object deserialization, if any, is implemented using safe serialization APIs.)</t>
  </si>
  <si>
    <t>该应用保护自身抵抗屏幕叠加攻击. (只限安卓设备)
(The app protects itself against screen overlay attacks. (Android only))</t>
  </si>
  <si>
    <t>一组 WebView 的缓存, 存储 和 加载的资源 (JavaScript, 等等) 应该在该 WebView 被销毁之前清除.
(A WebView's cache, storage, and loaded resources (JavaScript, etc.) should be cleared before the WebView is destroyed.)</t>
  </si>
  <si>
    <t>当敏感数据被输入时, 验证该应用禁止自定义第三方键盘程序的使用.
(Verify that the app prevents usage of custom third-party keyboards whenever sensitive data is entered.)</t>
  </si>
  <si>
    <t>代码质量和构建设置 要求 
(Code Quality and Build Setting Requirements)</t>
  </si>
  <si>
    <t>该应用被签名并且使用一张有效的证书，其中该证书的私钥受到正确的保护.
(The app is signed and provisioned with a valid certificate, of which the private key is properly protected.)</t>
  </si>
  <si>
    <t>该应用程序已经在发布模式下，具有适合发布构建的正确设置 (例如. 不可调试)
(The app has been built in release mode, with settings appropriate for a release build (e.g. non-debuggable).)</t>
  </si>
  <si>
    <t>调试符号已从原生二进制文件中移除.
(Debugging symbols have been removed from native binaries.)</t>
  </si>
  <si>
    <t>调试代码已 和 开发协助代码 (例如. 测试代码, 后门, 隐藏设置) 都被移除. 该应用不会记录详细的错误或调试信息.
(Debugging code and developer assistance code (e.g. test code, backdoors, hidden settings) have been removed. The app does not log verbose errors or debugging messages.)</t>
  </si>
  <si>
    <t>被该移动应用使用的所有第三方组件，例如. 软件库和框架，都应被识别，并检查已知的漏洞的存在.
(All third party components used by the mobile app, such as libraries and frameworks, are identified, and checked for known vulnerabilities.)</t>
  </si>
  <si>
    <t>该应用程序捕获与处理任何可能的异常.
(The app catches and handles possible exceptions.)</t>
  </si>
  <si>
    <t>错误处理的逻辑在安全控制中默认被拒绝. 
(Error handling logic in security controls denies access by default.)</t>
  </si>
  <si>
    <t>在非托管代码中，内存是安全的分配、释放和使用.
(In unmanaged code, memory is allocated, freed and used securely.)</t>
  </si>
  <si>
    <t>工具链所提供的免费安全特性，如字节码缩小、堆栈保护、饼图支持和自动引用计数，应被开启.
(Free security features offered by the toolchain, such as byte-code minification, stack protection, PIE support and automatic reference counting, are activated.)</t>
  </si>
  <si>
    <t>对逆向工程需求的弹性 
(Resiliency Against Reverse Engineering Requirements)</t>
  </si>
  <si>
    <t>该应用程序在自己的沙箱中检测、响应、篡改可执行文件和关键数据。
(The app detects, and responds to, tampering with executable files and critical data within its own sandbox.)</t>
  </si>
  <si>
    <t>该应用程序检测并响应设备上广泛使用的逆向工程工具和框架。
(The app detects, and responds to, the presence of widely used reverse engineering tools and frameworks on the device.)</t>
  </si>
  <si>
    <t>应用程序检测并响应正在模拟器中运行的程序。
(The app detects, and responds to, being run in an emulator.)</t>
  </si>
  <si>
    <t>应用程序在自己的内存空间中检测、响应并篡改代码和数据。
(The app detects, and responds to, tampering the code and data in its own memory space.)</t>
  </si>
  <si>
    <t>该应用程序在每个防御类中实现多个机制(8.1到8.6)。请注意，弹性的规模与数量，多样性的原始使用的机制。
(The app implements multiple mechanisms in each defense category (8.1 to 8.6). Note that resiliency scales with the amount, diversity of the originality of the mechanisms used.)</t>
  </si>
  <si>
    <t>检测机制触发不同类型的响应，包括延迟响应和隐形响应。
(The detection mechanisms trigger responses of different types, including delayed and stealthy responses.)</t>
  </si>
  <si>
    <t>混淆化被应用于程序化的防御，这反过来又通过动态分析阻碍去混淆化。
(Obfuscation is applied to programmatic defenses, which in turn impede de-obfuscation via dynamic analysis.)</t>
  </si>
  <si>
    <t>该应用程序实现了一个“设备绑定”功能，使用一个设备指纹衍生自该设备的多个独特属性。
(The app implements a 'device binding' functionality using a device fingerprint derived from multiple properties unique to the device.)</t>
  </si>
  <si>
    <t>应用程序的所有可执行文件和库都在文件级加密，可执行文件中的重要代码和数据段都加密或打包。简单的静态分析并不能揭示重要的代码或数据。
(All executable files and libraries belonging to the app are either encrypted on the file level and/or important code and data segments inside the executables are encrypted or packed. Trivial static analysis does not reveal important code or data.)</t>
  </si>
  <si>
    <t>如果模糊化的目标是保护敏感的计算结果，那么考虑到目前发表的研究成果，模糊化方案既适用于特定的任务，又对手动和自动去模糊化方法具有较强的鲁棒性。模糊化方案的有效性必须通过人工测试来验证。请注意，尽可能使用基于硬件的隔离特性而不是混淆。
(If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</si>
  <si>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8.13</t>
  </si>
  <si>
    <t>MSTG‑RESILIENCE‑13</t>
  </si>
  <si>
    <t>(As a defense in depth, next to having solid hardening of the communicating parties, application level payload encryption can be applied to further impede eavesdropping.)</t>
  </si>
  <si>
    <t>阻碍 窃听
(Impede Eavesdropping)</t>
  </si>
  <si>
    <t>阻碍理解
(Impede Comprehension)</t>
  </si>
  <si>
    <t>设备绑定
(Device Binding)</t>
  </si>
  <si>
    <t>妨碍动态分析和篡改
(Impede Dynamic Analysis and Tampering)</t>
  </si>
  <si>
    <t>在一台越狱设备上, 该应用能检测, 并响应, 通过警告该用户 或者 终止应用程序. 
(The app detects, and responds to, the presence of a rooted or jailbroken device either by alerting the user or terminating the app.)</t>
  </si>
  <si>
    <t>该应用防止调试和/或检测并响应附加的调试器。所有有效调节协议必须被覆盖.
(The app prevents debugging and/or detects, and responds to, a debugger being attached. All available debugging protocols must be covered.)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</si>
</sst>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lt;=9999999]###\-####;\(###&quot;) &quot;###\-####"/>
    <numFmt numFmtId="165" formatCode="0\ %"/>
    <numFmt numFmtId="166" formatCode="0.00\ %"/>
    <numFmt numFmtId="167" formatCode="[$-407]dd/mm/yyyy"/>
  </numFmts>
  <fonts count="27" x14ac:knownFonts="1">
    <font>
      <sz val="12"/>
      <color rgb="FF000000"/>
      <name val="Calibri"/>
      <family val="2"/>
      <charset val="1"/>
    </font>
    <font>
      <u/>
      <sz val="12"/>
      <color rgb="FF5F5F5F"/>
      <name val="Calibri"/>
      <family val="2"/>
      <charset val="1"/>
    </font>
    <font>
      <b/>
      <sz val="14"/>
      <color rgb="FF000000"/>
      <name val="Calibri"/>
      <family val="2"/>
      <charset val="1"/>
    </font>
    <font>
      <b/>
      <sz val="11"/>
      <color rgb="FFFFFFFF"/>
      <name val="Calibri"/>
      <family val="2"/>
      <charset val="1"/>
    </font>
    <font>
      <b/>
      <sz val="11"/>
      <color rgb="FF000000"/>
      <name val="Calibri"/>
      <family val="2"/>
      <charset val="1"/>
    </font>
    <font>
      <sz val="11"/>
      <name val="Calibri"/>
      <family val="2"/>
      <charset val="1"/>
    </font>
    <font>
      <b/>
      <sz val="11"/>
      <name val="Calibri"/>
      <family val="2"/>
      <charset val="1"/>
    </font>
    <font>
      <sz val="11"/>
      <color rgb="FF000000"/>
      <name val="Calibri"/>
      <family val="2"/>
      <charset val="1"/>
    </font>
    <font>
      <u/>
      <sz val="11"/>
      <color rgb="FF5F5F5F"/>
      <name val="Calibri"/>
      <family val="2"/>
      <charset val="1"/>
    </font>
    <font>
      <b/>
      <sz val="12"/>
      <color rgb="FF5F5F5F"/>
      <name val="Calibri"/>
      <family val="2"/>
      <charset val="1"/>
    </font>
    <font>
      <b/>
      <sz val="12"/>
      <color rgb="FF000000"/>
      <name val="Calibri"/>
      <family val="2"/>
      <charset val="1"/>
    </font>
    <font>
      <sz val="12"/>
      <name val="Calibri"/>
      <family val="2"/>
      <charset val="1"/>
    </font>
    <font>
      <sz val="12"/>
      <color rgb="FF000000"/>
      <name val="Calibri"/>
      <family val="2"/>
      <charset val="1"/>
    </font>
    <font>
      <sz val="11"/>
      <color rgb="FF000000"/>
      <name val="微软雅黑"/>
      <family val="2"/>
      <charset val="134"/>
    </font>
    <font>
      <sz val="12"/>
      <color rgb="FF000000"/>
      <name val="微软雅黑"/>
      <family val="2"/>
      <charset val="134"/>
    </font>
    <font>
      <sz val="10"/>
      <color rgb="FF000000"/>
      <name val="微软雅黑"/>
      <family val="2"/>
      <charset val="134"/>
    </font>
    <font>
      <b/>
      <sz val="10"/>
      <color rgb="FF000000"/>
      <name val="微软雅黑"/>
      <family val="2"/>
      <charset val="134"/>
    </font>
    <font>
      <b/>
      <sz val="10"/>
      <color rgb="FFFFFFFF"/>
      <name val="微软雅黑"/>
      <family val="2"/>
      <charset val="134"/>
    </font>
    <font>
      <sz val="10"/>
      <name val="微软雅黑"/>
      <family val="2"/>
      <charset val="134"/>
    </font>
    <font>
      <u/>
      <sz val="10"/>
      <color rgb="FF5F5F5F"/>
      <name val="微软雅黑"/>
      <family val="2"/>
      <charset val="134"/>
    </font>
    <font>
      <sz val="10"/>
      <color rgb="FF5F5F5F"/>
      <name val="微软雅黑"/>
      <family val="2"/>
      <charset val="134"/>
    </font>
    <font>
      <b/>
      <sz val="10"/>
      <name val="微软雅黑"/>
      <family val="2"/>
      <charset val="134"/>
    </font>
    <font>
      <b/>
      <i/>
      <u/>
      <sz val="10"/>
      <name val="微软雅黑"/>
      <family val="2"/>
      <charset val="134"/>
    </font>
    <font>
      <sz val="10"/>
      <color rgb="FFFF0000"/>
      <name val="微软雅黑"/>
      <family val="2"/>
      <charset val="134"/>
    </font>
    <font>
      <sz val="10"/>
      <color rgb="FFFFFFFF"/>
      <name val="微软雅黑"/>
      <family val="2"/>
      <charset val="134"/>
    </font>
    <font>
      <sz val="72"/>
      <color rgb="FF000000"/>
      <name val="微软雅黑"/>
      <family val="2"/>
      <charset val="134"/>
    </font>
    <font>
      <b/>
      <sz val="10"/>
      <color rgb="FF5F5F5F"/>
      <name val="微软雅黑"/>
      <family val="2"/>
      <charset val="134"/>
    </font>
  </fonts>
  <fills count="15">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
      <patternFill patternType="solid">
        <fgColor rgb="FFFFFF00"/>
        <bgColor indexed="64"/>
      </patternFill>
    </fill>
    <fill>
      <patternFill patternType="solid">
        <fgColor theme="0"/>
        <bgColor rgb="FF33CCCC"/>
      </patternFill>
    </fill>
  </fills>
  <borders count="30">
    <border>
      <left/>
      <right/>
      <top/>
      <bottom/>
      <diagonal/>
    </border>
    <border>
      <left style="thin">
        <color rgb="FF333333"/>
      </left>
      <right style="thin">
        <color auto="1"/>
      </right>
      <top style="thin">
        <color rgb="FF333333"/>
      </top>
      <bottom style="thin">
        <color rgb="FF333333"/>
      </bottom>
      <diagonal/>
    </border>
    <border>
      <left/>
      <right style="thin">
        <color auto="1"/>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auto="1"/>
      </right>
      <top style="thin">
        <color rgb="FF333333"/>
      </top>
      <bottom/>
      <diagonal/>
    </border>
    <border>
      <left style="thin">
        <color auto="1"/>
      </left>
      <right style="thin">
        <color auto="1"/>
      </right>
      <top style="thin">
        <color auto="1"/>
      </top>
      <bottom style="thin">
        <color auto="1"/>
      </bottom>
      <diagonal/>
    </border>
    <border>
      <left/>
      <right style="thin">
        <color auto="1"/>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style="thin">
        <color rgb="FF333333"/>
      </right>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hair">
        <color auto="1"/>
      </left>
      <right/>
      <top/>
      <bottom/>
      <diagonal/>
    </border>
    <border>
      <left style="hair">
        <color auto="1"/>
      </left>
      <right style="hair">
        <color auto="1"/>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style="thin">
        <color theme="2"/>
      </left>
      <right style="thin">
        <color auto="1"/>
      </right>
      <top/>
      <bottom/>
      <diagonal/>
    </border>
    <border>
      <left style="thin">
        <color theme="2" tint="-9.9948118533890809E-2"/>
      </left>
      <right style="thin">
        <color theme="2"/>
      </right>
      <top/>
      <bottom/>
      <diagonal/>
    </border>
    <border>
      <left style="thin">
        <color theme="2" tint="-9.9948118533890809E-2"/>
      </left>
      <right/>
      <top style="thin">
        <color theme="2" tint="-9.9917600024414813E-2"/>
      </top>
      <bottom/>
      <diagonal/>
    </border>
    <border>
      <left style="thin">
        <color theme="2" tint="-9.9948118533890809E-2"/>
      </left>
      <right/>
      <top style="thin">
        <color theme="2" tint="-9.9917600024414813E-2"/>
      </top>
      <bottom style="thin">
        <color theme="2" tint="-9.9948118533890809E-2"/>
      </bottom>
      <diagonal/>
    </border>
  </borders>
  <cellStyleXfs count="3">
    <xf numFmtId="0" fontId="0" fillId="0" borderId="0"/>
    <xf numFmtId="0" fontId="1" fillId="0" borderId="0" applyBorder="0" applyProtection="0"/>
    <xf numFmtId="0" fontId="12" fillId="0" borderId="0"/>
  </cellStyleXfs>
  <cellXfs count="225">
    <xf numFmtId="0" fontId="0" fillId="0" borderId="0" xfId="0"/>
    <xf numFmtId="0" fontId="0" fillId="0" borderId="0" xfId="0" applyBorder="1"/>
    <xf numFmtId="49" fontId="0" fillId="0" borderId="0" xfId="0" applyNumberFormat="1" applyBorder="1"/>
    <xf numFmtId="0" fontId="0" fillId="0" borderId="0" xfId="0" applyBorder="1" applyAlignment="1">
      <alignment horizontal="left" vertical="top" wrapText="1"/>
    </xf>
    <xf numFmtId="0" fontId="0" fillId="0" borderId="0" xfId="0" applyFont="1"/>
    <xf numFmtId="49" fontId="3" fillId="7" borderId="15" xfId="0" applyNumberFormat="1" applyFont="1" applyFill="1" applyBorder="1" applyAlignment="1">
      <alignment horizontal="center" vertical="center" wrapText="1"/>
    </xf>
    <xf numFmtId="49" fontId="3" fillId="7" borderId="16" xfId="0" applyNumberFormat="1" applyFont="1" applyFill="1" applyBorder="1" applyAlignment="1">
      <alignment horizontal="center" vertical="center" wrapText="1"/>
    </xf>
    <xf numFmtId="0" fontId="3" fillId="7" borderId="16" xfId="0" applyFont="1" applyFill="1" applyBorder="1" applyAlignment="1">
      <alignment horizontal="left" vertical="top" wrapText="1"/>
    </xf>
    <xf numFmtId="0" fontId="3" fillId="7" borderId="16" xfId="0" applyFont="1" applyFill="1" applyBorder="1" applyAlignment="1">
      <alignment horizontal="center" vertical="center" wrapText="1"/>
    </xf>
    <xf numFmtId="0" fontId="3" fillId="7" borderId="17" xfId="0" applyFont="1" applyFill="1" applyBorder="1" applyAlignment="1">
      <alignment horizontal="left" vertical="top" wrapText="1"/>
    </xf>
    <xf numFmtId="49" fontId="3" fillId="9" borderId="18" xfId="0" applyNumberFormat="1" applyFont="1" applyFill="1" applyBorder="1" applyAlignment="1">
      <alignment horizontal="center" vertical="center" wrapText="1"/>
    </xf>
    <xf numFmtId="49" fontId="3" fillId="9" borderId="0" xfId="0" applyNumberFormat="1" applyFont="1" applyFill="1" applyBorder="1" applyAlignment="1">
      <alignment horizontal="center" vertical="center" wrapText="1"/>
    </xf>
    <xf numFmtId="0" fontId="5" fillId="0" borderId="0" xfId="0" applyFont="1" applyBorder="1" applyAlignment="1">
      <alignment horizontal="center" vertical="center" wrapText="1"/>
    </xf>
    <xf numFmtId="49" fontId="6" fillId="8" borderId="18" xfId="0" applyNumberFormat="1" applyFont="1" applyFill="1" applyBorder="1" applyAlignment="1">
      <alignment horizontal="center" vertical="center" wrapText="1"/>
    </xf>
    <xf numFmtId="49" fontId="6" fillId="8" borderId="0" xfId="0" applyNumberFormat="1" applyFont="1" applyFill="1" applyBorder="1" applyAlignment="1">
      <alignment horizontal="center" vertical="center" wrapText="1"/>
    </xf>
    <xf numFmtId="0" fontId="6" fillId="8" borderId="0" xfId="0" applyFont="1" applyFill="1" applyBorder="1" applyAlignment="1">
      <alignment horizontal="left" vertical="top" wrapText="1"/>
    </xf>
    <xf numFmtId="0" fontId="6" fillId="8" borderId="0" xfId="0" applyFont="1" applyFill="1" applyBorder="1" applyAlignment="1">
      <alignment vertical="center" wrapText="1"/>
    </xf>
    <xf numFmtId="0" fontId="6" fillId="8" borderId="20" xfId="0" applyFont="1" applyFill="1" applyBorder="1" applyAlignment="1">
      <alignment horizontal="left" vertical="top" wrapText="1"/>
    </xf>
    <xf numFmtId="0" fontId="7" fillId="0" borderId="0" xfId="0" applyFont="1" applyAlignment="1">
      <alignment horizontal="left" vertical="top" wrapText="1"/>
    </xf>
    <xf numFmtId="0" fontId="5" fillId="0" borderId="0" xfId="0" applyFont="1" applyBorder="1" applyAlignment="1">
      <alignment horizontal="left" vertical="top" wrapText="1"/>
    </xf>
    <xf numFmtId="49" fontId="3" fillId="7" borderId="22" xfId="0" applyNumberFormat="1" applyFont="1" applyFill="1" applyBorder="1" applyAlignment="1">
      <alignment horizontal="center" vertical="center" wrapText="1"/>
    </xf>
    <xf numFmtId="49" fontId="3" fillId="7" borderId="23" xfId="0" applyNumberFormat="1" applyFont="1" applyFill="1" applyBorder="1" applyAlignment="1">
      <alignment horizontal="center" vertical="center" wrapText="1"/>
    </xf>
    <xf numFmtId="0" fontId="3" fillId="7" borderId="23" xfId="0" applyFont="1" applyFill="1" applyBorder="1" applyAlignment="1">
      <alignment horizontal="left" vertical="top" wrapText="1"/>
    </xf>
    <xf numFmtId="0" fontId="3" fillId="7" borderId="23" xfId="0" applyFont="1" applyFill="1" applyBorder="1" applyAlignment="1">
      <alignment horizontal="center" vertical="center" wrapText="1"/>
    </xf>
    <xf numFmtId="0" fontId="3" fillId="7" borderId="24" xfId="0" applyFont="1" applyFill="1" applyBorder="1" applyAlignment="1">
      <alignment horizontal="center" vertical="center" wrapText="1"/>
    </xf>
    <xf numFmtId="0" fontId="3" fillId="7" borderId="24" xfId="0" applyFont="1" applyFill="1" applyBorder="1" applyAlignment="1">
      <alignment horizontal="left" vertical="top" wrapText="1"/>
    </xf>
    <xf numFmtId="49" fontId="7" fillId="0" borderId="0" xfId="0" applyNumberFormat="1" applyFont="1" applyBorder="1"/>
    <xf numFmtId="0" fontId="7" fillId="0" borderId="0" xfId="0" applyFont="1" applyBorder="1" applyAlignment="1">
      <alignment horizontal="left" vertical="top" wrapText="1"/>
    </xf>
    <xf numFmtId="0" fontId="7" fillId="0" borderId="0" xfId="0" applyFont="1" applyBorder="1"/>
    <xf numFmtId="0" fontId="7" fillId="0" borderId="0" xfId="0" applyFont="1"/>
    <xf numFmtId="49" fontId="4" fillId="0" borderId="0" xfId="0" applyNumberFormat="1" applyFont="1" applyBorder="1" applyAlignment="1">
      <alignment horizontal="left"/>
    </xf>
    <xf numFmtId="49" fontId="3" fillId="7" borderId="25" xfId="0" applyNumberFormat="1" applyFont="1" applyFill="1" applyBorder="1" applyAlignment="1">
      <alignment vertical="center" wrapText="1"/>
    </xf>
    <xf numFmtId="0" fontId="3" fillId="7" borderId="25" xfId="0" applyFont="1" applyFill="1" applyBorder="1" applyAlignment="1">
      <alignment horizontal="left" vertical="top" wrapText="1"/>
    </xf>
    <xf numFmtId="49" fontId="7" fillId="0" borderId="6" xfId="0" applyNumberFormat="1" applyFont="1" applyBorder="1" applyAlignment="1">
      <alignment vertical="top" wrapText="1"/>
    </xf>
    <xf numFmtId="0" fontId="7" fillId="0" borderId="6" xfId="0" applyFont="1" applyBorder="1" applyAlignment="1">
      <alignment horizontal="left" vertical="top" wrapText="1"/>
    </xf>
    <xf numFmtId="49" fontId="2" fillId="0" borderId="0" xfId="0" applyNumberFormat="1" applyFont="1" applyBorder="1"/>
    <xf numFmtId="0" fontId="3" fillId="7" borderId="6" xfId="0" applyFont="1" applyFill="1" applyBorder="1" applyAlignment="1">
      <alignment horizontal="center" vertical="center" wrapText="1"/>
    </xf>
    <xf numFmtId="0" fontId="6" fillId="8" borderId="20" xfId="0" applyFont="1" applyFill="1" applyBorder="1" applyAlignment="1">
      <alignment vertical="center" wrapText="1"/>
    </xf>
    <xf numFmtId="0" fontId="5" fillId="12" borderId="0" xfId="0" applyFont="1" applyFill="1" applyBorder="1" applyAlignment="1">
      <alignment horizontal="center" vertical="center" wrapText="1"/>
    </xf>
    <xf numFmtId="0" fontId="5" fillId="0" borderId="20" xfId="0" applyFont="1" applyBorder="1" applyAlignment="1">
      <alignment horizontal="left" vertical="top" wrapText="1"/>
    </xf>
    <xf numFmtId="0" fontId="9" fillId="0" borderId="20" xfId="1" applyFont="1" applyBorder="1" applyAlignment="1" applyProtection="1">
      <alignment horizontal="center" wrapText="1"/>
    </xf>
    <xf numFmtId="49" fontId="0" fillId="0" borderId="0" xfId="0" applyNumberFormat="1"/>
    <xf numFmtId="0" fontId="0" fillId="0" borderId="0" xfId="0" applyAlignment="1">
      <alignment horizontal="left" vertical="top" wrapText="1"/>
    </xf>
    <xf numFmtId="49" fontId="2" fillId="0" borderId="0" xfId="0" applyNumberFormat="1" applyFont="1"/>
    <xf numFmtId="0" fontId="3" fillId="7" borderId="21" xfId="0" applyFont="1" applyFill="1" applyBorder="1" applyAlignment="1">
      <alignment horizontal="center" vertical="center" wrapText="1"/>
    </xf>
    <xf numFmtId="49" fontId="7" fillId="0" borderId="0" xfId="0" applyNumberFormat="1" applyFont="1"/>
    <xf numFmtId="49" fontId="4" fillId="0" borderId="0" xfId="0" applyNumberFormat="1" applyFont="1" applyAlignment="1">
      <alignment horizontal="left"/>
    </xf>
    <xf numFmtId="0" fontId="10" fillId="0" borderId="20" xfId="0" applyFont="1" applyBorder="1" applyAlignment="1">
      <alignment horizontal="center"/>
    </xf>
    <xf numFmtId="0" fontId="10" fillId="0" borderId="0" xfId="0" applyFont="1" applyBorder="1" applyAlignment="1">
      <alignment horizontal="left"/>
    </xf>
    <xf numFmtId="0" fontId="10" fillId="0" borderId="6" xfId="0" applyFont="1" applyBorder="1"/>
    <xf numFmtId="0" fontId="0" fillId="0" borderId="6" xfId="0" applyFont="1" applyBorder="1" applyAlignment="1"/>
    <xf numFmtId="0" fontId="0" fillId="0" borderId="6" xfId="0" applyBorder="1" applyAlignment="1">
      <alignment horizontal="center"/>
    </xf>
    <xf numFmtId="167" fontId="0" fillId="0" borderId="6" xfId="0" applyNumberFormat="1" applyFont="1" applyBorder="1"/>
    <xf numFmtId="0" fontId="0" fillId="0" borderId="6" xfId="0" applyFont="1" applyBorder="1"/>
    <xf numFmtId="0" fontId="0" fillId="0" borderId="6" xfId="0" applyFont="1" applyBorder="1" applyAlignment="1">
      <alignment horizontal="center"/>
    </xf>
    <xf numFmtId="0" fontId="11" fillId="0" borderId="6" xfId="0" applyFont="1" applyBorder="1" applyAlignment="1">
      <alignment horizontal="center"/>
    </xf>
    <xf numFmtId="0" fontId="0" fillId="0" borderId="6" xfId="0" applyBorder="1"/>
    <xf numFmtId="0" fontId="11" fillId="0" borderId="6" xfId="0" applyFont="1" applyBorder="1"/>
    <xf numFmtId="0" fontId="0" fillId="0" borderId="6" xfId="0" applyFont="1" applyBorder="1" applyAlignment="1">
      <alignment wrapText="1"/>
    </xf>
    <xf numFmtId="0" fontId="10" fillId="0" borderId="6" xfId="0" applyFont="1" applyBorder="1" applyAlignment="1">
      <alignment wrapText="1"/>
    </xf>
    <xf numFmtId="167" fontId="11" fillId="0" borderId="6" xfId="0" applyNumberFormat="1" applyFont="1" applyBorder="1"/>
    <xf numFmtId="0" fontId="1" fillId="0" borderId="20" xfId="1" applyBorder="1" applyProtection="1"/>
    <xf numFmtId="0" fontId="0" fillId="0" borderId="0" xfId="0" applyAlignment="1">
      <alignment vertical="center"/>
    </xf>
    <xf numFmtId="0" fontId="5" fillId="0" borderId="0" xfId="0" applyFont="1" applyBorder="1" applyAlignment="1">
      <alignment horizontal="left" vertical="center" wrapText="1"/>
    </xf>
    <xf numFmtId="0" fontId="1" fillId="0" borderId="20" xfId="1" applyBorder="1" applyAlignment="1" applyProtection="1">
      <alignment vertical="center"/>
    </xf>
    <xf numFmtId="0" fontId="7" fillId="0" borderId="0" xfId="0" applyFont="1" applyAlignment="1">
      <alignment horizontal="left" vertical="center" wrapText="1"/>
    </xf>
    <xf numFmtId="49" fontId="2" fillId="0" borderId="0" xfId="0" applyNumberFormat="1" applyFont="1" applyAlignment="1">
      <alignment vertical="center"/>
    </xf>
    <xf numFmtId="0" fontId="0" fillId="0" borderId="0" xfId="0" applyFont="1" applyAlignment="1">
      <alignment horizontal="left" vertical="center" wrapText="1"/>
    </xf>
    <xf numFmtId="0" fontId="0" fillId="0" borderId="0" xfId="0" applyFont="1" applyAlignment="1">
      <alignment vertical="center"/>
    </xf>
    <xf numFmtId="0" fontId="0" fillId="0" borderId="0" xfId="0" applyFont="1" applyBorder="1" applyAlignment="1">
      <alignment horizontal="left" vertical="center" wrapText="1"/>
    </xf>
    <xf numFmtId="49" fontId="0" fillId="0" borderId="0" xfId="0" applyNumberFormat="1" applyFont="1" applyAlignment="1">
      <alignment vertical="center"/>
    </xf>
    <xf numFmtId="0" fontId="7" fillId="0" borderId="0" xfId="0" applyFont="1" applyBorder="1" applyAlignment="1">
      <alignment vertical="center"/>
    </xf>
    <xf numFmtId="0" fontId="7" fillId="0" borderId="0" xfId="0" applyFont="1" applyAlignment="1">
      <alignment vertical="center"/>
    </xf>
    <xf numFmtId="0" fontId="0" fillId="0" borderId="0" xfId="0" applyAlignment="1">
      <alignment vertical="center" wrapText="1"/>
    </xf>
    <xf numFmtId="0" fontId="0" fillId="0" borderId="0" xfId="0" applyBorder="1" applyAlignment="1">
      <alignment vertical="center"/>
    </xf>
    <xf numFmtId="0" fontId="8" fillId="0" borderId="0" xfId="1" applyFont="1" applyBorder="1" applyAlignment="1" applyProtection="1">
      <alignment horizontal="left" vertical="center" wrapText="1"/>
    </xf>
    <xf numFmtId="0" fontId="3" fillId="7" borderId="23" xfId="0" applyFont="1" applyFill="1" applyBorder="1" applyAlignment="1">
      <alignment horizontal="left" vertical="center" wrapText="1"/>
    </xf>
    <xf numFmtId="0" fontId="3" fillId="7" borderId="21" xfId="0" applyFont="1" applyFill="1" applyBorder="1" applyAlignment="1">
      <alignment horizontal="left" vertical="center" wrapText="1"/>
    </xf>
    <xf numFmtId="49" fontId="7" fillId="0" borderId="0" xfId="0" applyNumberFormat="1" applyFont="1" applyAlignment="1">
      <alignment vertical="center"/>
    </xf>
    <xf numFmtId="49" fontId="4" fillId="0" borderId="0" xfId="0" applyNumberFormat="1" applyFont="1" applyAlignment="1">
      <alignment horizontal="left" vertical="center"/>
    </xf>
    <xf numFmtId="0" fontId="3" fillId="7" borderId="25" xfId="0" applyFont="1" applyFill="1" applyBorder="1" applyAlignment="1">
      <alignment horizontal="left" vertical="center" wrapText="1"/>
    </xf>
    <xf numFmtId="49" fontId="7" fillId="0" borderId="6" xfId="0" applyNumberFormat="1" applyFont="1" applyBorder="1" applyAlignment="1">
      <alignment vertical="center" wrapText="1"/>
    </xf>
    <xf numFmtId="0" fontId="7" fillId="0" borderId="6" xfId="0" applyFont="1" applyBorder="1" applyAlignment="1">
      <alignment horizontal="left" vertical="center" wrapText="1"/>
    </xf>
    <xf numFmtId="49" fontId="0" fillId="0" borderId="0" xfId="0" applyNumberFormat="1" applyAlignment="1">
      <alignment vertical="center"/>
    </xf>
    <xf numFmtId="0" fontId="0" fillId="0" borderId="0" xfId="0" applyAlignment="1">
      <alignment horizontal="left" vertical="center" wrapText="1"/>
    </xf>
    <xf numFmtId="0" fontId="14" fillId="0" borderId="0" xfId="0" applyFont="1"/>
    <xf numFmtId="0" fontId="13" fillId="0" borderId="0" xfId="0" applyFont="1" applyBorder="1"/>
    <xf numFmtId="0" fontId="13" fillId="0" borderId="0" xfId="0" applyFont="1"/>
    <xf numFmtId="0" fontId="15" fillId="0" borderId="0" xfId="0" applyFont="1" applyBorder="1"/>
    <xf numFmtId="0" fontId="15" fillId="0" borderId="0" xfId="0" applyFont="1"/>
    <xf numFmtId="49" fontId="15" fillId="0" borderId="0" xfId="0" applyNumberFormat="1" applyFont="1" applyBorder="1"/>
    <xf numFmtId="0" fontId="15" fillId="0" borderId="0" xfId="0" applyFont="1" applyBorder="1" applyAlignment="1">
      <alignment horizontal="left" vertical="top" wrapText="1"/>
    </xf>
    <xf numFmtId="49" fontId="17" fillId="7" borderId="15" xfId="0" applyNumberFormat="1" applyFont="1" applyFill="1" applyBorder="1" applyAlignment="1">
      <alignment horizontal="center" vertical="center" wrapText="1"/>
    </xf>
    <xf numFmtId="49" fontId="17" fillId="7" borderId="16" xfId="0" applyNumberFormat="1" applyFont="1" applyFill="1" applyBorder="1" applyAlignment="1">
      <alignment horizontal="center" vertical="center" wrapText="1"/>
    </xf>
    <xf numFmtId="0" fontId="17" fillId="7" borderId="16" xfId="0" applyFont="1" applyFill="1" applyBorder="1" applyAlignment="1">
      <alignment horizontal="left" vertical="top" wrapText="1"/>
    </xf>
    <xf numFmtId="0" fontId="17" fillId="7" borderId="16" xfId="0" applyFont="1" applyFill="1" applyBorder="1" applyAlignment="1">
      <alignment horizontal="center" vertical="center" wrapText="1"/>
    </xf>
    <xf numFmtId="0" fontId="17" fillId="7" borderId="16" xfId="0" applyFont="1" applyFill="1" applyBorder="1" applyAlignment="1">
      <alignment horizontal="center" vertical="top" wrapText="1"/>
    </xf>
    <xf numFmtId="0" fontId="17" fillId="7" borderId="17" xfId="0" applyFont="1" applyFill="1" applyBorder="1" applyAlignment="1">
      <alignment horizontal="center" vertical="top" wrapText="1"/>
    </xf>
    <xf numFmtId="49" fontId="16" fillId="8" borderId="18" xfId="0" applyNumberFormat="1" applyFont="1" applyFill="1" applyBorder="1" applyAlignment="1">
      <alignment horizontal="center" vertical="center" wrapText="1"/>
    </xf>
    <xf numFmtId="49" fontId="16" fillId="8" borderId="0" xfId="0" applyNumberFormat="1" applyFont="1" applyFill="1" applyBorder="1" applyAlignment="1">
      <alignment horizontal="center" vertical="center" wrapText="1"/>
    </xf>
    <xf numFmtId="0" fontId="16" fillId="8" borderId="0" xfId="0" applyFont="1" applyFill="1" applyBorder="1" applyAlignment="1">
      <alignment horizontal="left" vertical="top" wrapText="1"/>
    </xf>
    <xf numFmtId="0" fontId="16" fillId="8" borderId="0" xfId="0" applyFont="1" applyFill="1" applyBorder="1" applyAlignment="1">
      <alignment horizontal="center" vertical="center" wrapText="1"/>
    </xf>
    <xf numFmtId="0" fontId="16" fillId="8" borderId="19" xfId="0" applyFont="1" applyFill="1" applyBorder="1" applyAlignment="1">
      <alignment horizontal="left" vertical="top" wrapText="1"/>
    </xf>
    <xf numFmtId="0" fontId="16" fillId="8" borderId="20" xfId="0" applyFont="1" applyFill="1" applyBorder="1" applyAlignment="1">
      <alignment horizontal="left" vertical="top" wrapText="1"/>
    </xf>
    <xf numFmtId="49" fontId="17" fillId="9" borderId="18" xfId="0" applyNumberFormat="1" applyFont="1" applyFill="1" applyBorder="1" applyAlignment="1">
      <alignment horizontal="center" vertical="center" wrapText="1"/>
    </xf>
    <xf numFmtId="49" fontId="17" fillId="9" borderId="0" xfId="0" applyNumberFormat="1" applyFont="1" applyFill="1" applyBorder="1" applyAlignment="1">
      <alignment horizontal="center" vertical="center" wrapText="1"/>
    </xf>
    <xf numFmtId="0" fontId="18" fillId="0" borderId="0" xfId="2" applyFont="1" applyBorder="1" applyAlignment="1">
      <alignment horizontal="left" vertical="center" wrapText="1"/>
    </xf>
    <xf numFmtId="0" fontId="18" fillId="10" borderId="0" xfId="0" applyFont="1" applyFill="1" applyBorder="1" applyAlignment="1">
      <alignment horizontal="center" vertical="center" wrapText="1"/>
    </xf>
    <xf numFmtId="0" fontId="18" fillId="11" borderId="0" xfId="0" applyFont="1" applyFill="1" applyBorder="1" applyAlignment="1">
      <alignment horizontal="center" vertical="center" wrapText="1"/>
    </xf>
    <xf numFmtId="0" fontId="18" fillId="0" borderId="0" xfId="0" applyFont="1" applyBorder="1" applyAlignment="1">
      <alignment horizontal="center" vertical="center" wrapText="1"/>
    </xf>
    <xf numFmtId="0" fontId="19" fillId="0" borderId="0" xfId="1" applyFont="1" applyBorder="1" applyAlignment="1" applyProtection="1">
      <alignment vertical="center" wrapText="1"/>
    </xf>
    <xf numFmtId="0" fontId="20" fillId="0" borderId="0" xfId="1" applyFont="1" applyBorder="1" applyAlignment="1" applyProtection="1">
      <alignment wrapText="1"/>
    </xf>
    <xf numFmtId="0" fontId="18" fillId="0" borderId="21" xfId="0" applyFont="1" applyBorder="1" applyAlignment="1">
      <alignment horizontal="left" vertical="top" wrapText="1"/>
    </xf>
    <xf numFmtId="0" fontId="18" fillId="0" borderId="0" xfId="0" applyFont="1" applyBorder="1" applyAlignment="1">
      <alignment vertical="center" wrapText="1"/>
    </xf>
    <xf numFmtId="0" fontId="19" fillId="0" borderId="0" xfId="1" applyFont="1" applyBorder="1" applyAlignment="1" applyProtection="1">
      <alignment vertical="center"/>
    </xf>
    <xf numFmtId="0" fontId="18" fillId="0" borderId="0" xfId="0" applyFont="1" applyBorder="1" applyAlignment="1">
      <alignment horizontal="left" vertical="top" wrapText="1"/>
    </xf>
    <xf numFmtId="49" fontId="21" fillId="8" borderId="18" xfId="0" applyNumberFormat="1" applyFont="1" applyFill="1" applyBorder="1" applyAlignment="1">
      <alignment horizontal="center" vertical="center" wrapText="1"/>
    </xf>
    <xf numFmtId="49" fontId="21" fillId="8" borderId="0" xfId="0" applyNumberFormat="1" applyFont="1" applyFill="1" applyBorder="1" applyAlignment="1">
      <alignment horizontal="center" vertical="center" wrapText="1"/>
    </xf>
    <xf numFmtId="0" fontId="21" fillId="8" borderId="0" xfId="0" applyFont="1" applyFill="1" applyBorder="1" applyAlignment="1">
      <alignment horizontal="left" vertical="top" wrapText="1"/>
    </xf>
    <xf numFmtId="0" fontId="21" fillId="8" borderId="0" xfId="0" applyFont="1" applyFill="1" applyBorder="1" applyAlignment="1">
      <alignment vertical="center" wrapText="1"/>
    </xf>
    <xf numFmtId="0" fontId="21" fillId="8" borderId="0" xfId="0" applyFont="1" applyFill="1" applyBorder="1" applyAlignment="1">
      <alignment horizontal="center" vertical="center" wrapText="1"/>
    </xf>
    <xf numFmtId="0" fontId="21" fillId="8" borderId="0" xfId="0" applyFont="1" applyFill="1" applyAlignment="1">
      <alignment vertical="center" wrapText="1"/>
    </xf>
    <xf numFmtId="0" fontId="21" fillId="8" borderId="21" xfId="0" applyFont="1" applyFill="1" applyBorder="1" applyAlignment="1">
      <alignment horizontal="left" vertical="top" wrapText="1"/>
    </xf>
    <xf numFmtId="0" fontId="22" fillId="0" borderId="21" xfId="0" applyFont="1" applyBorder="1" applyAlignment="1">
      <alignment horizontal="left" vertical="top" wrapText="1"/>
    </xf>
    <xf numFmtId="0" fontId="15" fillId="0" borderId="0" xfId="0" applyFont="1" applyAlignment="1">
      <alignment horizontal="left" vertical="center" wrapText="1"/>
    </xf>
    <xf numFmtId="0" fontId="18" fillId="0" borderId="0" xfId="0" applyFont="1" applyBorder="1" applyAlignment="1">
      <alignment wrapText="1"/>
    </xf>
    <xf numFmtId="49" fontId="17" fillId="9" borderId="18" xfId="0" applyNumberFormat="1" applyFont="1" applyFill="1" applyBorder="1" applyAlignment="1">
      <alignment horizontal="center" wrapText="1"/>
    </xf>
    <xf numFmtId="49" fontId="17" fillId="9" borderId="0" xfId="0" applyNumberFormat="1" applyFont="1" applyFill="1" applyBorder="1" applyAlignment="1">
      <alignment horizontal="center" wrapText="1"/>
    </xf>
    <xf numFmtId="0" fontId="18" fillId="0" borderId="0" xfId="0" applyFont="1" applyBorder="1" applyAlignment="1">
      <alignment horizontal="left" vertical="center" wrapText="1"/>
    </xf>
    <xf numFmtId="0" fontId="19" fillId="0" borderId="0" xfId="1" applyFont="1" applyBorder="1" applyAlignment="1" applyProtection="1">
      <alignment horizontal="left" wrapText="1"/>
    </xf>
    <xf numFmtId="0" fontId="19" fillId="0" borderId="20" xfId="1" applyFont="1" applyBorder="1" applyAlignment="1" applyProtection="1">
      <alignment horizontal="left" vertical="top" wrapText="1"/>
    </xf>
    <xf numFmtId="0" fontId="20" fillId="0" borderId="0" xfId="1" applyFont="1" applyBorder="1" applyAlignment="1" applyProtection="1">
      <alignment vertical="center" wrapText="1"/>
    </xf>
    <xf numFmtId="0" fontId="19" fillId="0" borderId="21" xfId="1" applyFont="1" applyBorder="1" applyAlignment="1" applyProtection="1">
      <alignment horizontal="left" vertical="top" wrapText="1"/>
    </xf>
    <xf numFmtId="0" fontId="18" fillId="0" borderId="26" xfId="0" applyFont="1" applyBorder="1" applyAlignment="1">
      <alignment horizontal="left" vertical="top" wrapText="1"/>
    </xf>
    <xf numFmtId="0" fontId="18" fillId="0" borderId="27" xfId="0" applyFont="1" applyBorder="1" applyAlignment="1">
      <alignment vertical="center" wrapText="1"/>
    </xf>
    <xf numFmtId="0" fontId="23" fillId="0" borderId="21" xfId="0" applyFont="1" applyBorder="1" applyAlignment="1">
      <alignment horizontal="left" vertical="top" wrapText="1"/>
    </xf>
    <xf numFmtId="0" fontId="23" fillId="0" borderId="0" xfId="0" applyFont="1" applyBorder="1"/>
    <xf numFmtId="49" fontId="17" fillId="7" borderId="22" xfId="0" applyNumberFormat="1" applyFont="1" applyFill="1" applyBorder="1" applyAlignment="1">
      <alignment horizontal="center" vertical="center" wrapText="1"/>
    </xf>
    <xf numFmtId="49" fontId="17" fillId="7" borderId="23" xfId="0" applyNumberFormat="1" applyFont="1" applyFill="1" applyBorder="1" applyAlignment="1">
      <alignment horizontal="center" vertical="center" wrapText="1"/>
    </xf>
    <xf numFmtId="0" fontId="17" fillId="7" borderId="23" xfId="0" applyFont="1" applyFill="1" applyBorder="1" applyAlignment="1">
      <alignment horizontal="left" vertical="top" wrapText="1"/>
    </xf>
    <xf numFmtId="0" fontId="17" fillId="7" borderId="23" xfId="0" applyFont="1" applyFill="1" applyBorder="1" applyAlignment="1">
      <alignment horizontal="center" vertical="center" wrapText="1"/>
    </xf>
    <xf numFmtId="0" fontId="17" fillId="7" borderId="24" xfId="0" applyFont="1" applyFill="1" applyBorder="1" applyAlignment="1">
      <alignment horizontal="center" vertical="center" wrapText="1"/>
    </xf>
    <xf numFmtId="0" fontId="17" fillId="7" borderId="24" xfId="0" applyFont="1" applyFill="1" applyBorder="1" applyAlignment="1">
      <alignment horizontal="left" vertical="top" wrapText="1"/>
    </xf>
    <xf numFmtId="49" fontId="16" fillId="0" borderId="0" xfId="0" applyNumberFormat="1" applyFont="1" applyBorder="1" applyAlignment="1">
      <alignment horizontal="left"/>
    </xf>
    <xf numFmtId="49" fontId="17" fillId="7" borderId="25" xfId="0" applyNumberFormat="1" applyFont="1" applyFill="1" applyBorder="1" applyAlignment="1">
      <alignment vertical="center" wrapText="1"/>
    </xf>
    <xf numFmtId="0" fontId="17" fillId="7" borderId="25" xfId="0" applyFont="1" applyFill="1" applyBorder="1" applyAlignment="1">
      <alignment horizontal="left" vertical="top" wrapText="1"/>
    </xf>
    <xf numFmtId="49" fontId="15" fillId="0" borderId="6" xfId="0" applyNumberFormat="1" applyFont="1" applyBorder="1" applyAlignment="1">
      <alignment vertical="top" wrapText="1"/>
    </xf>
    <xf numFmtId="0" fontId="15" fillId="0" borderId="6" xfId="0" applyFont="1" applyBorder="1" applyAlignment="1">
      <alignment horizontal="left" vertical="top" wrapText="1"/>
    </xf>
    <xf numFmtId="0" fontId="15" fillId="0" borderId="6" xfId="0" applyFont="1" applyBorder="1" applyAlignment="1">
      <alignment horizontal="center"/>
    </xf>
    <xf numFmtId="0" fontId="24" fillId="6" borderId="14" xfId="1" applyFont="1" applyFill="1" applyBorder="1" applyAlignment="1" applyProtection="1">
      <alignment vertical="center"/>
    </xf>
    <xf numFmtId="0" fontId="15" fillId="0" borderId="6" xfId="0" applyFont="1" applyBorder="1"/>
    <xf numFmtId="0" fontId="15" fillId="0" borderId="14" xfId="0" applyFont="1" applyBorder="1"/>
    <xf numFmtId="166" fontId="15" fillId="0" borderId="6" xfId="0" applyNumberFormat="1" applyFont="1" applyBorder="1"/>
    <xf numFmtId="0" fontId="21" fillId="3" borderId="3" xfId="0" applyFont="1" applyFill="1" applyBorder="1" applyAlignment="1" applyProtection="1">
      <alignment vertical="center"/>
    </xf>
    <xf numFmtId="0" fontId="21" fillId="3" borderId="4" xfId="0" applyFont="1" applyFill="1" applyBorder="1" applyAlignment="1" applyProtection="1">
      <alignment vertical="center"/>
    </xf>
    <xf numFmtId="0" fontId="21" fillId="3" borderId="5" xfId="0" applyFont="1" applyFill="1" applyBorder="1" applyAlignment="1" applyProtection="1">
      <alignment vertical="center"/>
    </xf>
    <xf numFmtId="0" fontId="21" fillId="0" borderId="7" xfId="0" applyFont="1" applyBorder="1" applyAlignment="1" applyProtection="1">
      <alignment vertical="center"/>
    </xf>
    <xf numFmtId="0" fontId="18" fillId="0" borderId="1" xfId="0" applyFont="1" applyBorder="1" applyAlignment="1" applyProtection="1">
      <alignment horizontal="left" vertical="center" wrapText="1"/>
      <protection locked="0"/>
    </xf>
    <xf numFmtId="0" fontId="21" fillId="3" borderId="10" xfId="0" applyFont="1" applyFill="1" applyBorder="1" applyAlignment="1" applyProtection="1">
      <alignment vertical="center"/>
    </xf>
    <xf numFmtId="0" fontId="21" fillId="3" borderId="11" xfId="0" applyFont="1" applyFill="1" applyBorder="1" applyAlignment="1" applyProtection="1">
      <alignment vertical="center"/>
    </xf>
    <xf numFmtId="0" fontId="21" fillId="3" borderId="2" xfId="0" applyFont="1" applyFill="1" applyBorder="1" applyAlignment="1" applyProtection="1">
      <alignment vertical="center"/>
    </xf>
    <xf numFmtId="0" fontId="21" fillId="0" borderId="10" xfId="0" applyFont="1" applyBorder="1" applyAlignment="1" applyProtection="1">
      <alignment vertical="center"/>
    </xf>
    <xf numFmtId="0" fontId="21" fillId="0" borderId="12" xfId="0" applyFont="1" applyBorder="1" applyAlignment="1" applyProtection="1">
      <alignment vertical="center"/>
    </xf>
    <xf numFmtId="0" fontId="15" fillId="0" borderId="2" xfId="0" applyFont="1" applyBorder="1" applyAlignment="1" applyProtection="1">
      <alignment vertical="center" wrapText="1"/>
      <protection locked="0"/>
    </xf>
    <xf numFmtId="164" fontId="15" fillId="0" borderId="2" xfId="0" applyNumberFormat="1" applyFont="1" applyBorder="1" applyAlignment="1" applyProtection="1">
      <alignment vertical="center" wrapText="1"/>
      <protection locked="0"/>
    </xf>
    <xf numFmtId="0" fontId="19" fillId="0" borderId="7" xfId="1" applyFont="1" applyBorder="1" applyAlignment="1" applyProtection="1">
      <alignment vertical="center"/>
    </xf>
    <xf numFmtId="0" fontId="19" fillId="0" borderId="1" xfId="1" applyFont="1" applyBorder="1" applyAlignment="1" applyProtection="1">
      <alignment horizontal="left" vertical="center" wrapText="1"/>
    </xf>
    <xf numFmtId="0" fontId="16" fillId="0" borderId="0" xfId="0" applyFont="1"/>
    <xf numFmtId="0" fontId="21" fillId="3" borderId="13" xfId="0" applyFont="1" applyFill="1" applyBorder="1" applyAlignment="1" applyProtection="1">
      <alignment vertical="center"/>
    </xf>
    <xf numFmtId="0" fontId="17" fillId="5" borderId="0" xfId="0" applyFont="1" applyFill="1" applyBorder="1" applyAlignment="1">
      <alignment horizontal="center" vertical="center" wrapText="1"/>
    </xf>
    <xf numFmtId="0" fontId="15" fillId="5" borderId="0" xfId="0" applyFont="1" applyFill="1" applyBorder="1" applyAlignment="1">
      <alignment horizontal="left" wrapText="1"/>
    </xf>
    <xf numFmtId="0" fontId="15" fillId="5" borderId="0" xfId="0" applyFont="1" applyFill="1" applyBorder="1"/>
    <xf numFmtId="0" fontId="15" fillId="5" borderId="0" xfId="0" applyFont="1" applyFill="1" applyBorder="1" applyAlignment="1" applyProtection="1">
      <alignment horizontal="center" vertical="center"/>
    </xf>
    <xf numFmtId="0" fontId="18" fillId="5" borderId="0" xfId="0" applyFont="1" applyFill="1" applyBorder="1" applyAlignment="1">
      <alignment horizontal="center" vertical="center" wrapText="1"/>
    </xf>
    <xf numFmtId="165" fontId="15" fillId="5" borderId="0" xfId="0" applyNumberFormat="1" applyFont="1" applyFill="1" applyBorder="1" applyAlignment="1">
      <alignment horizontal="right" vertical="center" indent="1"/>
    </xf>
    <xf numFmtId="0" fontId="21" fillId="2" borderId="1" xfId="0" applyFont="1" applyFill="1" applyBorder="1" applyAlignment="1" applyProtection="1">
      <alignment horizontal="left" vertical="top" wrapText="1"/>
    </xf>
    <xf numFmtId="0" fontId="15" fillId="0" borderId="2" xfId="0" applyFont="1" applyBorder="1" applyAlignment="1" applyProtection="1">
      <alignment horizontal="center"/>
    </xf>
    <xf numFmtId="0" fontId="21" fillId="0" borderId="6" xfId="0" applyFont="1" applyBorder="1" applyAlignment="1" applyProtection="1">
      <alignment horizontal="left" vertical="center"/>
    </xf>
    <xf numFmtId="0" fontId="21" fillId="0" borderId="8" xfId="0" applyFont="1" applyBorder="1" applyAlignment="1" applyProtection="1">
      <alignment horizontal="left" vertical="center"/>
    </xf>
    <xf numFmtId="0" fontId="21" fillId="0" borderId="9" xfId="0" applyFont="1" applyBorder="1" applyAlignment="1" applyProtection="1">
      <alignment vertical="center"/>
    </xf>
    <xf numFmtId="0" fontId="21" fillId="0" borderId="1" xfId="0" applyFont="1" applyBorder="1" applyAlignment="1" applyProtection="1">
      <alignment horizontal="left" vertical="center" wrapText="1"/>
    </xf>
    <xf numFmtId="0" fontId="21" fillId="0" borderId="8" xfId="0" applyFont="1" applyBorder="1" applyAlignment="1" applyProtection="1">
      <alignment vertical="center"/>
    </xf>
    <xf numFmtId="0" fontId="21" fillId="0" borderId="8" xfId="0" applyFont="1" applyBorder="1" applyAlignment="1" applyProtection="1">
      <alignment vertical="center" wrapText="1"/>
    </xf>
    <xf numFmtId="0" fontId="15" fillId="4" borderId="1" xfId="0" applyFont="1" applyFill="1" applyBorder="1" applyAlignment="1" applyProtection="1">
      <alignment horizontal="center" vertical="center"/>
    </xf>
    <xf numFmtId="0" fontId="21" fillId="0" borderId="1" xfId="0" applyFont="1" applyBorder="1" applyAlignment="1" applyProtection="1">
      <alignment horizontal="left" vertical="center"/>
    </xf>
    <xf numFmtId="0" fontId="17" fillId="6" borderId="14" xfId="1" applyFont="1" applyFill="1" applyBorder="1" applyAlignment="1" applyProtection="1">
      <alignment horizontal="center" vertical="center"/>
    </xf>
    <xf numFmtId="0" fontId="15" fillId="0" borderId="0" xfId="0" applyFont="1" applyBorder="1"/>
    <xf numFmtId="0" fontId="16" fillId="13" borderId="13" xfId="0" applyFont="1" applyFill="1" applyBorder="1" applyAlignment="1">
      <alignment horizontal="center"/>
    </xf>
    <xf numFmtId="1" fontId="25" fillId="0" borderId="13" xfId="0" applyNumberFormat="1" applyFont="1" applyBorder="1" applyAlignment="1">
      <alignment horizontal="center" vertical="center"/>
    </xf>
    <xf numFmtId="0" fontId="17" fillId="5" borderId="0" xfId="0" applyFont="1" applyFill="1" applyBorder="1" applyAlignment="1">
      <alignment horizontal="center" vertical="center" wrapText="1"/>
    </xf>
    <xf numFmtId="0" fontId="16" fillId="0" borderId="0" xfId="0" applyFont="1" applyBorder="1" applyAlignment="1">
      <alignment horizontal="left" vertical="top"/>
    </xf>
    <xf numFmtId="0" fontId="17" fillId="7" borderId="16" xfId="0" applyFont="1" applyFill="1" applyBorder="1" applyAlignment="1">
      <alignment horizontal="center" wrapText="1"/>
    </xf>
    <xf numFmtId="0" fontId="10" fillId="0" borderId="23" xfId="0" applyFont="1" applyBorder="1" applyAlignment="1">
      <alignment horizontal="left"/>
    </xf>
    <xf numFmtId="0" fontId="17" fillId="7" borderId="16" xfId="0" applyFont="1" applyFill="1" applyBorder="1" applyAlignment="1">
      <alignment horizontal="left" vertical="center" wrapText="1"/>
    </xf>
    <xf numFmtId="0" fontId="17" fillId="7" borderId="17" xfId="0" applyFont="1" applyFill="1" applyBorder="1" applyAlignment="1">
      <alignment horizontal="center" vertical="center" wrapText="1"/>
    </xf>
    <xf numFmtId="0" fontId="17" fillId="7" borderId="17" xfId="0" applyFont="1" applyFill="1" applyBorder="1" applyAlignment="1">
      <alignment horizontal="left" vertical="center" wrapText="1"/>
    </xf>
    <xf numFmtId="0" fontId="16" fillId="8" borderId="0" xfId="0" applyFont="1" applyFill="1" applyBorder="1" applyAlignment="1">
      <alignment horizontal="left" vertical="center" wrapText="1"/>
    </xf>
    <xf numFmtId="0" fontId="16" fillId="8" borderId="19" xfId="0" applyFont="1" applyFill="1" applyBorder="1" applyAlignment="1">
      <alignment horizontal="left" vertical="center" wrapText="1"/>
    </xf>
    <xf numFmtId="0" fontId="16" fillId="8" borderId="20" xfId="0" applyFont="1" applyFill="1" applyBorder="1" applyAlignment="1">
      <alignment horizontal="left" vertical="center" wrapText="1"/>
    </xf>
    <xf numFmtId="0" fontId="18" fillId="0" borderId="21" xfId="0" applyFont="1" applyBorder="1" applyAlignment="1">
      <alignment vertical="center" wrapText="1"/>
    </xf>
    <xf numFmtId="0" fontId="18" fillId="0" borderId="21" xfId="0" applyFont="1" applyBorder="1" applyAlignment="1">
      <alignment horizontal="left" vertical="center" wrapText="1"/>
    </xf>
    <xf numFmtId="0" fontId="19" fillId="0" borderId="0" xfId="1" applyFont="1" applyBorder="1" applyAlignment="1" applyProtection="1">
      <alignment horizontal="left" vertical="center"/>
    </xf>
    <xf numFmtId="0" fontId="19" fillId="0" borderId="20" xfId="1" applyFont="1" applyBorder="1" applyAlignment="1" applyProtection="1">
      <alignment vertical="center"/>
    </xf>
    <xf numFmtId="0" fontId="19" fillId="0" borderId="21" xfId="1" applyFont="1" applyBorder="1" applyAlignment="1" applyProtection="1">
      <alignment vertical="center" wrapText="1"/>
    </xf>
    <xf numFmtId="0" fontId="21" fillId="8" borderId="0" xfId="0" applyFont="1" applyFill="1" applyBorder="1" applyAlignment="1">
      <alignment horizontal="left" vertical="center" wrapText="1"/>
    </xf>
    <xf numFmtId="0" fontId="21" fillId="8" borderId="21" xfId="0" applyFont="1" applyFill="1" applyBorder="1" applyAlignment="1">
      <alignment vertical="center" wrapText="1"/>
    </xf>
    <xf numFmtId="0" fontId="21" fillId="8" borderId="21" xfId="0" applyFont="1" applyFill="1" applyBorder="1" applyAlignment="1">
      <alignment horizontal="left" vertical="center" wrapText="1"/>
    </xf>
    <xf numFmtId="0" fontId="19" fillId="0" borderId="0" xfId="1" applyFont="1" applyBorder="1" applyAlignment="1" applyProtection="1">
      <alignment horizontal="left" vertical="center" wrapText="1"/>
    </xf>
    <xf numFmtId="0" fontId="19" fillId="0" borderId="19" xfId="1" applyFont="1" applyBorder="1" applyAlignment="1" applyProtection="1">
      <alignment vertical="center"/>
    </xf>
    <xf numFmtId="0" fontId="18" fillId="0" borderId="20" xfId="0" applyFont="1" applyBorder="1" applyAlignment="1">
      <alignment horizontal="left" vertical="center" wrapText="1"/>
    </xf>
    <xf numFmtId="0" fontId="19" fillId="0" borderId="19" xfId="1" applyFont="1" applyBorder="1" applyAlignment="1" applyProtection="1">
      <alignment horizontal="left" vertical="center" wrapText="1"/>
    </xf>
    <xf numFmtId="0" fontId="19" fillId="0" borderId="20" xfId="1" applyFont="1" applyBorder="1" applyAlignment="1" applyProtection="1">
      <alignment horizontal="left" vertical="center" wrapText="1"/>
    </xf>
    <xf numFmtId="0" fontId="19" fillId="0" borderId="21" xfId="1" applyFont="1" applyBorder="1" applyAlignment="1" applyProtection="1">
      <alignment horizontal="left" vertical="center" wrapText="1"/>
    </xf>
    <xf numFmtId="0" fontId="18" fillId="14" borderId="29" xfId="0" applyFont="1" applyFill="1" applyBorder="1" applyAlignment="1">
      <alignment horizontal="center" vertical="center" wrapText="1"/>
    </xf>
    <xf numFmtId="0" fontId="18" fillId="14" borderId="28"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17" fillId="7" borderId="17" xfId="0" applyFont="1" applyFill="1" applyBorder="1" applyAlignment="1">
      <alignment horizontal="left" vertical="top" wrapText="1"/>
    </xf>
    <xf numFmtId="0" fontId="21" fillId="8" borderId="20" xfId="0" applyFont="1" applyFill="1" applyBorder="1" applyAlignment="1">
      <alignment vertical="center" wrapText="1"/>
    </xf>
    <xf numFmtId="0" fontId="21" fillId="8" borderId="20" xfId="0" applyFont="1" applyFill="1" applyBorder="1" applyAlignment="1">
      <alignment horizontal="left" vertical="top" wrapText="1"/>
    </xf>
    <xf numFmtId="0" fontId="18" fillId="12" borderId="0" xfId="0" applyFont="1" applyFill="1" applyBorder="1" applyAlignment="1">
      <alignment horizontal="center" vertical="center" wrapText="1"/>
    </xf>
    <xf numFmtId="0" fontId="19" fillId="0" borderId="20" xfId="1" applyFont="1" applyBorder="1" applyProtection="1"/>
    <xf numFmtId="0" fontId="18" fillId="0" borderId="20" xfId="0" applyFont="1" applyBorder="1" applyAlignment="1">
      <alignment horizontal="left" vertical="top" wrapText="1"/>
    </xf>
    <xf numFmtId="0" fontId="15" fillId="0" borderId="0" xfId="0" applyFont="1" applyAlignment="1">
      <alignment horizontal="left" vertical="top" wrapText="1"/>
    </xf>
    <xf numFmtId="0" fontId="26" fillId="5" borderId="20" xfId="1" applyFont="1" applyFill="1" applyBorder="1" applyAlignment="1" applyProtection="1">
      <alignment horizontal="center" wrapText="1"/>
    </xf>
    <xf numFmtId="0" fontId="26" fillId="0" borderId="20" xfId="1" applyFont="1" applyBorder="1" applyAlignment="1" applyProtection="1">
      <alignment horizontal="center" wrapText="1"/>
    </xf>
  </cellXfs>
  <cellStyles count="3">
    <cellStyle name="Hyperlink" xfId="1" builtinId="8"/>
    <cellStyle name="Normal" xfId="0" builtinId="0"/>
    <cellStyle name="Normal 3" xfId="2" xr:uid="{00000000-0005-0000-0000-000006000000}"/>
  </cellStyles>
  <dxfs count="14">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2F2F2"/>
        </patternFill>
      </fill>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1" u="sng" strike="noStrike" spc="-1">
                <a:solidFill>
                  <a:srgbClr val="000000"/>
                </a:solidFill>
                <a:uFillTx/>
                <a:latin typeface="Trebuchet MS"/>
                <a:ea typeface="Arial"/>
              </a:defRPr>
            </a:pPr>
            <a:r>
              <a:rPr lang="en-US" sz="1200" b="1" u="sng" strike="noStrike" spc="-1">
                <a:solidFill>
                  <a:srgbClr val="000000"/>
                </a:solidFill>
                <a:uFillTx/>
                <a:latin typeface="微软雅黑" panose="020B0503020204020204" pitchFamily="34" charset="-122"/>
                <a:ea typeface="微软雅黑" panose="020B0503020204020204" pitchFamily="34" charset="-122"/>
              </a:rPr>
              <a:t>MASVS 合规</a:t>
            </a:r>
            <a:r>
              <a:rPr lang="zh-CN" altLang="en-US" sz="1200" b="1" u="sng" strike="noStrike" spc="-1">
                <a:solidFill>
                  <a:srgbClr val="000000"/>
                </a:solidFill>
                <a:uFillTx/>
                <a:latin typeface="微软雅黑" panose="020B0503020204020204" pitchFamily="34" charset="-122"/>
                <a:ea typeface="微软雅黑" panose="020B0503020204020204" pitchFamily="34" charset="-122"/>
              </a:rPr>
              <a:t> </a:t>
            </a:r>
            <a:r>
              <a:rPr lang="en-US" sz="1200" b="1" u="sng" strike="noStrike" spc="-1">
                <a:solidFill>
                  <a:srgbClr val="000000"/>
                </a:solidFill>
                <a:uFillTx/>
                <a:latin typeface="微软雅黑" panose="020B0503020204020204" pitchFamily="34" charset="-122"/>
                <a:ea typeface="微软雅黑" panose="020B0503020204020204" pitchFamily="34" charset="-122"/>
              </a:rPr>
              <a:t>蜘蛛图 - Android</a:t>
            </a:r>
          </a:p>
        </c:rich>
      </c:tx>
      <c:layout>
        <c:manualLayout>
          <c:xMode val="edge"/>
          <c:yMode val="edge"/>
          <c:x val="0.61985388912763195"/>
          <c:y val="2.4754304293209201E-2"/>
        </c:manualLayout>
      </c:layout>
      <c:overlay val="0"/>
      <c:spPr>
        <a:noFill/>
        <a:ln w="25560">
          <a:noFill/>
        </a:ln>
      </c:spPr>
    </c:title>
    <c:autoTitleDeleted val="0"/>
    <c:plotArea>
      <c:layout>
        <c:manualLayout>
          <c:layoutTarget val="inner"/>
          <c:xMode val="edge"/>
          <c:yMode val="edge"/>
          <c:x val="0.221443919209282"/>
          <c:y val="0.112613611172689"/>
          <c:w val="0.50249247958745202"/>
          <c:h val="0.84090741151259896"/>
        </c:manualLayout>
      </c:layout>
      <c:radarChart>
        <c:radarStyle val="filled"/>
        <c:varyColors val="0"/>
        <c:ser>
          <c:idx val="0"/>
          <c:order val="0"/>
          <c:tx>
            <c:v>Android</c:v>
          </c:tx>
          <c:spPr>
            <a:solidFill>
              <a:srgbClr val="C0C0C0"/>
            </a:solidFill>
            <a:ln w="25560">
              <a:noFill/>
            </a:ln>
          </c:spPr>
          <c:dLbls>
            <c:spPr>
              <a:noFill/>
              <a:ln>
                <a:noFill/>
              </a:ln>
              <a:effectLst/>
            </c:spPr>
            <c:txPr>
              <a:bodyPr/>
              <a:lstStyle/>
              <a:p>
                <a:pPr>
                  <a:defRPr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架构，设计和威胁建模 (Architecture, Design an Threat Modelling)</c:v>
                </c:pt>
                <c:pt idx="1">
                  <c:v>V2: 数据存储和隐私 (Data Storage and Privacy)</c:v>
                </c:pt>
                <c:pt idx="2">
                  <c:v>V3: 密码学验证 (Cryptography Verification)</c:v>
                </c:pt>
                <c:pt idx="3">
                  <c:v>V4: 身份验证和会话管理 (Authentication &amp; Session Management)</c:v>
                </c:pt>
                <c:pt idx="4">
                  <c:v>V5: 网络通讯 (Network Communication)</c:v>
                </c:pt>
                <c:pt idx="5">
                  <c:v>V6: 平台互动 (Platform Interaction)</c:v>
                </c:pt>
                <c:pt idx="6">
                  <c:v>V7: 代码质量和构建设置 (Code Quality &amp; Build Settings)</c:v>
                </c:pt>
                <c:pt idx="7">
                  <c:v>V8: 逆向工程的弹性 (Resiliency Against Reverse Engineering)</c:v>
                </c:pt>
              </c:strCache>
            </c:strRef>
          </c:cat>
          <c:val>
            <c:numRef>
              <c:f>'Management Summary'!$G$43:$G$50</c:f>
              <c:numCache>
                <c:formatCode>0.00\ %</c:formatCode>
                <c:ptCount val="8"/>
                <c:pt idx="0">
                  <c:v>1</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8DB-5D4E-BC39-2B405FE7773B}"/>
            </c:ext>
          </c:extLst>
        </c:ser>
        <c:dLbls>
          <c:showLegendKey val="0"/>
          <c:showVal val="0"/>
          <c:showCatName val="0"/>
          <c:showSerName val="0"/>
          <c:showPercent val="0"/>
          <c:showBubbleSize val="0"/>
        </c:dLbls>
        <c:axId val="57926455"/>
        <c:axId val="10768888"/>
      </c:radarChart>
      <c:catAx>
        <c:axId val="5792645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en-US"/>
          </a:p>
        </c:txPr>
        <c:crossAx val="10768888"/>
        <c:crosses val="autoZero"/>
        <c:auto val="1"/>
        <c:lblAlgn val="ctr"/>
        <c:lblOffset val="100"/>
        <c:noMultiLvlLbl val="1"/>
      </c:catAx>
      <c:valAx>
        <c:axId val="10768888"/>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en-US"/>
          </a:p>
        </c:txPr>
        <c:crossAx val="57926455"/>
        <c:crosses val="autoZero"/>
        <c:crossBetween val="between"/>
      </c:valAx>
      <c:spPr>
        <a:noFill/>
        <a:ln w="25560">
          <a:noFill/>
        </a:ln>
      </c:spPr>
    </c:plotArea>
    <c:legend>
      <c:legendPos val="r"/>
      <c:layout>
        <c:manualLayout>
          <c:xMode val="edge"/>
          <c:yMode val="edge"/>
          <c:x val="0.82355605203328797"/>
          <c:y val="8.6753817934920305E-2"/>
          <c:w val="0.15225397863329401"/>
          <c:h val="4.6333465073622501E-2"/>
        </c:manualLayout>
      </c:layout>
      <c:overlay val="1"/>
      <c:spPr>
        <a:noFill/>
        <a:ln w="25560">
          <a:noFill/>
        </a:ln>
      </c:spPr>
      <c:txPr>
        <a:bodyPr/>
        <a:lstStyle/>
        <a:p>
          <a:pPr>
            <a:defRPr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1" u="sng" strike="noStrike" spc="-1">
                <a:solidFill>
                  <a:srgbClr val="000000"/>
                </a:solidFill>
                <a:uFillTx/>
                <a:latin typeface="Trebuchet MS"/>
                <a:ea typeface="Arial"/>
              </a:defRPr>
            </a:pPr>
            <a:r>
              <a:rPr lang="en-US" sz="1200" b="1" u="sng" strike="noStrike" spc="-1">
                <a:solidFill>
                  <a:srgbClr val="000000"/>
                </a:solidFill>
                <a:uFillTx/>
                <a:latin typeface="微软雅黑" panose="020B0503020204020204" pitchFamily="34" charset="-122"/>
                <a:ea typeface="微软雅黑" panose="020B0503020204020204" pitchFamily="34" charset="-122"/>
              </a:rPr>
              <a:t>MASVS 合规</a:t>
            </a:r>
            <a:r>
              <a:rPr lang="zh-CN" altLang="en-US" sz="1200" b="1" u="sng" strike="noStrike" spc="-1">
                <a:solidFill>
                  <a:srgbClr val="000000"/>
                </a:solidFill>
                <a:uFillTx/>
                <a:latin typeface="微软雅黑" panose="020B0503020204020204" pitchFamily="34" charset="-122"/>
                <a:ea typeface="微软雅黑" panose="020B0503020204020204" pitchFamily="34" charset="-122"/>
              </a:rPr>
              <a:t> </a:t>
            </a:r>
            <a:r>
              <a:rPr lang="en-US" sz="1200" b="1" u="sng" strike="noStrike" spc="-1">
                <a:solidFill>
                  <a:srgbClr val="000000"/>
                </a:solidFill>
                <a:uFillTx/>
                <a:latin typeface="微软雅黑" panose="020B0503020204020204" pitchFamily="34" charset="-122"/>
                <a:ea typeface="微软雅黑" panose="020B0503020204020204" pitchFamily="34" charset="-122"/>
              </a:rPr>
              <a:t>蜘蛛图 - iOS</a:t>
            </a:r>
          </a:p>
        </c:rich>
      </c:tx>
      <c:layout>
        <c:manualLayout>
          <c:xMode val="edge"/>
          <c:yMode val="edge"/>
          <c:x val="0.64895274363856703"/>
          <c:y val="2.4731341086412499E-2"/>
        </c:manualLayout>
      </c:layout>
      <c:overlay val="0"/>
      <c:spPr>
        <a:noFill/>
        <a:ln w="25560">
          <a:noFill/>
        </a:ln>
      </c:spPr>
    </c:title>
    <c:autoTitleDeleted val="0"/>
    <c:plotArea>
      <c:layout>
        <c:manualLayout>
          <c:layoutTarget val="inner"/>
          <c:xMode val="edge"/>
          <c:yMode val="edge"/>
          <c:x val="0.22143846287000199"/>
          <c:y val="0.112615928161343"/>
          <c:w val="0.502466678206682"/>
          <c:h val="0.84093920211982898"/>
        </c:manualLayout>
      </c:layout>
      <c:radarChart>
        <c:radarStyle val="filled"/>
        <c:varyColors val="0"/>
        <c:ser>
          <c:idx val="0"/>
          <c:order val="0"/>
          <c:tx>
            <c:v>IOS</c:v>
          </c:tx>
          <c:spPr>
            <a:solidFill>
              <a:srgbClr val="DDDDDD"/>
            </a:solidFill>
            <a:ln w="25560">
              <a:noFill/>
            </a:ln>
          </c:spPr>
          <c:dLbls>
            <c:spPr>
              <a:noFill/>
              <a:ln>
                <a:noFill/>
              </a:ln>
              <a:effectLst/>
            </c:spPr>
            <c:txPr>
              <a:bodyPr/>
              <a:lstStyle/>
              <a:p>
                <a:pPr>
                  <a:defRPr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架构，设计和威胁建模 (Architecture, Design an Threat Modelling)</c:v>
                </c:pt>
                <c:pt idx="1">
                  <c:v>V2: 数据存储和隐私 (Data Storage and Privacy)</c:v>
                </c:pt>
                <c:pt idx="2">
                  <c:v>V3: 密码学验证 (Cryptography Verification)</c:v>
                </c:pt>
                <c:pt idx="3">
                  <c:v>V4: 身份验证和会话管理 (Authentication &amp; Session Management)</c:v>
                </c:pt>
                <c:pt idx="4">
                  <c:v>V5: 网络通讯 (Network Communication)</c:v>
                </c:pt>
                <c:pt idx="5">
                  <c:v>V6: 平台互动 (Platform Interaction)</c:v>
                </c:pt>
                <c:pt idx="6">
                  <c:v>V7: 代码质量和构建设置 (Code Quality &amp; Build Settings)</c:v>
                </c:pt>
                <c:pt idx="7">
                  <c:v>V8: 逆向工程的弹性 (Resiliency Against Reverse Engineering)</c:v>
                </c:pt>
              </c:strCache>
            </c:strRef>
          </c:cat>
          <c:val>
            <c:numRef>
              <c:f>'Management Summary'!$K$43:$K$50</c:f>
              <c:numCache>
                <c:formatCode>0.00\ %</c:formatCode>
                <c:ptCount val="8"/>
                <c:pt idx="0">
                  <c:v>1</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8E2-DA48-B524-EC5FFAE27987}"/>
            </c:ext>
          </c:extLst>
        </c:ser>
        <c:dLbls>
          <c:showLegendKey val="0"/>
          <c:showVal val="0"/>
          <c:showCatName val="0"/>
          <c:showSerName val="0"/>
          <c:showPercent val="0"/>
          <c:showBubbleSize val="0"/>
        </c:dLbls>
        <c:axId val="44602735"/>
        <c:axId val="96135864"/>
      </c:radarChart>
      <c:catAx>
        <c:axId val="4460273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en-US"/>
          </a:p>
        </c:txPr>
        <c:crossAx val="96135864"/>
        <c:crosses val="autoZero"/>
        <c:auto val="1"/>
        <c:lblAlgn val="ctr"/>
        <c:lblOffset val="100"/>
        <c:noMultiLvlLbl val="1"/>
      </c:catAx>
      <c:valAx>
        <c:axId val="96135864"/>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en-US"/>
          </a:p>
        </c:txPr>
        <c:crossAx val="44602735"/>
        <c:crosses val="autoZero"/>
        <c:crossBetween val="between"/>
      </c:valAx>
      <c:spPr>
        <a:noFill/>
        <a:ln w="25560">
          <a:noFill/>
        </a:ln>
      </c:spPr>
    </c:plotArea>
    <c:legend>
      <c:legendPos val="r"/>
      <c:layout>
        <c:manualLayout>
          <c:xMode val="edge"/>
          <c:yMode val="edge"/>
          <c:x val="0.82355605203328797"/>
          <c:y val="8.6753817934920305E-2"/>
          <c:w val="4.4674738528106002E-2"/>
          <c:h val="3.9075202039654602E-2"/>
        </c:manualLayout>
      </c:layout>
      <c:overlay val="1"/>
      <c:spPr>
        <a:noFill/>
        <a:ln w="25560">
          <a:noFill/>
        </a:ln>
      </c:spPr>
      <c:txPr>
        <a:bodyPr/>
        <a:lstStyle/>
        <a:p>
          <a:pPr>
            <a:defRPr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5943600</xdr:colOff>
      <xdr:row>1</xdr:row>
      <xdr:rowOff>120240</xdr:rowOff>
    </xdr:from>
    <xdr:to>
      <xdr:col>3</xdr:col>
      <xdr:colOff>6613200</xdr:colOff>
      <xdr:row>5</xdr:row>
      <xdr:rowOff>22710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34200" y="221040"/>
          <a:ext cx="669600" cy="7138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274320</xdr:colOff>
      <xdr:row>11</xdr:row>
      <xdr:rowOff>55080</xdr:rowOff>
    </xdr:from>
    <xdr:to>
      <xdr:col>8</xdr:col>
      <xdr:colOff>22954</xdr:colOff>
      <xdr:row>36</xdr:row>
      <xdr:rowOff>26429</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175680</xdr:colOff>
      <xdr:row>11</xdr:row>
      <xdr:rowOff>65520</xdr:rowOff>
    </xdr:from>
    <xdr:to>
      <xdr:col>24</xdr:col>
      <xdr:colOff>317880</xdr:colOff>
      <xdr:row>36</xdr:row>
      <xdr:rowOff>55949</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zoomScaleNormal="100" workbookViewId="0">
      <selection activeCell="I22" sqref="I22"/>
    </sheetView>
  </sheetViews>
  <sheetFormatPr defaultColWidth="8.875" defaultRowHeight="16.5" x14ac:dyDescent="0.35"/>
  <cols>
    <col min="1" max="1" width="2.375" style="89" customWidth="1"/>
    <col min="2" max="2" width="8.875" style="89" customWidth="1"/>
    <col min="3" max="3" width="17.125" style="89" customWidth="1"/>
    <col min="4" max="4" width="92.5" style="89" customWidth="1"/>
    <col min="5" max="1025" width="8.875" style="89" customWidth="1"/>
    <col min="1026" max="16384" width="8.875" style="89"/>
  </cols>
  <sheetData>
    <row r="1" spans="2:4" ht="8.1" customHeight="1" x14ac:dyDescent="0.35"/>
    <row r="2" spans="2:4" ht="15.6" customHeight="1" x14ac:dyDescent="0.35">
      <c r="B2" s="175" t="s">
        <v>359</v>
      </c>
      <c r="C2" s="175"/>
      <c r="D2" s="175"/>
    </row>
    <row r="3" spans="2:4" x14ac:dyDescent="0.35">
      <c r="B3" s="175"/>
      <c r="C3" s="175"/>
      <c r="D3" s="175"/>
    </row>
    <row r="4" spans="2:4" x14ac:dyDescent="0.35">
      <c r="B4" s="175"/>
      <c r="C4" s="175"/>
      <c r="D4" s="175"/>
    </row>
    <row r="5" spans="2:4" x14ac:dyDescent="0.35">
      <c r="B5" s="175"/>
      <c r="C5" s="175"/>
      <c r="D5" s="175"/>
    </row>
    <row r="6" spans="2:4" x14ac:dyDescent="0.35">
      <c r="B6" s="175"/>
      <c r="C6" s="175"/>
      <c r="D6" s="175"/>
    </row>
    <row r="7" spans="2:4" x14ac:dyDescent="0.35">
      <c r="B7" s="175"/>
      <c r="C7" s="175"/>
      <c r="D7" s="175"/>
    </row>
    <row r="8" spans="2:4" hidden="1" x14ac:dyDescent="0.35">
      <c r="B8" s="175"/>
      <c r="C8" s="175"/>
      <c r="D8" s="175"/>
    </row>
    <row r="9" spans="2:4" x14ac:dyDescent="0.35">
      <c r="B9" s="176"/>
      <c r="C9" s="176"/>
      <c r="D9" s="176"/>
    </row>
    <row r="10" spans="2:4" x14ac:dyDescent="0.35">
      <c r="B10" s="153" t="s">
        <v>231</v>
      </c>
      <c r="C10" s="154"/>
      <c r="D10" s="155"/>
    </row>
    <row r="11" spans="2:4" x14ac:dyDescent="0.35">
      <c r="B11" s="177" t="s">
        <v>232</v>
      </c>
      <c r="C11" s="177"/>
      <c r="D11" s="156" t="s">
        <v>0</v>
      </c>
    </row>
    <row r="12" spans="2:4" x14ac:dyDescent="0.35">
      <c r="B12" s="178" t="s">
        <v>233</v>
      </c>
      <c r="C12" s="178"/>
      <c r="D12" s="165" t="str">
        <f>HYPERLINK(CONCATENATE( "https://github.com/OWASP/owasp-masvs/blob/", MASVS_VERSION, "/Document/"))</f>
        <v>https://github.com/OWASP/owasp-masvs/blob/1.1.4/Document/</v>
      </c>
    </row>
    <row r="13" spans="2:4" x14ac:dyDescent="0.35">
      <c r="B13" s="179" t="s">
        <v>244</v>
      </c>
      <c r="C13" s="179"/>
      <c r="D13" s="157" t="s">
        <v>1</v>
      </c>
    </row>
    <row r="14" spans="2:4" x14ac:dyDescent="0.35">
      <c r="B14" s="178" t="s">
        <v>234</v>
      </c>
      <c r="C14" s="178"/>
      <c r="D14" s="166" t="str">
        <f>HYPERLINK(CONCATENATE( "https://github.com/OWASP/owasp-mstg/blob/", MSTG_VERSION, "/Document/"))</f>
        <v>https://github.com/OWASP/owasp-mstg/blob/1.1.3/Document/</v>
      </c>
    </row>
    <row r="15" spans="2:4" ht="32.1" customHeight="1" x14ac:dyDescent="0.35">
      <c r="B15" s="180" t="s">
        <v>367</v>
      </c>
      <c r="C15" s="180"/>
      <c r="D15" s="180"/>
    </row>
    <row r="16" spans="2:4" x14ac:dyDescent="0.35">
      <c r="B16" s="181" t="s">
        <v>235</v>
      </c>
      <c r="C16" s="181"/>
      <c r="D16" s="157"/>
    </row>
    <row r="17" spans="2:4" x14ac:dyDescent="0.35">
      <c r="B17" s="178" t="s">
        <v>236</v>
      </c>
      <c r="C17" s="178"/>
      <c r="D17" s="157"/>
    </row>
    <row r="18" spans="2:4" x14ac:dyDescent="0.35">
      <c r="B18" s="181" t="s">
        <v>237</v>
      </c>
      <c r="C18" s="181"/>
      <c r="D18" s="157"/>
    </row>
    <row r="19" spans="2:4" x14ac:dyDescent="0.35">
      <c r="B19" s="181" t="s">
        <v>238</v>
      </c>
      <c r="C19" s="181"/>
      <c r="D19" s="157"/>
    </row>
    <row r="20" spans="2:4" x14ac:dyDescent="0.35">
      <c r="B20" s="181" t="s">
        <v>239</v>
      </c>
      <c r="C20" s="181"/>
      <c r="D20" s="157"/>
    </row>
    <row r="21" spans="2:4" x14ac:dyDescent="0.35">
      <c r="B21" s="181" t="s">
        <v>240</v>
      </c>
      <c r="C21" s="181"/>
      <c r="D21" s="157" t="s">
        <v>241</v>
      </c>
    </row>
    <row r="22" spans="2:4" ht="70.5" customHeight="1" x14ac:dyDescent="0.35">
      <c r="B22" s="181" t="s">
        <v>242</v>
      </c>
      <c r="C22" s="181"/>
      <c r="D22" s="157" t="s">
        <v>243</v>
      </c>
    </row>
    <row r="23" spans="2:4" x14ac:dyDescent="0.35">
      <c r="B23" s="176"/>
      <c r="C23" s="176"/>
      <c r="D23" s="176"/>
    </row>
    <row r="24" spans="2:4" x14ac:dyDescent="0.35">
      <c r="B24" s="158" t="s">
        <v>245</v>
      </c>
      <c r="C24" s="159"/>
      <c r="D24" s="160"/>
    </row>
    <row r="25" spans="2:4" x14ac:dyDescent="0.35">
      <c r="B25" s="161" t="s">
        <v>246</v>
      </c>
      <c r="C25" s="162"/>
      <c r="D25" s="157"/>
    </row>
    <row r="26" spans="2:4" x14ac:dyDescent="0.35">
      <c r="B26" s="181" t="s">
        <v>247</v>
      </c>
      <c r="C26" s="181"/>
      <c r="D26" s="157"/>
    </row>
    <row r="27" spans="2:4" x14ac:dyDescent="0.35">
      <c r="B27" s="181" t="s">
        <v>248</v>
      </c>
      <c r="C27" s="181"/>
      <c r="D27" s="157"/>
    </row>
    <row r="28" spans="2:4" x14ac:dyDescent="0.35">
      <c r="B28" s="181" t="s">
        <v>249</v>
      </c>
      <c r="C28" s="181"/>
      <c r="D28" s="157"/>
    </row>
    <row r="29" spans="2:4" ht="66" customHeight="1" x14ac:dyDescent="0.35">
      <c r="B29" s="182" t="s">
        <v>250</v>
      </c>
      <c r="C29" s="182"/>
      <c r="D29" s="157"/>
    </row>
    <row r="30" spans="2:4" x14ac:dyDescent="0.35">
      <c r="B30" s="176"/>
      <c r="C30" s="176"/>
      <c r="D30" s="176"/>
    </row>
    <row r="31" spans="2:4" x14ac:dyDescent="0.35">
      <c r="B31" s="158" t="s">
        <v>251</v>
      </c>
      <c r="C31" s="159"/>
      <c r="D31" s="160"/>
    </row>
    <row r="32" spans="2:4" x14ac:dyDescent="0.35">
      <c r="B32" s="161" t="s">
        <v>252</v>
      </c>
      <c r="C32" s="162"/>
      <c r="D32" s="157"/>
    </row>
    <row r="33" spans="2:4" x14ac:dyDescent="0.35">
      <c r="B33" s="181" t="s">
        <v>253</v>
      </c>
      <c r="C33" s="181"/>
      <c r="D33" s="157"/>
    </row>
    <row r="34" spans="2:4" x14ac:dyDescent="0.35">
      <c r="B34" s="181" t="s">
        <v>254</v>
      </c>
      <c r="C34" s="181"/>
      <c r="D34" s="157"/>
    </row>
    <row r="35" spans="2:4" x14ac:dyDescent="0.35">
      <c r="B35" s="181" t="s">
        <v>249</v>
      </c>
      <c r="C35" s="181"/>
      <c r="D35" s="157"/>
    </row>
    <row r="36" spans="2:4" ht="63" customHeight="1" x14ac:dyDescent="0.35">
      <c r="B36" s="182" t="s">
        <v>255</v>
      </c>
      <c r="C36" s="182"/>
      <c r="D36" s="157"/>
    </row>
    <row r="37" spans="2:4" x14ac:dyDescent="0.35">
      <c r="B37" s="176"/>
      <c r="C37" s="176"/>
      <c r="D37" s="176"/>
    </row>
    <row r="38" spans="2:4" x14ac:dyDescent="0.35">
      <c r="B38" s="158" t="s">
        <v>256</v>
      </c>
      <c r="C38" s="159"/>
      <c r="D38" s="160"/>
    </row>
    <row r="39" spans="2:4" x14ac:dyDescent="0.35">
      <c r="B39" s="183"/>
      <c r="C39" s="183"/>
      <c r="D39" s="183"/>
    </row>
    <row r="40" spans="2:4" x14ac:dyDescent="0.35">
      <c r="B40" s="184" t="s">
        <v>261</v>
      </c>
      <c r="C40" s="184"/>
      <c r="D40" s="163"/>
    </row>
    <row r="41" spans="2:4" x14ac:dyDescent="0.35">
      <c r="B41" s="184" t="s">
        <v>257</v>
      </c>
      <c r="C41" s="184"/>
      <c r="D41" s="163"/>
    </row>
    <row r="42" spans="2:4" x14ac:dyDescent="0.35">
      <c r="B42" s="184" t="s">
        <v>258</v>
      </c>
      <c r="C42" s="184"/>
      <c r="D42" s="163"/>
    </row>
    <row r="43" spans="2:4" x14ac:dyDescent="0.35">
      <c r="B43" s="184" t="s">
        <v>259</v>
      </c>
      <c r="C43" s="184"/>
      <c r="D43" s="164"/>
    </row>
    <row r="44" spans="2:4" x14ac:dyDescent="0.35">
      <c r="B44" s="184" t="s">
        <v>260</v>
      </c>
      <c r="C44" s="184"/>
      <c r="D44" s="163"/>
    </row>
    <row r="45" spans="2:4" x14ac:dyDescent="0.35">
      <c r="B45" s="183"/>
      <c r="C45" s="183"/>
      <c r="D45" s="183"/>
    </row>
    <row r="46" spans="2:4" x14ac:dyDescent="0.35">
      <c r="B46" s="184" t="s">
        <v>261</v>
      </c>
      <c r="C46" s="184"/>
      <c r="D46" s="163"/>
    </row>
    <row r="47" spans="2:4" x14ac:dyDescent="0.35">
      <c r="B47" s="184" t="s">
        <v>257</v>
      </c>
      <c r="C47" s="184"/>
      <c r="D47" s="163"/>
    </row>
    <row r="48" spans="2:4" x14ac:dyDescent="0.35">
      <c r="B48" s="184" t="s">
        <v>258</v>
      </c>
      <c r="C48" s="184"/>
      <c r="D48" s="163"/>
    </row>
    <row r="49" spans="2:4" x14ac:dyDescent="0.35">
      <c r="B49" s="184" t="s">
        <v>259</v>
      </c>
      <c r="C49" s="184"/>
      <c r="D49" s="164"/>
    </row>
    <row r="50" spans="2:4" x14ac:dyDescent="0.35">
      <c r="B50" s="184" t="s">
        <v>260</v>
      </c>
      <c r="C50" s="184"/>
      <c r="D50" s="163"/>
    </row>
  </sheetData>
  <mergeCells count="37">
    <mergeCell ref="B49:C49"/>
    <mergeCell ref="B50:C50"/>
    <mergeCell ref="B44:C44"/>
    <mergeCell ref="B45:D45"/>
    <mergeCell ref="B46:C46"/>
    <mergeCell ref="B47:C47"/>
    <mergeCell ref="B48:C48"/>
    <mergeCell ref="B39:D39"/>
    <mergeCell ref="B40:C40"/>
    <mergeCell ref="B41:C41"/>
    <mergeCell ref="B42:C42"/>
    <mergeCell ref="B43:C43"/>
    <mergeCell ref="B33:C33"/>
    <mergeCell ref="B34:C34"/>
    <mergeCell ref="B35:C35"/>
    <mergeCell ref="B36:C36"/>
    <mergeCell ref="B37:D37"/>
    <mergeCell ref="B26:C26"/>
    <mergeCell ref="B27:C27"/>
    <mergeCell ref="B28:C28"/>
    <mergeCell ref="B29:C29"/>
    <mergeCell ref="B30:D30"/>
    <mergeCell ref="B19:C19"/>
    <mergeCell ref="B20:C20"/>
    <mergeCell ref="B21:C21"/>
    <mergeCell ref="B22:C22"/>
    <mergeCell ref="B23:D23"/>
    <mergeCell ref="B14:C14"/>
    <mergeCell ref="B15:D15"/>
    <mergeCell ref="B16:C16"/>
    <mergeCell ref="B17:C17"/>
    <mergeCell ref="B18:C18"/>
    <mergeCell ref="B2:D8"/>
    <mergeCell ref="B9:D9"/>
    <mergeCell ref="B11:C11"/>
    <mergeCell ref="B12:C12"/>
    <mergeCell ref="B13:C13"/>
  </mergeCells>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K50"/>
  <sheetViews>
    <sheetView showGridLines="0" topLeftCell="B10" zoomScale="94" zoomScaleNormal="94" workbookViewId="0">
      <selection activeCell="I49" sqref="I49"/>
    </sheetView>
  </sheetViews>
  <sheetFormatPr defaultColWidth="8.875" defaultRowHeight="17.25" x14ac:dyDescent="0.3"/>
  <cols>
    <col min="1" max="1" width="1.875" style="87" customWidth="1"/>
    <col min="2" max="2" width="9.5" style="87" customWidth="1"/>
    <col min="3" max="3" width="61.125" style="87" bestFit="1" customWidth="1"/>
    <col min="4" max="4" width="8.625" style="87" customWidth="1"/>
    <col min="5" max="5" width="6.25" style="87" customWidth="1"/>
    <col min="6" max="7" width="8.625" style="87" customWidth="1"/>
    <col min="8" max="1025" width="8.875" style="87" customWidth="1"/>
    <col min="1026" max="16384" width="8.875" style="85"/>
  </cols>
  <sheetData>
    <row r="2" spans="2:24" ht="18" x14ac:dyDescent="0.35">
      <c r="B2" s="167"/>
      <c r="C2" s="168" t="s">
        <v>293</v>
      </c>
      <c r="D2" s="89"/>
      <c r="E2" s="89"/>
      <c r="F2" s="89"/>
    </row>
    <row r="3" spans="2:24" ht="18" x14ac:dyDescent="0.35">
      <c r="B3" s="89"/>
      <c r="C3" s="89"/>
      <c r="D3" s="89"/>
      <c r="E3" s="89"/>
      <c r="F3" s="89"/>
    </row>
    <row r="4" spans="2:24" ht="18" x14ac:dyDescent="0.35">
      <c r="B4" s="186"/>
      <c r="C4" s="186"/>
      <c r="D4" s="186"/>
      <c r="E4" s="186"/>
      <c r="F4" s="186"/>
    </row>
    <row r="5" spans="2:24" ht="15.95" customHeight="1" x14ac:dyDescent="0.3">
      <c r="B5" s="169"/>
      <c r="C5" s="169"/>
      <c r="D5" s="169"/>
      <c r="E5" s="169"/>
      <c r="F5" s="169"/>
    </row>
    <row r="6" spans="2:24" ht="18.95" customHeight="1" x14ac:dyDescent="0.35">
      <c r="B6" s="170"/>
      <c r="C6" s="170"/>
      <c r="D6" s="170"/>
      <c r="E6" s="170"/>
      <c r="F6" s="170"/>
      <c r="G6" s="187" t="s">
        <v>262</v>
      </c>
      <c r="H6" s="187"/>
      <c r="I6" s="187"/>
      <c r="V6" s="187" t="s">
        <v>262</v>
      </c>
      <c r="W6" s="187"/>
      <c r="X6" s="187"/>
    </row>
    <row r="7" spans="2:24" ht="18" x14ac:dyDescent="0.35">
      <c r="B7" s="171"/>
      <c r="C7" s="171"/>
      <c r="D7" s="171"/>
      <c r="E7" s="171"/>
      <c r="F7" s="171"/>
    </row>
    <row r="8" spans="2:24" ht="15.95" customHeight="1" x14ac:dyDescent="0.3">
      <c r="B8" s="169"/>
      <c r="C8" s="169"/>
      <c r="D8" s="169"/>
      <c r="E8" s="169"/>
      <c r="F8" s="169"/>
      <c r="G8" s="188">
        <f>AVERAGE(G43:G50)*5</f>
        <v>0.625</v>
      </c>
      <c r="H8" s="188"/>
      <c r="I8" s="188"/>
      <c r="V8" s="188">
        <f>AVERAGE(K43:K50)*5</f>
        <v>0.625</v>
      </c>
      <c r="W8" s="188"/>
      <c r="X8" s="188"/>
    </row>
    <row r="9" spans="2:24" ht="90.95" customHeight="1" x14ac:dyDescent="0.35">
      <c r="B9" s="170"/>
      <c r="C9" s="170"/>
      <c r="D9" s="170"/>
      <c r="E9" s="170"/>
      <c r="F9" s="170"/>
      <c r="G9" s="188"/>
      <c r="H9" s="188"/>
      <c r="I9" s="188"/>
      <c r="V9" s="188"/>
      <c r="W9" s="188"/>
      <c r="X9" s="188"/>
    </row>
    <row r="10" spans="2:24" ht="16.5" customHeight="1" x14ac:dyDescent="0.35">
      <c r="B10" s="171"/>
      <c r="C10" s="171"/>
      <c r="D10" s="171"/>
      <c r="E10" s="171"/>
      <c r="F10" s="171"/>
      <c r="G10" s="188"/>
      <c r="H10" s="188"/>
      <c r="I10" s="188"/>
      <c r="V10" s="188"/>
      <c r="W10" s="188"/>
      <c r="X10" s="188"/>
    </row>
    <row r="11" spans="2:24" ht="17.25" customHeight="1" x14ac:dyDescent="0.35">
      <c r="B11" s="171"/>
      <c r="C11" s="171"/>
      <c r="D11" s="171"/>
      <c r="E11" s="171"/>
      <c r="F11" s="171"/>
      <c r="G11" s="188"/>
      <c r="H11" s="188"/>
      <c r="I11" s="188"/>
      <c r="V11" s="188"/>
      <c r="W11" s="188"/>
      <c r="X11" s="188"/>
    </row>
    <row r="12" spans="2:24" ht="15.95" customHeight="1" x14ac:dyDescent="0.3">
      <c r="B12" s="189"/>
      <c r="C12" s="189"/>
      <c r="D12" s="189"/>
      <c r="E12" s="189"/>
      <c r="F12" s="189"/>
    </row>
    <row r="13" spans="2:24" x14ac:dyDescent="0.3">
      <c r="B13" s="172"/>
      <c r="C13" s="172"/>
      <c r="D13" s="172"/>
      <c r="E13" s="172"/>
      <c r="F13" s="172"/>
    </row>
    <row r="14" spans="2:24" x14ac:dyDescent="0.3">
      <c r="B14" s="173"/>
      <c r="C14" s="173"/>
      <c r="D14" s="173"/>
      <c r="E14" s="173"/>
      <c r="F14" s="174"/>
    </row>
    <row r="15" spans="2:24" ht="18" x14ac:dyDescent="0.35">
      <c r="B15" s="171"/>
      <c r="C15" s="171"/>
      <c r="D15" s="171"/>
      <c r="E15" s="171"/>
      <c r="F15" s="171"/>
    </row>
    <row r="16" spans="2:24" ht="15.95" customHeight="1" x14ac:dyDescent="0.3">
      <c r="B16" s="189"/>
      <c r="C16" s="189"/>
      <c r="D16" s="189"/>
      <c r="E16" s="189"/>
      <c r="F16" s="189"/>
    </row>
    <row r="17" spans="2:6" x14ac:dyDescent="0.3">
      <c r="B17" s="172"/>
      <c r="C17" s="172"/>
      <c r="D17" s="172"/>
      <c r="E17" s="172"/>
      <c r="F17" s="172"/>
    </row>
    <row r="18" spans="2:6" x14ac:dyDescent="0.3">
      <c r="B18" s="173"/>
      <c r="C18" s="173"/>
      <c r="D18" s="173"/>
      <c r="E18" s="173"/>
      <c r="F18" s="174"/>
    </row>
    <row r="20" spans="2:6" x14ac:dyDescent="0.3">
      <c r="B20" s="87" t="s">
        <v>3</v>
      </c>
    </row>
    <row r="23" spans="2:6" x14ac:dyDescent="0.3">
      <c r="C23" s="86"/>
    </row>
    <row r="24" spans="2:6" x14ac:dyDescent="0.3">
      <c r="C24" s="86"/>
    </row>
    <row r="25" spans="2:6" x14ac:dyDescent="0.3">
      <c r="C25" s="86"/>
    </row>
    <row r="26" spans="2:6" x14ac:dyDescent="0.3">
      <c r="C26" s="86"/>
    </row>
    <row r="27" spans="2:6" x14ac:dyDescent="0.3">
      <c r="C27" s="86"/>
    </row>
    <row r="28" spans="2:6" x14ac:dyDescent="0.3">
      <c r="C28" s="86"/>
    </row>
    <row r="29" spans="2:6" x14ac:dyDescent="0.3">
      <c r="C29" s="86"/>
    </row>
    <row r="30" spans="2:6" x14ac:dyDescent="0.3">
      <c r="C30" s="86"/>
    </row>
    <row r="31" spans="2:6" x14ac:dyDescent="0.3">
      <c r="C31" s="86"/>
    </row>
    <row r="32" spans="2:6" x14ac:dyDescent="0.3">
      <c r="C32" s="86"/>
    </row>
    <row r="35" spans="3:11" ht="15.75" customHeight="1" x14ac:dyDescent="0.3"/>
    <row r="41" spans="3:11" ht="18" x14ac:dyDescent="0.35">
      <c r="C41" s="89"/>
      <c r="D41" s="185" t="s">
        <v>4</v>
      </c>
      <c r="E41" s="185"/>
      <c r="F41" s="185"/>
      <c r="G41" s="185"/>
      <c r="H41" s="185" t="s">
        <v>5</v>
      </c>
      <c r="I41" s="185"/>
      <c r="J41" s="185"/>
      <c r="K41" s="185"/>
    </row>
    <row r="42" spans="3:11" ht="18" x14ac:dyDescent="0.35">
      <c r="C42" s="89"/>
      <c r="D42" s="148" t="s">
        <v>313</v>
      </c>
      <c r="E42" s="148" t="s">
        <v>314</v>
      </c>
      <c r="F42" s="148" t="s">
        <v>6</v>
      </c>
      <c r="G42" s="148" t="s">
        <v>7</v>
      </c>
      <c r="H42" s="148" t="s">
        <v>313</v>
      </c>
      <c r="I42" s="148" t="s">
        <v>314</v>
      </c>
      <c r="J42" s="148" t="s">
        <v>6</v>
      </c>
      <c r="K42" s="148" t="s">
        <v>7</v>
      </c>
    </row>
    <row r="43" spans="3:11" ht="18" x14ac:dyDescent="0.35">
      <c r="C43" s="149" t="s">
        <v>294</v>
      </c>
      <c r="D43" s="150">
        <f>COUNTIFS('SR - Android'!G5:G16,'SR - Android'!B88)</f>
        <v>1</v>
      </c>
      <c r="E43" s="150">
        <f>COUNTIFS('SR - Android'!G5:G16,'SR - Android'!B89)</f>
        <v>0</v>
      </c>
      <c r="F43" s="151">
        <f>COUNTIFS('SR - Android'!G5:G16,'SR - Android'!B90)</f>
        <v>11</v>
      </c>
      <c r="G43" s="152">
        <f t="shared" ref="G43:G50" si="0">IF(D43+E43=0, 0, D43/(E43+D43))</f>
        <v>1</v>
      </c>
      <c r="H43" s="150">
        <f>COUNTIFS('SR - iOS'!G5:G16,'SR - Android'!B88)</f>
        <v>1</v>
      </c>
      <c r="I43" s="150">
        <f>COUNTIFS('SR - iOS'!G5:G16,'SR - Android'!B89)</f>
        <v>0</v>
      </c>
      <c r="J43" s="151">
        <f>COUNTIFS('SR - iOS'!G5:G16,'SR - Android'!B90)</f>
        <v>8</v>
      </c>
      <c r="K43" s="152">
        <f t="shared" ref="K43:K50" si="1">IF(H43+I43=0, 0, H43/(H43+I43))</f>
        <v>1</v>
      </c>
    </row>
    <row r="44" spans="3:11" ht="18" x14ac:dyDescent="0.35">
      <c r="C44" s="149" t="s">
        <v>295</v>
      </c>
      <c r="D44" s="150">
        <f>COUNTIFS('SR - Android'!G18:G32,'SR - Android'!B88)</f>
        <v>0</v>
      </c>
      <c r="E44" s="150">
        <f>COUNTIFS('SR - Android'!G18:G32,'SR - Android'!B89)</f>
        <v>0</v>
      </c>
      <c r="F44" s="150">
        <f>COUNTIFS('SR - Android'!G18:G32,'SR - Android'!B90)</f>
        <v>5</v>
      </c>
      <c r="G44" s="152">
        <f t="shared" si="0"/>
        <v>0</v>
      </c>
      <c r="H44" s="150">
        <f>COUNTIFS('SR - iOS'!G18:G32,'SR - Android'!B88)</f>
        <v>0</v>
      </c>
      <c r="I44" s="150">
        <f>COUNTIFS('SR - iOS'!G18:G32,'SR - Android'!B89)</f>
        <v>0</v>
      </c>
      <c r="J44" s="150">
        <f>COUNTIFS('SR - iOS'!G18:G32,'SR - Android'!B90)</f>
        <v>5</v>
      </c>
      <c r="K44" s="152">
        <f t="shared" si="1"/>
        <v>0</v>
      </c>
    </row>
    <row r="45" spans="3:11" ht="18" x14ac:dyDescent="0.35">
      <c r="C45" s="149" t="s">
        <v>296</v>
      </c>
      <c r="D45" s="150">
        <f>COUNTIFS('SR - Android'!G34:G39,'SR - Android'!B88)</f>
        <v>0</v>
      </c>
      <c r="E45" s="150">
        <f>COUNTIFS('SR - Android'!G34:G39,'SR - Android'!B89)</f>
        <v>0</v>
      </c>
      <c r="F45" s="150">
        <f>COUNTIFS('SR - Android'!G34:G39,'SR - Android'!B90)</f>
        <v>0</v>
      </c>
      <c r="G45" s="152">
        <f t="shared" si="0"/>
        <v>0</v>
      </c>
      <c r="H45" s="150">
        <f>COUNTIFS('SR - iOS'!G34:G39,'SR - Android'!B88)</f>
        <v>0</v>
      </c>
      <c r="I45" s="150">
        <f>COUNTIFS('SR - iOS'!G34:G39,'SR - Android'!B89)</f>
        <v>0</v>
      </c>
      <c r="J45" s="150">
        <f>COUNTIFS('SR - iOS'!G34:G39,'SR - Android'!B90)</f>
        <v>0</v>
      </c>
      <c r="K45" s="152">
        <f t="shared" si="1"/>
        <v>0</v>
      </c>
    </row>
    <row r="46" spans="3:11" ht="18" x14ac:dyDescent="0.35">
      <c r="C46" s="149" t="s">
        <v>297</v>
      </c>
      <c r="D46" s="150">
        <f>COUNTIFS('SR - Android'!G41:G52,'SR - Android'!B88)</f>
        <v>0</v>
      </c>
      <c r="E46" s="150">
        <f>COUNTIFS('SR - Android'!G41:G52,'SR - Android'!B89)</f>
        <v>0</v>
      </c>
      <c r="F46" s="150">
        <f>COUNTIFS('SR - Android'!G41:G52,'SR - Android'!B90)</f>
        <v>4</v>
      </c>
      <c r="G46" s="152">
        <f t="shared" si="0"/>
        <v>0</v>
      </c>
      <c r="H46" s="150">
        <f>COUNTIFS('SR - iOS'!G41:G52,'SR - Android'!B88)</f>
        <v>0</v>
      </c>
      <c r="I46" s="150">
        <f>COUNTIFS('SR - iOS'!G41:G52,'SR - Android'!B89)</f>
        <v>0</v>
      </c>
      <c r="J46" s="150">
        <f>COUNTIFS('SR - iOS'!G41:G52,'SR - Android'!B90)</f>
        <v>4</v>
      </c>
      <c r="K46" s="152">
        <f t="shared" si="1"/>
        <v>0</v>
      </c>
    </row>
    <row r="47" spans="3:11" ht="18" x14ac:dyDescent="0.35">
      <c r="C47" s="149" t="s">
        <v>298</v>
      </c>
      <c r="D47" s="150">
        <f>COUNTIFS('SR - Android'!G54:G59,'SR - Android'!B88)</f>
        <v>0</v>
      </c>
      <c r="E47" s="150">
        <f>COUNTIFS('SR - Android'!G54:G59,'SR - Android'!B89)</f>
        <v>0</v>
      </c>
      <c r="F47" s="150">
        <f>COUNTIFS('SR - Android'!G54:G59,'SR - Android'!B90)</f>
        <v>3</v>
      </c>
      <c r="G47" s="152">
        <f t="shared" si="0"/>
        <v>0</v>
      </c>
      <c r="H47" s="150">
        <f>COUNTIFS('SR - iOS'!G54:G59,'SR - Android'!B88)</f>
        <v>0</v>
      </c>
      <c r="I47" s="150">
        <f>COUNTIFS('SR - iOS'!G54:G59,'SR - Android'!B89)</f>
        <v>0</v>
      </c>
      <c r="J47" s="150">
        <f>COUNTIFS('SR - iOS'!G54:G59,'SR - Android'!B90)</f>
        <v>3</v>
      </c>
      <c r="K47" s="152">
        <f t="shared" si="1"/>
        <v>0</v>
      </c>
    </row>
    <row r="48" spans="3:11" ht="18" x14ac:dyDescent="0.35">
      <c r="C48" s="149" t="s">
        <v>299</v>
      </c>
      <c r="D48" s="150">
        <f>COUNTIFS('SR - Android'!G61:G71,'SR - Android'!B88)</f>
        <v>0</v>
      </c>
      <c r="E48" s="150">
        <f>COUNTIFS('SR - Android'!G61:G71,'SR - Android'!B89)</f>
        <v>0</v>
      </c>
      <c r="F48" s="150">
        <f>COUNTIFS('SR - Android'!G61:G71,'SR - Android'!B90)</f>
        <v>0</v>
      </c>
      <c r="G48" s="152">
        <f t="shared" si="0"/>
        <v>0</v>
      </c>
      <c r="H48" s="150">
        <f>COUNTIFS('SR - iOS'!G61:G68,'SR - Android'!B88)</f>
        <v>0</v>
      </c>
      <c r="I48" s="150">
        <f>COUNTIFS('SR - iOS'!G61:G68,'SR - Android'!B89)</f>
        <v>0</v>
      </c>
      <c r="J48" s="150">
        <f>COUNTIFS('SR - iOS'!G61:G68,'SR - Android'!B90)</f>
        <v>0</v>
      </c>
      <c r="K48" s="152">
        <f t="shared" si="1"/>
        <v>0</v>
      </c>
    </row>
    <row r="49" spans="3:11" ht="18" x14ac:dyDescent="0.35">
      <c r="C49" s="149" t="s">
        <v>300</v>
      </c>
      <c r="D49" s="150">
        <f>COUNTIFS('SR - Android'!G73:G81,'SR - Android'!B88)</f>
        <v>0</v>
      </c>
      <c r="E49" s="150">
        <f>COUNTIFS('SR - Android'!G73:G81,'SR - Android'!B89)</f>
        <v>0</v>
      </c>
      <c r="F49" s="150">
        <f>COUNTIFS('SR - Android'!G73:G81,'SR - Android'!B90)</f>
        <v>0</v>
      </c>
      <c r="G49" s="152">
        <f t="shared" si="0"/>
        <v>0</v>
      </c>
      <c r="H49" s="150">
        <f>COUNTIFS('SR - iOS'!G70:G78,'SR - Android'!B88)</f>
        <v>0</v>
      </c>
      <c r="I49" s="150">
        <f>COUNTIFS('SR - iOS'!G70:G78,'SR - Android'!B89)</f>
        <v>0</v>
      </c>
      <c r="J49" s="150">
        <f>COUNTIFS('SR - iOS'!G70:G78,'SR - Android'!B90)</f>
        <v>0</v>
      </c>
      <c r="K49" s="152">
        <f t="shared" si="1"/>
        <v>0</v>
      </c>
    </row>
    <row r="50" spans="3:11" ht="18" x14ac:dyDescent="0.35">
      <c r="C50" s="149" t="s">
        <v>301</v>
      </c>
      <c r="D50" s="150">
        <f>COUNTIFS('RE - Android'!F4:F20,'SR - Android'!B88)</f>
        <v>0</v>
      </c>
      <c r="E50" s="150">
        <f>COUNTIFS('RE - Android'!F4:F20,'SR - Android'!B89)</f>
        <v>0</v>
      </c>
      <c r="F50" s="150">
        <f>COUNTIFS('RE - Android'!F4:F20,'SR - Android'!B90)</f>
        <v>13</v>
      </c>
      <c r="G50" s="152">
        <f t="shared" si="0"/>
        <v>0</v>
      </c>
      <c r="H50" s="150">
        <f>COUNTIFS('RE - iOS'!F4:F18,'SR - Android'!B88)</f>
        <v>0</v>
      </c>
      <c r="I50" s="150">
        <f>COUNTIFS('RE - iOS'!F4:F18,'SR - Android'!B89)</f>
        <v>0</v>
      </c>
      <c r="J50" s="150">
        <f>COUNTIFS('RE - iOS'!F4:F18,'SR - Android'!B90)</f>
        <v>12</v>
      </c>
      <c r="K50" s="152">
        <f t="shared" si="1"/>
        <v>0</v>
      </c>
    </row>
  </sheetData>
  <mergeCells count="9">
    <mergeCell ref="D41:G41"/>
    <mergeCell ref="H41:K41"/>
    <mergeCell ref="B4:F4"/>
    <mergeCell ref="G6:I6"/>
    <mergeCell ref="V6:X6"/>
    <mergeCell ref="G8:I11"/>
    <mergeCell ref="V8:X11"/>
    <mergeCell ref="B12:F12"/>
    <mergeCell ref="B16:F16"/>
  </mergeCells>
  <conditionalFormatting sqref="F14">
    <cfRule type="iconSet" priority="2">
      <iconSet>
        <cfvo type="percent" val="0"/>
        <cfvo type="num" val="0.4"/>
        <cfvo type="num" val="0.8"/>
      </iconSet>
    </cfRule>
  </conditionalFormatting>
  <conditionalFormatting sqref="F14">
    <cfRule type="expression" dxfId="13" priority="3">
      <formula>MOD(ROW(),2)=1</formula>
    </cfRule>
  </conditionalFormatting>
  <conditionalFormatting sqref="F18">
    <cfRule type="iconSet" priority="4">
      <iconSet>
        <cfvo type="percent" val="0"/>
        <cfvo type="num" val="0.4"/>
        <cfvo type="num" val="0.8"/>
      </iconSet>
    </cfRule>
  </conditionalFormatting>
  <conditionalFormatting sqref="F18">
    <cfRule type="expression" dxfId="12" priority="5">
      <formula>MOD(ROW(),2)=1</formula>
    </cfRule>
  </conditionalFormatting>
  <pageMargins left="0.7" right="0.7" top="0.75" bottom="0.75" header="0.51180555555555496" footer="0.51180555555555496"/>
  <pageSetup paperSize="9" firstPageNumber="0"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L90"/>
  <sheetViews>
    <sheetView zoomScaleNormal="100" workbookViewId="0">
      <selection activeCell="E69" sqref="E69"/>
    </sheetView>
  </sheetViews>
  <sheetFormatPr defaultColWidth="8.875" defaultRowHeight="16.5" x14ac:dyDescent="0.35"/>
  <cols>
    <col min="1" max="1" width="1.875" style="88" customWidth="1"/>
    <col min="2" max="2" width="8" style="90" customWidth="1"/>
    <col min="3" max="3" width="20.625" style="90" customWidth="1"/>
    <col min="4" max="4" width="97.375" style="91" customWidth="1"/>
    <col min="5" max="6" width="6.625" style="88" customWidth="1"/>
    <col min="7" max="7" width="5.875" style="88" customWidth="1"/>
    <col min="8" max="8" width="35.375" style="89" customWidth="1"/>
    <col min="9" max="10" width="29.5" style="89" customWidth="1"/>
    <col min="11" max="11" width="28.75" style="89" customWidth="1"/>
    <col min="12" max="12" width="30.875" style="91" customWidth="1"/>
    <col min="13" max="13" width="11" style="88" customWidth="1"/>
    <col min="14" max="15" width="10.875" style="88" customWidth="1"/>
    <col min="16" max="1026" width="11" style="88" customWidth="1"/>
    <col min="1027" max="16384" width="8.875" style="89"/>
  </cols>
  <sheetData>
    <row r="1" spans="2:12" x14ac:dyDescent="0.35">
      <c r="B1" s="190" t="s">
        <v>292</v>
      </c>
      <c r="C1" s="190"/>
      <c r="D1" s="190"/>
      <c r="E1" s="190"/>
      <c r="F1" s="190"/>
      <c r="G1" s="190"/>
      <c r="H1" s="190"/>
      <c r="I1" s="190"/>
      <c r="J1" s="190"/>
      <c r="K1" s="190"/>
      <c r="L1" s="190"/>
    </row>
    <row r="3" spans="2:12" ht="15.6" customHeight="1" x14ac:dyDescent="0.35">
      <c r="B3" s="92" t="s">
        <v>8</v>
      </c>
      <c r="C3" s="93" t="s">
        <v>9</v>
      </c>
      <c r="D3" s="94" t="s">
        <v>357</v>
      </c>
      <c r="E3" s="95" t="s">
        <v>302</v>
      </c>
      <c r="F3" s="95" t="s">
        <v>303</v>
      </c>
      <c r="G3" s="95" t="s">
        <v>304</v>
      </c>
      <c r="H3" s="191" t="s">
        <v>310</v>
      </c>
      <c r="I3" s="191"/>
      <c r="J3" s="191"/>
      <c r="K3" s="96" t="s">
        <v>311</v>
      </c>
      <c r="L3" s="97" t="s">
        <v>312</v>
      </c>
    </row>
    <row r="4" spans="2:12" ht="33" x14ac:dyDescent="0.35">
      <c r="B4" s="98" t="s">
        <v>15</v>
      </c>
      <c r="C4" s="99"/>
      <c r="D4" s="100" t="s">
        <v>356</v>
      </c>
      <c r="E4" s="101"/>
      <c r="F4" s="101"/>
      <c r="G4" s="101"/>
      <c r="H4" s="100"/>
      <c r="I4" s="100"/>
      <c r="J4" s="100"/>
      <c r="K4" s="102"/>
      <c r="L4" s="103"/>
    </row>
    <row r="5" spans="2:12" ht="45" customHeight="1" x14ac:dyDescent="0.35">
      <c r="B5" s="104" t="s">
        <v>16</v>
      </c>
      <c r="C5" s="105" t="s">
        <v>17</v>
      </c>
      <c r="D5" s="106" t="s">
        <v>321</v>
      </c>
      <c r="E5" s="107" t="s">
        <v>18</v>
      </c>
      <c r="F5" s="108" t="s">
        <v>18</v>
      </c>
      <c r="G5" s="109" t="s">
        <v>149</v>
      </c>
      <c r="H5" s="110" t="str">
        <f>HYPERLINK(CONCATENATE( BASE_URL, "0x04b-Mobile-App-Security-Testing.md#architectural-information"), "架构信息")</f>
        <v>架构信息</v>
      </c>
      <c r="I5" s="110" t="str">
        <f>HYPERLINK(CONCATENATE( BASE_URL, "0x05h-Testing-Platform-Interaction.md#testing-for-insecure-configuration-of-instant-apps-mstg-arch-1-mstg-arch-7"), "测试即时应用程序的不安全配置 (MSTG-ARCH-1, MSTG-ARCH-7)")</f>
        <v>测试即时应用程序的不安全配置 (MSTG-ARCH-1, MSTG-ARCH-7)</v>
      </c>
      <c r="J5" s="110"/>
      <c r="K5" s="111"/>
      <c r="L5" s="112"/>
    </row>
    <row r="6" spans="2:12" ht="45" customHeight="1" x14ac:dyDescent="0.35">
      <c r="B6" s="104" t="s">
        <v>19</v>
      </c>
      <c r="C6" s="105" t="s">
        <v>20</v>
      </c>
      <c r="D6" s="106" t="s">
        <v>322</v>
      </c>
      <c r="E6" s="107" t="s">
        <v>18</v>
      </c>
      <c r="F6" s="108" t="s">
        <v>18</v>
      </c>
      <c r="G6" s="109" t="s">
        <v>27</v>
      </c>
      <c r="H6" s="114" t="str">
        <f>HYPERLINK(CONCATENATE( BASE_URL, "0x04h-Testing-Code-Quality.md#injection-flaws-mstg-arch-2-and-mstg-platform-2"), "注入缺陷")</f>
        <v>注入缺陷</v>
      </c>
      <c r="I6" s="110" t="str">
        <f>HYPERLINK(CONCATENATE(BASE_URL,"0x04e-Testing-Authentication-and-Session-Management.md#verifying-that-appropriate-authentication-is-in-place-mstg-arch-2-and-mstg-auth-1"),"验证适当的身份验证是否到位 (MSTG-ARCH-2 and MSTG-AUTH-1)")</f>
        <v>验证适当的身份验证是否到位 (MSTG-ARCH-2 and MSTG-AUTH-1)</v>
      </c>
      <c r="J6" s="110"/>
      <c r="K6" s="111"/>
      <c r="L6" s="112"/>
    </row>
    <row r="7" spans="2:12" ht="45" customHeight="1" x14ac:dyDescent="0.35">
      <c r="B7" s="104" t="s">
        <v>21</v>
      </c>
      <c r="C7" s="105" t="s">
        <v>22</v>
      </c>
      <c r="D7" s="106" t="s">
        <v>323</v>
      </c>
      <c r="E7" s="107" t="s">
        <v>18</v>
      </c>
      <c r="F7" s="108" t="s">
        <v>18</v>
      </c>
      <c r="G7" s="109" t="s">
        <v>27</v>
      </c>
      <c r="H7" s="110" t="str">
        <f>HYPERLINK(CONCATENATE( BASE_URL, "0x04b-Mobile-App-Security-Testing.md#architectural-information"), "架构信息")</f>
        <v>架构信息</v>
      </c>
      <c r="I7" s="110"/>
      <c r="J7" s="110"/>
      <c r="K7" s="111"/>
      <c r="L7" s="112"/>
    </row>
    <row r="8" spans="2:12" ht="45" customHeight="1" x14ac:dyDescent="0.35">
      <c r="B8" s="104" t="s">
        <v>23</v>
      </c>
      <c r="C8" s="105" t="s">
        <v>24</v>
      </c>
      <c r="D8" s="106" t="s">
        <v>324</v>
      </c>
      <c r="E8" s="107" t="s">
        <v>18</v>
      </c>
      <c r="F8" s="108" t="s">
        <v>18</v>
      </c>
      <c r="G8" s="109" t="s">
        <v>27</v>
      </c>
      <c r="H8" s="110" t="str">
        <f>HYPERLINK(CONCATENATE( BASE_URL, "0x04b-Mobile-App-Security-Testing.md#identifying-sensitive-data"), "识别敏感信息")</f>
        <v>识别敏感信息</v>
      </c>
      <c r="I8" s="110"/>
      <c r="J8" s="110"/>
      <c r="K8" s="111"/>
      <c r="L8" s="112"/>
    </row>
    <row r="9" spans="2:12" ht="45" customHeight="1" x14ac:dyDescent="0.35">
      <c r="B9" s="104" t="s">
        <v>25</v>
      </c>
      <c r="C9" s="105" t="s">
        <v>26</v>
      </c>
      <c r="D9" s="106" t="s">
        <v>325</v>
      </c>
      <c r="E9" s="113"/>
      <c r="F9" s="108" t="s">
        <v>18</v>
      </c>
      <c r="G9" s="109" t="s">
        <v>27</v>
      </c>
      <c r="H9" s="110" t="str">
        <f>HYPERLINK(CONCATENATE( BASE_URL, "0x04b-Mobile-App-Security-Testing.md#environmental-information"), "运行环境信息")</f>
        <v>运行环境信息</v>
      </c>
      <c r="I9" s="110"/>
      <c r="J9" s="110"/>
      <c r="K9" s="111"/>
      <c r="L9" s="112"/>
    </row>
    <row r="10" spans="2:12" ht="45" customHeight="1" x14ac:dyDescent="0.35">
      <c r="B10" s="104" t="s">
        <v>28</v>
      </c>
      <c r="C10" s="105" t="s">
        <v>29</v>
      </c>
      <c r="D10" s="106" t="s">
        <v>326</v>
      </c>
      <c r="E10" s="113"/>
      <c r="F10" s="108" t="s">
        <v>18</v>
      </c>
      <c r="G10" s="109" t="s">
        <v>27</v>
      </c>
      <c r="H10" s="110" t="str">
        <f>HYPERLINK(CONCATENATE( BASE_URL, "0x04b-Mobile-App-Security-Testing.md#mapping-the-application"), "应用关联")</f>
        <v>应用关联</v>
      </c>
      <c r="I10" s="110"/>
      <c r="J10" s="110"/>
      <c r="K10" s="111"/>
      <c r="L10" s="112"/>
    </row>
    <row r="11" spans="2:12" ht="45" customHeight="1" x14ac:dyDescent="0.35">
      <c r="B11" s="104" t="s">
        <v>30</v>
      </c>
      <c r="C11" s="105" t="s">
        <v>31</v>
      </c>
      <c r="D11" s="106" t="s">
        <v>327</v>
      </c>
      <c r="E11" s="113"/>
      <c r="F11" s="108" t="s">
        <v>18</v>
      </c>
      <c r="G11" s="109" t="s">
        <v>27</v>
      </c>
      <c r="H11" s="114" t="str">
        <f>HYPERLINK(CONCATENATE(BASE_URL,"0x05h-Testing-Platform-Interaction.md#testing-for-insecure-configuration-of-instant-apps-mstg-arch-1-mstg-arch-7"),"测试即时应用程序的不安全配置")</f>
        <v>测试即时应用程序的不安全配置</v>
      </c>
      <c r="I11" s="110" t="str">
        <f>HYPERLINK(CONCATENATE( BASE_URL, "0x04b-Mobile-App-Security-Testing.md#principles-of-testing"), "测试原则")</f>
        <v>测试原则</v>
      </c>
      <c r="J11" s="114" t="str">
        <f>HYPERLINK(CONCATENATE( BASE_URL, "0x04b-Mobile-App-Security-Testing.md#penetration-testing-aka-pentesting"), "渗透测试 (a.k.a. Pentesting)")</f>
        <v>渗透测试 (a.k.a. Pentesting)</v>
      </c>
      <c r="K11" s="111"/>
      <c r="L11" s="112"/>
    </row>
    <row r="12" spans="2:12" ht="45" customHeight="1" x14ac:dyDescent="0.35">
      <c r="B12" s="104" t="s">
        <v>32</v>
      </c>
      <c r="C12" s="105" t="s">
        <v>33</v>
      </c>
      <c r="D12" s="106" t="s">
        <v>328</v>
      </c>
      <c r="E12" s="113"/>
      <c r="F12" s="108" t="s">
        <v>18</v>
      </c>
      <c r="G12" s="109" t="s">
        <v>27</v>
      </c>
      <c r="H12" s="110" t="str">
        <f>HYPERLINK(CONCATENATE( BASE_URL, "0x04g-Testing-Cryptography.md#cryptographic-policy"), "加密策略")</f>
        <v>加密策略</v>
      </c>
      <c r="I12" s="110"/>
      <c r="J12" s="110"/>
      <c r="K12" s="111"/>
      <c r="L12" s="112"/>
    </row>
    <row r="13" spans="2:12" ht="45" customHeight="1" x14ac:dyDescent="0.35">
      <c r="B13" s="104" t="s">
        <v>34</v>
      </c>
      <c r="C13" s="105" t="s">
        <v>35</v>
      </c>
      <c r="D13" s="106" t="s">
        <v>329</v>
      </c>
      <c r="E13" s="113"/>
      <c r="F13" s="108" t="s">
        <v>18</v>
      </c>
      <c r="G13" s="109" t="s">
        <v>27</v>
      </c>
      <c r="H13" s="110" t="str">
        <f>HYPERLINK(CONCATENATE( BASE_URL, "0x05h-Testing-Platform-Interaction.md#testing-enforced-updating-mstg-arch-9"), "强制更新测试 (MSTG-ARCH-9)")</f>
        <v>强制更新测试 (MSTG-ARCH-9)</v>
      </c>
      <c r="I13" s="110"/>
      <c r="J13" s="110"/>
      <c r="K13" s="111"/>
      <c r="L13" s="112"/>
    </row>
    <row r="14" spans="2:12" ht="45" customHeight="1" x14ac:dyDescent="0.35">
      <c r="B14" s="104" t="s">
        <v>36</v>
      </c>
      <c r="C14" s="105" t="s">
        <v>37</v>
      </c>
      <c r="D14" s="106" t="s">
        <v>330</v>
      </c>
      <c r="E14" s="113"/>
      <c r="F14" s="108" t="s">
        <v>18</v>
      </c>
      <c r="G14" s="109" t="s">
        <v>27</v>
      </c>
      <c r="H14" s="110" t="str">
        <f>HYPERLINK(CONCATENATE( BASE_URL, "0x04b-Mobile-App-Security-Testing.md#security-testing-and-the-sdlc"), "安全测试 和 软件开发生命周期")</f>
        <v>安全测试 和 软件开发生命周期</v>
      </c>
      <c r="I14" s="110"/>
      <c r="J14" s="110"/>
      <c r="K14" s="111"/>
      <c r="L14" s="112"/>
    </row>
    <row r="15" spans="2:12" ht="45" customHeight="1" x14ac:dyDescent="0.35">
      <c r="B15" s="104" t="s">
        <v>305</v>
      </c>
      <c r="C15" s="105" t="s">
        <v>307</v>
      </c>
      <c r="D15" s="106" t="s">
        <v>331</v>
      </c>
      <c r="E15" s="113"/>
      <c r="F15" s="108" t="s">
        <v>18</v>
      </c>
      <c r="G15" s="109" t="s">
        <v>27</v>
      </c>
      <c r="H15" s="110"/>
      <c r="I15" s="110"/>
      <c r="J15" s="110"/>
      <c r="K15" s="111"/>
      <c r="L15" s="115"/>
    </row>
    <row r="16" spans="2:12" ht="45" customHeight="1" x14ac:dyDescent="0.35">
      <c r="B16" s="104" t="s">
        <v>306</v>
      </c>
      <c r="C16" s="105" t="s">
        <v>308</v>
      </c>
      <c r="D16" s="106" t="s">
        <v>332</v>
      </c>
      <c r="E16" s="113"/>
      <c r="F16" s="108" t="s">
        <v>18</v>
      </c>
      <c r="G16" s="109" t="s">
        <v>27</v>
      </c>
      <c r="H16" s="110"/>
      <c r="I16" s="110"/>
      <c r="J16" s="110"/>
      <c r="K16" s="111" t="s">
        <v>309</v>
      </c>
      <c r="L16" s="115"/>
    </row>
    <row r="17" spans="2:12" ht="33" x14ac:dyDescent="0.35">
      <c r="B17" s="116" t="s">
        <v>38</v>
      </c>
      <c r="C17" s="117"/>
      <c r="D17" s="118" t="s">
        <v>355</v>
      </c>
      <c r="E17" s="119"/>
      <c r="F17" s="120"/>
      <c r="G17" s="119"/>
      <c r="H17" s="121"/>
      <c r="I17" s="119"/>
      <c r="J17" s="119"/>
      <c r="K17" s="119"/>
      <c r="L17" s="122"/>
    </row>
    <row r="18" spans="2:12" ht="45" customHeight="1" x14ac:dyDescent="0.35">
      <c r="B18" s="104" t="s">
        <v>39</v>
      </c>
      <c r="C18" s="105" t="s">
        <v>40</v>
      </c>
      <c r="D18" s="106" t="s">
        <v>333</v>
      </c>
      <c r="E18" s="107" t="s">
        <v>18</v>
      </c>
      <c r="F18" s="108" t="s">
        <v>18</v>
      </c>
      <c r="G18" s="109"/>
      <c r="H18" s="110" t="str">
        <f>HYPERLINK(CONCATENATE(BASE_URL,"0x05d-Testing-Data-Storage.md#testing-local-storage-for-sensitive-data-mstg-storage-1-and-mstg-storage-2"),"本地存储中的敏感数据测试 (MSTG-STORAGE-1 and MSTG-STORAGE-2)")</f>
        <v>本地存储中的敏感数据测试 (MSTG-STORAGE-1 and MSTG-STORAGE-2)</v>
      </c>
      <c r="I18" s="110" t="str">
        <f>HYPERLINK(CONCATENATE(BASE_URL,"0x05e-Testing-Cryptography.md#testing-key-management-mstg-storage-1-mstg-crypto-1-and-mstg-crypto-5"),"测试密钥管理 (MSTG-STORAGE-1, MSTG-CRYPTO-1 and MSTG-CRYPTO-5)")</f>
        <v>测试密钥管理 (MSTG-STORAGE-1, MSTG-CRYPTO-1 and MSTG-CRYPTO-5)</v>
      </c>
      <c r="J18" s="110"/>
      <c r="K18" s="111"/>
      <c r="L18" s="112"/>
    </row>
    <row r="19" spans="2:12" ht="45" customHeight="1" x14ac:dyDescent="0.35">
      <c r="B19" s="104" t="s">
        <v>41</v>
      </c>
      <c r="C19" s="105" t="s">
        <v>42</v>
      </c>
      <c r="D19" s="106" t="s">
        <v>334</v>
      </c>
      <c r="E19" s="107" t="s">
        <v>18</v>
      </c>
      <c r="F19" s="108" t="s">
        <v>18</v>
      </c>
      <c r="G19" s="109"/>
      <c r="H19" s="110" t="str">
        <f>HYPERLINK(CONCATENATE(BASE_URL,"0x05d-Testing-Data-Storage.md#testing-local-storage-for-sensitive-data-mstg-storage-1-and-mstg-storage-2"),"本地存储中的敏感数据测试 (MSTG-STORAGE-1 and MSTG-STORAGE-2)")</f>
        <v>本地存储中的敏感数据测试 (MSTG-STORAGE-1 and MSTG-STORAGE-2)</v>
      </c>
      <c r="I19" s="110"/>
      <c r="J19" s="110"/>
      <c r="K19" s="111"/>
      <c r="L19" s="123"/>
    </row>
    <row r="20" spans="2:12" ht="45" customHeight="1" x14ac:dyDescent="0.35">
      <c r="B20" s="104" t="s">
        <v>43</v>
      </c>
      <c r="C20" s="105" t="s">
        <v>44</v>
      </c>
      <c r="D20" s="106" t="s">
        <v>335</v>
      </c>
      <c r="E20" s="107" t="s">
        <v>18</v>
      </c>
      <c r="F20" s="108" t="s">
        <v>18</v>
      </c>
      <c r="G20" s="109"/>
      <c r="H20" s="110" t="str">
        <f>HYPERLINK(CONCATENATE(BASE_URL,"0x05d-Testing-Data-Storage.md#testing-logs-for-sensitive-data-mstg-storage-3"),"日志中获取敏感数据测试 (MSTG-STORAGE-3)")</f>
        <v>日志中获取敏感数据测试 (MSTG-STORAGE-3)</v>
      </c>
      <c r="I20" s="110"/>
      <c r="J20" s="110"/>
      <c r="K20" s="111"/>
      <c r="L20" s="112"/>
    </row>
    <row r="21" spans="2:12" ht="45" customHeight="1" x14ac:dyDescent="0.35">
      <c r="B21" s="104" t="s">
        <v>45</v>
      </c>
      <c r="C21" s="105" t="s">
        <v>46</v>
      </c>
      <c r="D21" s="106" t="s">
        <v>336</v>
      </c>
      <c r="E21" s="107" t="s">
        <v>18</v>
      </c>
      <c r="F21" s="108" t="s">
        <v>18</v>
      </c>
      <c r="G21" s="109"/>
      <c r="H21" s="110" t="str">
        <f>HYPERLINK(CONCATENATE(BASE_URL,"0x05d-Testing-Data-Storage.md#determining-whether-sensitive-data-is-sent-to-third-parties-mstg-storage-4"),"确定是否将敏感数据发送给第三方 (MSTG-STORAGE-4)")</f>
        <v>确定是否将敏感数据发送给第三方 (MSTG-STORAGE-4)</v>
      </c>
      <c r="I21" s="110"/>
      <c r="J21" s="110"/>
      <c r="K21" s="111"/>
      <c r="L21" s="112"/>
    </row>
    <row r="22" spans="2:12" ht="45" customHeight="1" x14ac:dyDescent="0.35">
      <c r="B22" s="104" t="s">
        <v>47</v>
      </c>
      <c r="C22" s="105" t="s">
        <v>48</v>
      </c>
      <c r="D22" s="124" t="s">
        <v>337</v>
      </c>
      <c r="E22" s="107" t="s">
        <v>18</v>
      </c>
      <c r="F22" s="108" t="s">
        <v>18</v>
      </c>
      <c r="G22" s="109"/>
      <c r="H22" s="110" t="str">
        <f>HYPERLINK(CONCATENATE(BASE_URL,"0x05d-Testing-Data-Storage.md#determining-whether-the-keyboard-cache-is-disabled-for-text-input-fields-mstg-storage-5"),"确定是否为文本输入字段禁用了键盘缓存 (MSTG-STORAGE-5)")</f>
        <v>确定是否为文本输入字段禁用了键盘缓存 (MSTG-STORAGE-5)</v>
      </c>
      <c r="I22" s="110"/>
      <c r="J22" s="110"/>
      <c r="K22" s="111"/>
      <c r="L22" s="112"/>
    </row>
    <row r="23" spans="2:12" ht="45" customHeight="1" x14ac:dyDescent="0.35">
      <c r="B23" s="104" t="s">
        <v>49</v>
      </c>
      <c r="C23" s="105" t="s">
        <v>50</v>
      </c>
      <c r="D23" s="124" t="s">
        <v>338</v>
      </c>
      <c r="E23" s="107" t="s">
        <v>18</v>
      </c>
      <c r="F23" s="108" t="s">
        <v>18</v>
      </c>
      <c r="G23" s="109"/>
      <c r="H23" s="110" t="str">
        <f>HYPERLINK(CONCATENATE(BASE_URL,"0x05d-Testing-Data-Storage.md#determining-whether-sensitive-stored-data-has-been-exposed-via-ipc-mechanisms-mstg-storage-6"),"确定是否已通过IPC机制公开了敏感的存储数据 (MSTG-STORAGE-6)")</f>
        <v>确定是否已通过IPC机制公开了敏感的存储数据 (MSTG-STORAGE-6)</v>
      </c>
      <c r="I23" s="110"/>
      <c r="J23" s="110"/>
      <c r="K23" s="111"/>
      <c r="L23" s="112"/>
    </row>
    <row r="24" spans="2:12" ht="45" customHeight="1" x14ac:dyDescent="0.35">
      <c r="B24" s="104" t="s">
        <v>51</v>
      </c>
      <c r="C24" s="105" t="s">
        <v>52</v>
      </c>
      <c r="D24" s="124" t="s">
        <v>339</v>
      </c>
      <c r="E24" s="107" t="s">
        <v>18</v>
      </c>
      <c r="F24" s="108" t="s">
        <v>18</v>
      </c>
      <c r="G24" s="109"/>
      <c r="H24" s="110" t="str">
        <f>HYPERLINK(CONCATENATE(BASE_URL,"0x05d-Testing-Data-Storage.md#checking-for-sensitive-data-disclosure-through-the-user-interface-mstg-storage-7"),"通过用户界面检查敏感数据披露 (MSTG-STORAGE-7)")</f>
        <v>通过用户界面检查敏感数据披露 (MSTG-STORAGE-7)</v>
      </c>
      <c r="I24" s="110"/>
      <c r="J24" s="110"/>
      <c r="K24" s="111"/>
      <c r="L24" s="112"/>
    </row>
    <row r="25" spans="2:12" ht="45" customHeight="1" x14ac:dyDescent="0.35">
      <c r="B25" s="104" t="s">
        <v>53</v>
      </c>
      <c r="C25" s="105" t="s">
        <v>54</v>
      </c>
      <c r="D25" s="124" t="s">
        <v>340</v>
      </c>
      <c r="E25" s="125"/>
      <c r="F25" s="108" t="s">
        <v>18</v>
      </c>
      <c r="G25" s="109" t="s">
        <v>27</v>
      </c>
      <c r="H25" s="110" t="str">
        <f>HYPERLINK(CONCATENATE(BASE_URL,"0x05d-Testing-Data-Storage.md#testing-backups-for-sensitive-data-mstg-storage-8"),"备份中获取敏感数据测试 (MSTG-STORAGE-8)")</f>
        <v>备份中获取敏感数据测试 (MSTG-STORAGE-8)</v>
      </c>
      <c r="I25" s="110"/>
      <c r="J25" s="110"/>
      <c r="K25" s="111"/>
      <c r="L25" s="112"/>
    </row>
    <row r="26" spans="2:12" ht="45" customHeight="1" x14ac:dyDescent="0.35">
      <c r="B26" s="104" t="s">
        <v>55</v>
      </c>
      <c r="C26" s="105" t="s">
        <v>56</v>
      </c>
      <c r="D26" s="124" t="s">
        <v>341</v>
      </c>
      <c r="E26" s="125"/>
      <c r="F26" s="108" t="s">
        <v>18</v>
      </c>
      <c r="G26" s="109" t="s">
        <v>27</v>
      </c>
      <c r="H26" s="110" t="str">
        <f>HYPERLINK(CONCATENATE(BASE_URL,"0x05d-Testing-Data-Storage.md#finding-sensitive-information-in-auto-generated-screenshots-mstg-storage-9"),"在自动生成的屏幕截图中查找敏感信息 (MSTG-STORAGE-9)")</f>
        <v>在自动生成的屏幕截图中查找敏感信息 (MSTG-STORAGE-9)</v>
      </c>
      <c r="I26" s="110"/>
      <c r="J26" s="110"/>
      <c r="K26" s="111"/>
      <c r="L26" s="112"/>
    </row>
    <row r="27" spans="2:12" ht="45" customHeight="1" x14ac:dyDescent="0.35">
      <c r="B27" s="104" t="s">
        <v>57</v>
      </c>
      <c r="C27" s="105" t="s">
        <v>58</v>
      </c>
      <c r="D27" s="124" t="s">
        <v>342</v>
      </c>
      <c r="E27" s="125"/>
      <c r="F27" s="108" t="s">
        <v>18</v>
      </c>
      <c r="G27" s="109" t="s">
        <v>27</v>
      </c>
      <c r="H27" s="110" t="str">
        <f>HYPERLINK(CONCATENATE(BASE_URL,"0x05d-Testing-Data-Storage.md#checking-memory-for-sensitive-data-mstg-storage-10"),"检查内存中的敏感数据 (MSTG-STORAGE-10)")</f>
        <v>检查内存中的敏感数据 (MSTG-STORAGE-10)</v>
      </c>
      <c r="I27" s="110"/>
      <c r="J27" s="110"/>
      <c r="K27" s="111"/>
      <c r="L27" s="112"/>
    </row>
    <row r="28" spans="2:12" ht="45" customHeight="1" x14ac:dyDescent="0.35">
      <c r="B28" s="104" t="s">
        <v>59</v>
      </c>
      <c r="C28" s="105" t="s">
        <v>60</v>
      </c>
      <c r="D28" s="124" t="s">
        <v>343</v>
      </c>
      <c r="E28" s="125"/>
      <c r="F28" s="108" t="s">
        <v>18</v>
      </c>
      <c r="G28" s="109" t="s">
        <v>27</v>
      </c>
      <c r="H28" s="110" t="str">
        <f>HYPERLINK(CONCATENATE(BASE_URL,"0x05d-Testing-Data-Storage.md#testing-the-device-access-security-policy-mstg-storage-11"),"设备访问安全策略测试 (MSTG-STORAGE-11)")</f>
        <v>设备访问安全策略测试 (MSTG-STORAGE-11)</v>
      </c>
      <c r="I28" s="110" t="str">
        <f>HYPERLINK(CONCATENATE(BASE_URL,"0x05f-Testing-Local-Authentication.md#testing-confirm-credentials-mstg-auth-1-and-mstg-storage-11"),"测试确认凭证 (MSTG-AUTH-1 and MSTG-STORAGE-11)")</f>
        <v>测试确认凭证 (MSTG-AUTH-1 and MSTG-STORAGE-11)</v>
      </c>
      <c r="J28" s="110"/>
      <c r="K28" s="111"/>
      <c r="L28" s="112"/>
    </row>
    <row r="29" spans="2:12" ht="45" customHeight="1" x14ac:dyDescent="0.35">
      <c r="B29" s="104" t="s">
        <v>61</v>
      </c>
      <c r="C29" s="105" t="s">
        <v>62</v>
      </c>
      <c r="D29" s="106" t="s">
        <v>344</v>
      </c>
      <c r="E29" s="125"/>
      <c r="F29" s="108" t="s">
        <v>18</v>
      </c>
      <c r="G29" s="109" t="s">
        <v>27</v>
      </c>
      <c r="H29" s="110" t="str">
        <f>HYPERLINK(CONCATENATE(BASE_URL,"0x04i-Testing-user-interaction.md#testing-user-education-mstg-storage-12"),"用户教育测试 (MSTG-STORAGE-12)")</f>
        <v>用户教育测试 (MSTG-STORAGE-12)</v>
      </c>
      <c r="I29" s="110"/>
      <c r="J29" s="110"/>
      <c r="K29" s="111"/>
      <c r="L29" s="112"/>
    </row>
    <row r="30" spans="2:12" ht="45" customHeight="1" x14ac:dyDescent="0.35">
      <c r="B30" s="104" t="s">
        <v>315</v>
      </c>
      <c r="C30" s="105" t="s">
        <v>317</v>
      </c>
      <c r="D30" s="106" t="s">
        <v>345</v>
      </c>
      <c r="E30" s="125"/>
      <c r="F30" s="108"/>
      <c r="G30" s="109"/>
      <c r="H30" s="110"/>
      <c r="I30" s="110"/>
      <c r="J30" s="110"/>
      <c r="K30" s="111"/>
      <c r="L30" s="112"/>
    </row>
    <row r="31" spans="2:12" ht="45" customHeight="1" x14ac:dyDescent="0.35">
      <c r="B31" s="104" t="s">
        <v>316</v>
      </c>
      <c r="C31" s="105" t="s">
        <v>318</v>
      </c>
      <c r="D31" s="106" t="s">
        <v>346</v>
      </c>
      <c r="E31" s="125"/>
      <c r="F31" s="108"/>
      <c r="G31" s="109"/>
      <c r="H31" s="110"/>
      <c r="I31" s="110"/>
      <c r="J31" s="110"/>
      <c r="K31" s="111"/>
      <c r="L31" s="112"/>
    </row>
    <row r="32" spans="2:12" ht="45" customHeight="1" x14ac:dyDescent="0.35">
      <c r="B32" s="104" t="s">
        <v>319</v>
      </c>
      <c r="C32" s="105" t="s">
        <v>320</v>
      </c>
      <c r="D32" s="124" t="s">
        <v>347</v>
      </c>
      <c r="E32" s="125"/>
      <c r="F32" s="108"/>
      <c r="G32" s="109"/>
      <c r="H32" s="110"/>
      <c r="I32" s="110"/>
      <c r="J32" s="110"/>
      <c r="K32" s="111"/>
      <c r="L32" s="112"/>
    </row>
    <row r="33" spans="2:14" ht="33" x14ac:dyDescent="0.35">
      <c r="B33" s="116" t="s">
        <v>63</v>
      </c>
      <c r="C33" s="117"/>
      <c r="D33" s="118" t="s">
        <v>384</v>
      </c>
      <c r="E33" s="119"/>
      <c r="F33" s="120"/>
      <c r="G33" s="119"/>
      <c r="H33" s="121"/>
      <c r="I33" s="119"/>
      <c r="J33" s="119"/>
      <c r="K33" s="119"/>
      <c r="L33" s="122"/>
    </row>
    <row r="34" spans="2:14" ht="45" customHeight="1" x14ac:dyDescent="0.35">
      <c r="B34" s="104" t="s">
        <v>64</v>
      </c>
      <c r="C34" s="105" t="s">
        <v>65</v>
      </c>
      <c r="D34" s="124" t="s">
        <v>348</v>
      </c>
      <c r="E34" s="107" t="s">
        <v>18</v>
      </c>
      <c r="F34" s="108" t="s">
        <v>18</v>
      </c>
      <c r="G34" s="109"/>
      <c r="H34" s="110" t="str">
        <f>HYPERLINK(CONCATENATE(BASE_URL,"0x05e-Testing-Cryptography.md#testing-key-management-mstg-storage-1-mstg-crypto-1-and-mstg-crypto-5"),"测试密钥管理 (MSTG-STORAGE-1, MSTG-CRYPTO-1 and MSTG-CRYPTO-5)")</f>
        <v>测试密钥管理 (MSTG-STORAGE-1, MSTG-CRYPTO-1 and MSTG-CRYPTO-5)</v>
      </c>
      <c r="I34" s="110" t="str">
        <f>HYPERLINK(CONCATENATE(BASE_URL,"0x04g-Testing-Cryptography.md#common-configuration-issues-mstg-crypto-1-mstg-crypto-2-and-mstg-crypto-3"),"常见配置问题 (MSTG-CRYPTO-1, MSTG-CRYPTO-2 and MSTG-CRYPTO-3)")</f>
        <v>常见配置问题 (MSTG-CRYPTO-1, MSTG-CRYPTO-2 and MSTG-CRYPTO-3)</v>
      </c>
      <c r="J34" s="110"/>
      <c r="K34" s="111"/>
      <c r="L34" s="112"/>
    </row>
    <row r="35" spans="2:14" ht="45" customHeight="1" x14ac:dyDescent="0.35">
      <c r="B35" s="104" t="s">
        <v>66</v>
      </c>
      <c r="C35" s="105" t="s">
        <v>67</v>
      </c>
      <c r="D35" s="124" t="s">
        <v>349</v>
      </c>
      <c r="E35" s="107" t="s">
        <v>18</v>
      </c>
      <c r="F35" s="108" t="s">
        <v>18</v>
      </c>
      <c r="G35" s="109"/>
      <c r="H35" s="110" t="str">
        <f>HYPERLINK(CONCATENATE(BASE_URL,"0x04g-Testing-Cryptography.md#common-configuration-issues-mstg-crypto-1-mstg-crypto-2-and-mstg-crypto-3"),"常见配置问题 (MSTG-CRYPTO-1, MSTG-CRYPTO-2 and MSTG-CRYPTO-3)")</f>
        <v>常见配置问题 (MSTG-CRYPTO-1, MSTG-CRYPTO-2 and MSTG-CRYPTO-3)</v>
      </c>
      <c r="I35" s="110"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J35" s="110"/>
      <c r="K35" s="111"/>
      <c r="L35" s="112"/>
    </row>
    <row r="36" spans="2:14" ht="45" customHeight="1" x14ac:dyDescent="0.35">
      <c r="B36" s="104" t="s">
        <v>68</v>
      </c>
      <c r="C36" s="105" t="s">
        <v>69</v>
      </c>
      <c r="D36" s="106" t="s">
        <v>350</v>
      </c>
      <c r="E36" s="107" t="s">
        <v>18</v>
      </c>
      <c r="F36" s="108" t="s">
        <v>18</v>
      </c>
      <c r="G36" s="109"/>
      <c r="H36" s="110"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I36" s="110" t="str">
        <f>HYPERLINK(CONCATENATE(BASE_URL,"0x04g-Testing-Cryptography.md#common-configuration-issues-mstg-crypto-1-mstg-crypto-2-and-mstg-crypto-3"),"常见配置问题 (MSTG-CRYPTO-1, MSTG-CRYPTO-2 and MSTG-CRYPTO-3)")</f>
        <v>常见配置问题 (MSTG-CRYPTO-1, MSTG-CRYPTO-2 and MSTG-CRYPTO-3)</v>
      </c>
      <c r="J36" s="110"/>
      <c r="K36" s="111"/>
      <c r="L36" s="112"/>
    </row>
    <row r="37" spans="2:14" ht="45" customHeight="1" x14ac:dyDescent="0.35">
      <c r="B37" s="104" t="s">
        <v>70</v>
      </c>
      <c r="C37" s="105" t="s">
        <v>71</v>
      </c>
      <c r="D37" s="124" t="s">
        <v>351</v>
      </c>
      <c r="E37" s="107" t="s">
        <v>18</v>
      </c>
      <c r="F37" s="108" t="s">
        <v>18</v>
      </c>
      <c r="G37" s="109"/>
      <c r="H37" s="110" t="str">
        <f>HYPERLINK(CONCATENATE(BASE_URL,"0x04g-Testing-Cryptography.md#identifying-insecure-andor-deprecated-cryptographic-algorithms-mstg-crypto-4"),"识别不安全和/或不建议使用的加密算法 (MSTG-CRYPTO-4)")</f>
        <v>识别不安全和/或不建议使用的加密算法 (MSTG-CRYPTO-4)</v>
      </c>
      <c r="I37" s="110"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J37" s="110"/>
      <c r="K37" s="111"/>
      <c r="L37" s="112"/>
    </row>
    <row r="38" spans="2:14" ht="45" customHeight="1" x14ac:dyDescent="0.35">
      <c r="B38" s="104" t="s">
        <v>72</v>
      </c>
      <c r="C38" s="105" t="s">
        <v>73</v>
      </c>
      <c r="D38" s="124" t="s">
        <v>352</v>
      </c>
      <c r="E38" s="107" t="s">
        <v>18</v>
      </c>
      <c r="F38" s="108" t="s">
        <v>18</v>
      </c>
      <c r="G38" s="109"/>
      <c r="H38" s="110" t="str">
        <f>HYPERLINK(CONCATENATE(BASE_URL,"0x05e-Testing-Cryptography.md#testing-key-management-mstg-storage-1-mstg-crypto-1-and-mstg-crypto-5"),"测试密钥管理 (MSTG-STORAGE-1, MSTG-CRYPTO-1 and MSTG-CRYPTO-5)")</f>
        <v>测试密钥管理 (MSTG-STORAGE-1, MSTG-CRYPTO-1 and MSTG-CRYPTO-5)</v>
      </c>
      <c r="I38" s="110"/>
      <c r="J38" s="110"/>
      <c r="K38" s="111"/>
      <c r="L38" s="112"/>
    </row>
    <row r="39" spans="2:14" ht="45" customHeight="1" x14ac:dyDescent="0.35">
      <c r="B39" s="126" t="s">
        <v>74</v>
      </c>
      <c r="C39" s="127" t="s">
        <v>75</v>
      </c>
      <c r="D39" s="124" t="s">
        <v>353</v>
      </c>
      <c r="E39" s="107" t="s">
        <v>18</v>
      </c>
      <c r="F39" s="108" t="s">
        <v>18</v>
      </c>
      <c r="G39" s="109"/>
      <c r="H39" s="110" t="str">
        <f>HYPERLINK(CONCATENATE(BASE_URL,"0x05e-Testing-Cryptography.md#testing-random-number-generation-mstg-crypto-6"),"测试随机数生成 (MSTG-CRYPTO-6)")</f>
        <v>测试随机数生成 (MSTG-CRYPTO-6)</v>
      </c>
      <c r="I39" s="110"/>
      <c r="J39" s="110"/>
      <c r="K39" s="111"/>
      <c r="L39" s="112"/>
    </row>
    <row r="40" spans="2:14" ht="33" x14ac:dyDescent="0.35">
      <c r="B40" s="116" t="s">
        <v>76</v>
      </c>
      <c r="C40" s="117"/>
      <c r="D40" s="118" t="s">
        <v>383</v>
      </c>
      <c r="E40" s="119"/>
      <c r="F40" s="120"/>
      <c r="G40" s="119"/>
      <c r="H40" s="121"/>
      <c r="I40" s="119"/>
      <c r="J40" s="119"/>
      <c r="K40" s="119"/>
      <c r="L40" s="122"/>
    </row>
    <row r="41" spans="2:14" ht="45" customHeight="1" x14ac:dyDescent="0.35">
      <c r="B41" s="104" t="s">
        <v>77</v>
      </c>
      <c r="C41" s="105" t="s">
        <v>78</v>
      </c>
      <c r="D41" s="128" t="s">
        <v>360</v>
      </c>
      <c r="E41" s="107" t="s">
        <v>18</v>
      </c>
      <c r="F41" s="108" t="s">
        <v>18</v>
      </c>
      <c r="G41" s="109"/>
      <c r="H41" s="110" t="str">
        <f>HYPERLINK(CONCATENATE(BASE_URL,"0x05f-Testing-Local-Authentication.md#testing-confirm-credentials-mstg-auth-1-and-mstg-storage-11"),"测试确认凭证 (MSTG-AUTH-1 and MSTG-STORAGE-11)")</f>
        <v>测试确认凭证 (MSTG-AUTH-1 and MSTG-STORAGE-11)</v>
      </c>
      <c r="I41" s="110" t="str">
        <f>HYPERLINK(CONCATENATE(BASE_URL,"0x04e-Testing-Authentication-and-Session-Management.md#verifying-that-appropriate-authentication-is-in-place-mstg-arch-2-and-mstg-auth-1"),"验证适当的身份验证是否到位 (MSTG-ARCH-2 and MSTG-AUTH-1)")</f>
        <v>验证适当的身份验证是否到位 (MSTG-ARCH-2 and MSTG-AUTH-1)</v>
      </c>
      <c r="J41" s="110" t="str">
        <f>HYPERLINK(CONCATENATE(BASE_URL,"0x04e-Testing-Authentication-and-Session-Management.md#testing-oauth-20-flows-mstg-auth-1-and-mstg-auth-3"),"测试OAuth 2.0流程 (MSTG-AUTH-1 and MSTG-AUTH-3)")</f>
        <v>测试OAuth 2.0流程 (MSTG-AUTH-1 and MSTG-AUTH-3)</v>
      </c>
      <c r="K41" s="111"/>
      <c r="L41" s="112"/>
    </row>
    <row r="42" spans="2:14" ht="45" customHeight="1" x14ac:dyDescent="0.35">
      <c r="B42" s="104" t="s">
        <v>79</v>
      </c>
      <c r="C42" s="105" t="s">
        <v>80</v>
      </c>
      <c r="D42" s="128" t="s">
        <v>361</v>
      </c>
      <c r="E42" s="107" t="s">
        <v>18</v>
      </c>
      <c r="F42" s="108" t="s">
        <v>18</v>
      </c>
      <c r="G42" s="109"/>
      <c r="H42" s="110" t="str">
        <f>HYPERLINK(CONCATENATE(BASE_URL,"0x04e-Testing-Authentication-and-Session-Management.md#testing-stateful-session-management-mstg-auth-2"),"测试状态会话管理 (MSTG-AUTH-2)")</f>
        <v>测试状态会话管理 (MSTG-AUTH-2)</v>
      </c>
      <c r="I42" s="110"/>
      <c r="J42" s="110"/>
      <c r="K42" s="111"/>
      <c r="L42" s="112"/>
    </row>
    <row r="43" spans="2:14" ht="45" customHeight="1" x14ac:dyDescent="0.35">
      <c r="B43" s="104" t="s">
        <v>81</v>
      </c>
      <c r="C43" s="105" t="s">
        <v>82</v>
      </c>
      <c r="D43" s="128" t="s">
        <v>364</v>
      </c>
      <c r="E43" s="107" t="s">
        <v>18</v>
      </c>
      <c r="F43" s="108" t="s">
        <v>18</v>
      </c>
      <c r="G43" s="109"/>
      <c r="H43" s="110" t="str">
        <f>HYPERLINK(CONCATENATE(BASE_URL,"0x04e-Testing-Authentication-and-Session-Management.md#testing-stateless-token-based-authentication-mstg-auth-3"),"测试无状态（基于令牌）身份验证 (MSTG-AUTH-3)")</f>
        <v>测试无状态（基于令牌）身份验证 (MSTG-AUTH-3)</v>
      </c>
      <c r="I43" s="110" t="str">
        <f>HYPERLINK(CONCATENATE(BASE_URL,"0x04e-Testing-Authentication-and-Session-Management.md#testing-oauth-20-flows-mstg-auth-1-and-mstg-auth-3"),"测试OAuth 2.0流程 (MSTG-AUTH-1 and MSTG-AUTH-3)")</f>
        <v>测试OAuth 2.0流程 (MSTG-AUTH-1 and MSTG-AUTH-3)</v>
      </c>
      <c r="J43" s="110"/>
      <c r="K43" s="111"/>
      <c r="L43" s="112"/>
      <c r="N43" s="129"/>
    </row>
    <row r="44" spans="2:14" ht="45" customHeight="1" x14ac:dyDescent="0.35">
      <c r="B44" s="104" t="s">
        <v>83</v>
      </c>
      <c r="C44" s="105" t="s">
        <v>84</v>
      </c>
      <c r="D44" s="128" t="s">
        <v>365</v>
      </c>
      <c r="E44" s="107"/>
      <c r="F44" s="108"/>
      <c r="G44" s="109"/>
      <c r="H44" s="110" t="str">
        <f>HYPERLINK(CONCATENATE(BASE_URL,"0x04e-Testing-Authentication-and-Session-Management.md#testing-user-logout-mstg-auth-4"),"测试用户注销 (MSTG-AUTH-4)")</f>
        <v>测试用户注销 (MSTG-AUTH-4)</v>
      </c>
      <c r="I44" s="110"/>
      <c r="J44" s="110"/>
      <c r="K44" s="111"/>
      <c r="L44" s="112"/>
      <c r="N44" s="129"/>
    </row>
    <row r="45" spans="2:14" ht="45" customHeight="1" x14ac:dyDescent="0.35">
      <c r="B45" s="104" t="s">
        <v>85</v>
      </c>
      <c r="C45" s="105" t="s">
        <v>86</v>
      </c>
      <c r="D45" s="128" t="s">
        <v>366</v>
      </c>
      <c r="E45" s="107" t="s">
        <v>18</v>
      </c>
      <c r="F45" s="108" t="s">
        <v>18</v>
      </c>
      <c r="G45" s="109"/>
      <c r="H45" s="114" t="str">
        <f>HYPERLINK(CONCATENATE(BASE_URL,"0x04e-Testing-Authentication-and-Session-Management.md#testing-best-practices-for-passwords-mstg-auth-5-and-mstg-auth-6"),"测试密码最佳做法")</f>
        <v>测试密码最佳做法</v>
      </c>
      <c r="I45" s="110"/>
      <c r="J45" s="110"/>
      <c r="K45" s="111"/>
      <c r="L45" s="112"/>
    </row>
    <row r="46" spans="2:14" ht="45" customHeight="1" x14ac:dyDescent="0.35">
      <c r="B46" s="104" t="s">
        <v>87</v>
      </c>
      <c r="C46" s="105" t="s">
        <v>88</v>
      </c>
      <c r="D46" s="128" t="s">
        <v>368</v>
      </c>
      <c r="E46" s="107" t="s">
        <v>18</v>
      </c>
      <c r="F46" s="108" t="s">
        <v>18</v>
      </c>
      <c r="G46" s="109"/>
      <c r="H46" s="110" t="str">
        <f>HYPERLINK(CONCATENATE(BASE_URL,"0x04e-Testing-Authentication-and-Session-Management.md#testing-best-practices-for-passwords-mstg-auth-5-and-mstg-auth-6"),"测试密码最佳做法 (MSTG-AUTH-5 and MSTG-AUTH-6)")</f>
        <v>测试密码最佳做法 (MSTG-AUTH-5 and MSTG-AUTH-6)</v>
      </c>
      <c r="I46" s="110" t="str">
        <f>HYPERLINK(CONCATENATE(BASE_URL,"0x04e-Testing-Authentication-and-Session-Management.md#dynamic-testing-mstg-auth-6"),"动态测试 (MSTG-AUTH-6)")</f>
        <v>动态测试 (MSTG-AUTH-6)</v>
      </c>
      <c r="J46" s="110"/>
      <c r="K46" s="111"/>
      <c r="L46" s="112"/>
    </row>
    <row r="47" spans="2:14" ht="45" customHeight="1" x14ac:dyDescent="0.35">
      <c r="B47" s="104" t="s">
        <v>89</v>
      </c>
      <c r="C47" s="105" t="s">
        <v>90</v>
      </c>
      <c r="D47" s="128" t="s">
        <v>369</v>
      </c>
      <c r="E47" s="107" t="s">
        <v>18</v>
      </c>
      <c r="F47" s="108" t="s">
        <v>18</v>
      </c>
      <c r="G47" s="109"/>
      <c r="H47" s="110" t="str">
        <f>HYPERLINK(CONCATENATE(BASE_URL,"0x04e-Testing-Authentication-and-Session-Management.md#testing-session-timeout-mstg-auth-7"),"测试会话超时 (MSTG-AUTH-7)")</f>
        <v>测试会话超时 (MSTG-AUTH-7)</v>
      </c>
      <c r="I47" s="110"/>
      <c r="J47" s="110"/>
      <c r="K47" s="111"/>
      <c r="L47" s="130"/>
    </row>
    <row r="48" spans="2:14" ht="45" customHeight="1" x14ac:dyDescent="0.35">
      <c r="B48" s="104" t="s">
        <v>91</v>
      </c>
      <c r="C48" s="105" t="s">
        <v>92</v>
      </c>
      <c r="D48" s="128" t="s">
        <v>370</v>
      </c>
      <c r="E48" s="125"/>
      <c r="F48" s="108" t="s">
        <v>18</v>
      </c>
      <c r="G48" s="109" t="s">
        <v>27</v>
      </c>
      <c r="H48" s="110" t="str">
        <f>HYPERLINK(CONCATENATE(BASE_URL,"0x05f-Testing-Local-Authentication.md#testing-biometric-authentication-mstg-auth-8"),"测试生物特征认证 (MSTG-AUTH-8)")</f>
        <v>测试生物特征认证 (MSTG-AUTH-8)</v>
      </c>
      <c r="I48" s="110"/>
      <c r="J48" s="110"/>
      <c r="K48" s="111"/>
      <c r="L48" s="112"/>
    </row>
    <row r="49" spans="2:12" ht="45" customHeight="1" x14ac:dyDescent="0.35">
      <c r="B49" s="104" t="s">
        <v>93</v>
      </c>
      <c r="C49" s="105" t="s">
        <v>94</v>
      </c>
      <c r="D49" s="128" t="s">
        <v>371</v>
      </c>
      <c r="E49" s="125"/>
      <c r="F49" s="108" t="s">
        <v>18</v>
      </c>
      <c r="G49" s="109" t="s">
        <v>27</v>
      </c>
      <c r="H49" s="110" t="str">
        <f>HYPERLINK(CONCATENATE(BASE_URL,"0x04e-Testing-Authentication-and-Session-Management.md#testing-two-factor-authentication-and-step-up-authentication-mstg-auth-9-and-mstg-auth-10"),"测试两因素身份验证和逐步身份验证 (MSTG-AUTH-9 and MSTG-AUTH-10)")</f>
        <v>测试两因素身份验证和逐步身份验证 (MSTG-AUTH-9 and MSTG-AUTH-10)</v>
      </c>
      <c r="I49" s="110"/>
      <c r="J49" s="110"/>
      <c r="K49" s="111"/>
      <c r="L49" s="112"/>
    </row>
    <row r="50" spans="2:12" ht="45" customHeight="1" x14ac:dyDescent="0.35">
      <c r="B50" s="104" t="s">
        <v>95</v>
      </c>
      <c r="C50" s="105" t="s">
        <v>96</v>
      </c>
      <c r="D50" s="128" t="s">
        <v>372</v>
      </c>
      <c r="E50" s="125"/>
      <c r="F50" s="108" t="s">
        <v>18</v>
      </c>
      <c r="G50" s="109" t="s">
        <v>27</v>
      </c>
      <c r="H50" s="110" t="str">
        <f>HYPERLINK(CONCATENATE(BASE_URL,"0x04e-Testing-Authentication-and-Session-Management.md#testing-two-factor-authentication-and-step-up-authentication-mstg-auth-9-and-mstg-auth-10"),"测试两因素身份验证和逐步身份验证 (MSTG-AUTH-9 and MSTG-AUTH-10)")</f>
        <v>测试两因素身份验证和逐步身份验证 (MSTG-AUTH-9 and MSTG-AUTH-10)</v>
      </c>
      <c r="I50" s="110"/>
      <c r="J50" s="110"/>
      <c r="K50" s="111"/>
      <c r="L50" s="112"/>
    </row>
    <row r="51" spans="2:12" ht="45" customHeight="1" x14ac:dyDescent="0.35">
      <c r="B51" s="104" t="s">
        <v>97</v>
      </c>
      <c r="C51" s="105" t="s">
        <v>98</v>
      </c>
      <c r="D51" s="128" t="s">
        <v>373</v>
      </c>
      <c r="E51" s="125"/>
      <c r="F51" s="108" t="s">
        <v>18</v>
      </c>
      <c r="G51" s="109" t="s">
        <v>27</v>
      </c>
      <c r="H51" s="110" t="s">
        <v>362</v>
      </c>
      <c r="I51" s="110"/>
      <c r="J51" s="110"/>
      <c r="K51" s="111"/>
      <c r="L51" s="112"/>
    </row>
    <row r="52" spans="2:12" ht="45" customHeight="1" x14ac:dyDescent="0.35">
      <c r="B52" s="104" t="s">
        <v>375</v>
      </c>
      <c r="C52" s="105" t="s">
        <v>363</v>
      </c>
      <c r="D52" s="128" t="s">
        <v>374</v>
      </c>
      <c r="E52" s="125"/>
      <c r="F52" s="108"/>
      <c r="G52" s="109"/>
      <c r="H52" s="110"/>
      <c r="I52" s="110"/>
      <c r="J52" s="110"/>
      <c r="K52" s="111"/>
      <c r="L52" s="112"/>
    </row>
    <row r="53" spans="2:12" ht="33" x14ac:dyDescent="0.35">
      <c r="B53" s="116" t="s">
        <v>99</v>
      </c>
      <c r="C53" s="117"/>
      <c r="D53" s="118" t="s">
        <v>376</v>
      </c>
      <c r="E53" s="119"/>
      <c r="F53" s="120"/>
      <c r="G53" s="119"/>
      <c r="H53" s="121"/>
      <c r="I53" s="119"/>
      <c r="J53" s="119"/>
      <c r="K53" s="119"/>
      <c r="L53" s="122"/>
    </row>
    <row r="54" spans="2:12" ht="45" customHeight="1" x14ac:dyDescent="0.35">
      <c r="B54" s="104" t="s">
        <v>100</v>
      </c>
      <c r="C54" s="105" t="s">
        <v>101</v>
      </c>
      <c r="D54" s="124" t="s">
        <v>377</v>
      </c>
      <c r="E54" s="107" t="s">
        <v>18</v>
      </c>
      <c r="F54" s="108" t="s">
        <v>18</v>
      </c>
      <c r="G54" s="109"/>
      <c r="H54" s="114" t="str">
        <f>HYPERLINK(CONCATENATE(BASE_URL,"0x04f-Testing-Network-Communication.md#verifying-data-encryption-on-the-network-mstg-network-1-and-mstg-network-2"),"验证网络上的数据加密")</f>
        <v>验证网络上的数据加密</v>
      </c>
      <c r="I54" s="110"/>
      <c r="J54" s="110"/>
      <c r="K54" s="131"/>
      <c r="L54" s="112"/>
    </row>
    <row r="55" spans="2:12" ht="45" customHeight="1" x14ac:dyDescent="0.35">
      <c r="B55" s="104" t="s">
        <v>102</v>
      </c>
      <c r="C55" s="105" t="s">
        <v>103</v>
      </c>
      <c r="D55" s="128" t="s">
        <v>378</v>
      </c>
      <c r="E55" s="107" t="s">
        <v>18</v>
      </c>
      <c r="F55" s="108" t="s">
        <v>18</v>
      </c>
      <c r="G55" s="109"/>
      <c r="H55" s="114" t="str">
        <f>HYPERLINK(CONCATENATE(BASE_URL,"0x04f-Testing-Network-Communication.md#verifying-data-encryption-on-the-network-mstg-network-1-and-mstg-network-2"),"验证网络上的数据加密")</f>
        <v>验证网络上的数据加密</v>
      </c>
      <c r="I55" s="110"/>
      <c r="J55" s="110"/>
      <c r="K55" s="131"/>
      <c r="L55" s="112"/>
    </row>
    <row r="56" spans="2:12" ht="45" customHeight="1" x14ac:dyDescent="0.35">
      <c r="B56" s="104" t="s">
        <v>104</v>
      </c>
      <c r="C56" s="105" t="s">
        <v>105</v>
      </c>
      <c r="D56" s="128" t="s">
        <v>379</v>
      </c>
      <c r="E56" s="107" t="s">
        <v>18</v>
      </c>
      <c r="F56" s="108" t="s">
        <v>18</v>
      </c>
      <c r="G56" s="109"/>
      <c r="H56" s="110" t="str">
        <f>HYPERLINK(CONCATENATE(BASE_URL,"0x05g-Testing-Network-Communication.md#testing-endpoint-identify-verification-mstg-network-3"),"测试端点身份验证 (MSTG-NETWORK-3)")</f>
        <v>测试端点身份验证 (MSTG-NETWORK-3)</v>
      </c>
      <c r="I56" s="110"/>
      <c r="J56" s="110"/>
      <c r="K56" s="131"/>
      <c r="L56" s="132"/>
    </row>
    <row r="57" spans="2:12" ht="45" customHeight="1" x14ac:dyDescent="0.35">
      <c r="B57" s="104" t="s">
        <v>106</v>
      </c>
      <c r="C57" s="105" t="s">
        <v>107</v>
      </c>
      <c r="D57" s="128" t="s">
        <v>380</v>
      </c>
      <c r="E57" s="125"/>
      <c r="F57" s="108" t="s">
        <v>18</v>
      </c>
      <c r="G57" s="109" t="s">
        <v>27</v>
      </c>
      <c r="H57" s="110" t="str">
        <f>HYPERLINK(CONCATENATE(BASE_URL,"0x05g-Testing-Network-Communication.md#testing-custom-certificate-stores-and-certificate-pinning-mstg-network-4"),"测试自定义证书存储和证书固定 (MSTG-NETWORK-4)")</f>
        <v>测试自定义证书存储和证书固定 (MSTG-NETWORK-4)</v>
      </c>
      <c r="I57" s="110" t="str">
        <f>HYPERLINK(CONCATENATE(BASE_URL,"0x05g-Testing-Network-Communication.md#testing-the-network-security-configuration-settings-mstg-network-4"),"测试网络安全配置设置 (MSTG-NETWORK-4)")</f>
        <v>测试网络安全配置设置 (MSTG-NETWORK-4)</v>
      </c>
      <c r="J57" s="110"/>
      <c r="K57" s="131"/>
      <c r="L57" s="112"/>
    </row>
    <row r="58" spans="2:12" ht="45" customHeight="1" x14ac:dyDescent="0.35">
      <c r="B58" s="104" t="s">
        <v>108</v>
      </c>
      <c r="C58" s="105" t="s">
        <v>109</v>
      </c>
      <c r="D58" s="128" t="s">
        <v>381</v>
      </c>
      <c r="E58" s="125"/>
      <c r="F58" s="108" t="s">
        <v>18</v>
      </c>
      <c r="G58" s="109" t="s">
        <v>27</v>
      </c>
      <c r="H58" s="110" t="str">
        <f>HYPERLINK(CONCATENATE(BASE_URL,"0x04f-Testing-Network-Communication.md#making-sure-that-critical-operations-use-secure-communication-channels-mstg-network-5"),"确保关键操作使用安全的通信通道 (MSTG-NETWORK-5)")</f>
        <v>确保关键操作使用安全的通信通道 (MSTG-NETWORK-5)</v>
      </c>
      <c r="I58" s="110"/>
      <c r="J58" s="110"/>
      <c r="K58" s="131"/>
      <c r="L58" s="112"/>
    </row>
    <row r="59" spans="2:12" ht="45" customHeight="1" x14ac:dyDescent="0.35">
      <c r="B59" s="104" t="s">
        <v>110</v>
      </c>
      <c r="C59" s="105" t="s">
        <v>111</v>
      </c>
      <c r="D59" s="128" t="s">
        <v>382</v>
      </c>
      <c r="E59" s="125"/>
      <c r="F59" s="108" t="s">
        <v>18</v>
      </c>
      <c r="G59" s="109" t="s">
        <v>27</v>
      </c>
      <c r="H59" s="110" t="str">
        <f>HYPERLINK(CONCATENATE(BASE_URL,"0x05g-Testing-Network-Communication.md#testing-the-security-provider-mstg-network-6"),"测试安全提供者 (MSTG-NETWORK-6)")</f>
        <v>测试安全提供者 (MSTG-NETWORK-6)</v>
      </c>
      <c r="I59" s="110"/>
      <c r="J59" s="110"/>
      <c r="K59" s="131"/>
      <c r="L59" s="112"/>
    </row>
    <row r="60" spans="2:12" ht="33" x14ac:dyDescent="0.35">
      <c r="B60" s="116" t="s">
        <v>112</v>
      </c>
      <c r="C60" s="117"/>
      <c r="D60" s="118" t="s">
        <v>385</v>
      </c>
      <c r="E60" s="119"/>
      <c r="F60" s="120"/>
      <c r="G60" s="119"/>
      <c r="H60" s="121"/>
      <c r="I60" s="119"/>
      <c r="J60" s="119"/>
      <c r="K60" s="119"/>
      <c r="L60" s="122"/>
    </row>
    <row r="61" spans="2:12" ht="45" customHeight="1" x14ac:dyDescent="0.35">
      <c r="B61" s="104" t="s">
        <v>113</v>
      </c>
      <c r="C61" s="105" t="s">
        <v>114</v>
      </c>
      <c r="D61" s="124" t="s">
        <v>392</v>
      </c>
      <c r="E61" s="107" t="s">
        <v>18</v>
      </c>
      <c r="F61" s="108" t="s">
        <v>18</v>
      </c>
      <c r="G61" s="109"/>
      <c r="H61" s="110" t="str">
        <f>HYPERLINK(CONCATENATE(BASE_URL,"0x05h-Testing-Platform-Interaction.md#testing-app-permissions-mstg-platform-1"),"测试应用权限 (MSTG-PLATFORM-1)")</f>
        <v>测试应用权限 (MSTG-PLATFORM-1)</v>
      </c>
      <c r="I61" s="110"/>
      <c r="J61" s="110"/>
      <c r="K61" s="113"/>
      <c r="L61" s="133"/>
    </row>
    <row r="62" spans="2:12" ht="45" customHeight="1" x14ac:dyDescent="0.35">
      <c r="B62" s="104" t="s">
        <v>115</v>
      </c>
      <c r="C62" s="105" t="s">
        <v>116</v>
      </c>
      <c r="D62" s="128" t="s">
        <v>394</v>
      </c>
      <c r="E62" s="107" t="s">
        <v>18</v>
      </c>
      <c r="F62" s="108" t="s">
        <v>18</v>
      </c>
      <c r="G62" s="109"/>
      <c r="H62" s="110" t="str">
        <f>HYPERLINK(CONCATENATE(BASE_URL,"0x04h-Testing-Code-Quality.md#testing-for-injection-flaws-mstg-platform-2"),"测试注入缺陷 (MSTG-PLATFORM-2)")</f>
        <v>测试注入缺陷 (MSTG-PLATFORM-2)</v>
      </c>
      <c r="I62" s="110" t="str">
        <f>HYPERLINK(CONCATENATE(BASE_URL,"0x04h-Testing-Code-Quality.md#testing-for-fragment-injection-mstg-platform-2"),"测试片段注入 (MSTG-PLATFORM-2)")</f>
        <v>测试片段注入 (MSTG-PLATFORM-2)</v>
      </c>
      <c r="J62" s="110"/>
      <c r="K62" s="134"/>
      <c r="L62" s="133"/>
    </row>
    <row r="63" spans="2:12" ht="45" customHeight="1" x14ac:dyDescent="0.35">
      <c r="B63" s="104" t="s">
        <v>117</v>
      </c>
      <c r="C63" s="105" t="s">
        <v>118</v>
      </c>
      <c r="D63" s="124" t="s">
        <v>393</v>
      </c>
      <c r="E63" s="107" t="s">
        <v>18</v>
      </c>
      <c r="F63" s="108" t="s">
        <v>18</v>
      </c>
      <c r="G63" s="109"/>
      <c r="H63" s="110" t="str">
        <f>HYPERLINK(CONCATENATE(BASE_URL,"0x05h-Testing-Platform-Interaction.md#testing-custom-url-schemes-mstg-platform-3"),"测试自定义连接 (MSTG-PLATFORM-3)")</f>
        <v>测试自定义连接 (MSTG-PLATFORM-3)</v>
      </c>
      <c r="I63" s="110"/>
      <c r="J63" s="110"/>
      <c r="K63" s="113"/>
      <c r="L63" s="133"/>
    </row>
    <row r="64" spans="2:12" ht="45" customHeight="1" x14ac:dyDescent="0.35">
      <c r="B64" s="104" t="s">
        <v>119</v>
      </c>
      <c r="C64" s="105" t="s">
        <v>120</v>
      </c>
      <c r="D64" s="124" t="s">
        <v>396</v>
      </c>
      <c r="E64" s="107" t="s">
        <v>18</v>
      </c>
      <c r="F64" s="108" t="s">
        <v>18</v>
      </c>
      <c r="G64" s="109"/>
      <c r="H64" s="110" t="str">
        <f>HYPERLINK(CONCATENATE(BASE_URL,"0x05h-Testing-Platform-Interaction.md#testing-for-sensitive-functionality-exposure-through-ipc-mstg-platform-4"),"测试铭感功能通过IPC 暴露 (MSTG-PLATFORM-4)")</f>
        <v>测试铭感功能通过IPC 暴露 (MSTG-PLATFORM-4)</v>
      </c>
      <c r="I64" s="110"/>
      <c r="J64" s="110"/>
      <c r="K64" s="113"/>
      <c r="L64" s="133"/>
    </row>
    <row r="65" spans="2:13" ht="45" customHeight="1" x14ac:dyDescent="0.35">
      <c r="B65" s="104" t="s">
        <v>121</v>
      </c>
      <c r="C65" s="105" t="s">
        <v>122</v>
      </c>
      <c r="D65" s="124" t="s">
        <v>395</v>
      </c>
      <c r="E65" s="107" t="s">
        <v>18</v>
      </c>
      <c r="F65" s="108" t="s">
        <v>18</v>
      </c>
      <c r="G65" s="109"/>
      <c r="H65" s="110" t="str">
        <f>HYPERLINK(CONCATENATE(BASE_URL,"0x05h-Testing-Platform-Interaction.md#testing-javascript-execution-in-webviews-mstg-platform-5"),"测试在网页浏览模式中的JAVASCRIPT (MSTG-PLATFORM-5)")</f>
        <v>测试在网页浏览模式中的JAVASCRIPT (MSTG-PLATFORM-5)</v>
      </c>
      <c r="I65" s="110"/>
      <c r="J65" s="110"/>
      <c r="K65" s="113"/>
      <c r="L65" s="133"/>
    </row>
    <row r="66" spans="2:13" ht="45" customHeight="1" x14ac:dyDescent="0.35">
      <c r="B66" s="104" t="s">
        <v>123</v>
      </c>
      <c r="C66" s="105" t="s">
        <v>124</v>
      </c>
      <c r="D66" s="128" t="s">
        <v>397</v>
      </c>
      <c r="E66" s="107" t="s">
        <v>18</v>
      </c>
      <c r="F66" s="108" t="s">
        <v>18</v>
      </c>
      <c r="G66" s="109"/>
      <c r="H66" s="110" t="str">
        <f>HYPERLINK(CONCATENATE(BASE_URL,"0x05h-Testing-Platform-Interaction.md#testing-webview-protocol-handlers-mstg-platform-6"),"测试网页模式中的协议处理 (MSTG-PLATFORM-6)")</f>
        <v>测试网页模式中的协议处理 (MSTG-PLATFORM-6)</v>
      </c>
      <c r="I66" s="110"/>
      <c r="J66" s="110"/>
      <c r="K66" s="113"/>
      <c r="L66" s="133"/>
    </row>
    <row r="67" spans="2:13" ht="45" customHeight="1" x14ac:dyDescent="0.35">
      <c r="B67" s="104" t="s">
        <v>125</v>
      </c>
      <c r="C67" s="105" t="s">
        <v>126</v>
      </c>
      <c r="D67" s="128" t="s">
        <v>398</v>
      </c>
      <c r="E67" s="107" t="s">
        <v>18</v>
      </c>
      <c r="F67" s="108" t="s">
        <v>18</v>
      </c>
      <c r="G67" s="109"/>
      <c r="H67" s="110" t="str">
        <f>HYPERLINK(CONCATENATE(BASE_URL,"0x05h-Testing-Platform-Interaction.md#determining-whether-java-objects-are-exposed-through-webviews-mstg-platform-7"),"确定Java 对象是否通过网页浏览模式暴露 (MSTG-PLATFORM-7)")</f>
        <v>确定Java 对象是否通过网页浏览模式暴露 (MSTG-PLATFORM-7)</v>
      </c>
      <c r="I67" s="110"/>
      <c r="J67" s="110"/>
      <c r="K67" s="113"/>
      <c r="L67" s="133"/>
    </row>
    <row r="68" spans="2:13" ht="45" customHeight="1" x14ac:dyDescent="0.35">
      <c r="B68" s="104" t="s">
        <v>127</v>
      </c>
      <c r="C68" s="105" t="s">
        <v>128</v>
      </c>
      <c r="D68" s="124" t="s">
        <v>399</v>
      </c>
      <c r="E68" s="107" t="s">
        <v>18</v>
      </c>
      <c r="F68" s="108" t="s">
        <v>18</v>
      </c>
      <c r="G68" s="109"/>
      <c r="H68" s="110" t="str">
        <f>HYPERLINK(CONCATENATE(BASE_URL,"0x05h-Testing-Platform-Interaction.md#testing-object-persistence-mstg-platform-8"),"测试对象持久性(MSTG-PLATFORM-8)")</f>
        <v>测试对象持久性(MSTG-PLATFORM-8)</v>
      </c>
      <c r="I68" s="110"/>
      <c r="J68" s="110"/>
      <c r="K68" s="113"/>
      <c r="L68" s="133"/>
    </row>
    <row r="69" spans="2:13" ht="45" customHeight="1" x14ac:dyDescent="0.35">
      <c r="B69" s="104" t="s">
        <v>386</v>
      </c>
      <c r="C69" s="105" t="s">
        <v>389</v>
      </c>
      <c r="D69" s="128" t="s">
        <v>400</v>
      </c>
      <c r="E69" s="214"/>
      <c r="F69" s="108"/>
      <c r="G69" s="109"/>
      <c r="H69" s="110"/>
      <c r="I69" s="110"/>
      <c r="J69" s="110"/>
      <c r="K69" s="113"/>
      <c r="L69" s="133"/>
    </row>
    <row r="70" spans="2:13" ht="45" customHeight="1" x14ac:dyDescent="0.35">
      <c r="B70" s="104" t="s">
        <v>387</v>
      </c>
      <c r="C70" s="105" t="s">
        <v>390</v>
      </c>
      <c r="D70" s="128" t="s">
        <v>401</v>
      </c>
      <c r="E70" s="214"/>
      <c r="F70" s="108"/>
      <c r="G70" s="109"/>
      <c r="H70" s="110"/>
      <c r="I70" s="110"/>
      <c r="J70" s="110"/>
      <c r="K70" s="113"/>
      <c r="L70" s="133"/>
    </row>
    <row r="71" spans="2:13" ht="45" customHeight="1" x14ac:dyDescent="0.35">
      <c r="B71" s="104" t="s">
        <v>388</v>
      </c>
      <c r="C71" s="105" t="s">
        <v>391</v>
      </c>
      <c r="D71" s="128" t="s">
        <v>402</v>
      </c>
      <c r="E71" s="213"/>
      <c r="F71" s="108"/>
      <c r="G71" s="109"/>
      <c r="H71" s="110"/>
      <c r="I71" s="110"/>
      <c r="J71" s="110"/>
      <c r="K71" s="113"/>
      <c r="L71" s="133"/>
    </row>
    <row r="72" spans="2:13" ht="33" x14ac:dyDescent="0.35">
      <c r="B72" s="116" t="s">
        <v>129</v>
      </c>
      <c r="C72" s="117"/>
      <c r="D72" s="118" t="s">
        <v>403</v>
      </c>
      <c r="E72" s="119"/>
      <c r="F72" s="120"/>
      <c r="G72" s="119"/>
      <c r="H72" s="121"/>
      <c r="I72" s="119"/>
      <c r="J72" s="119"/>
      <c r="K72" s="119"/>
      <c r="L72" s="122"/>
    </row>
    <row r="73" spans="2:13" ht="45" customHeight="1" x14ac:dyDescent="0.35">
      <c r="B73" s="104" t="s">
        <v>130</v>
      </c>
      <c r="C73" s="105" t="s">
        <v>131</v>
      </c>
      <c r="D73" s="124" t="s">
        <v>404</v>
      </c>
      <c r="E73" s="107" t="s">
        <v>18</v>
      </c>
      <c r="F73" s="108" t="s">
        <v>18</v>
      </c>
      <c r="G73" s="109"/>
      <c r="H73" s="110" t="str">
        <f>HYPERLINK(CONCATENATE(BASE_URL,"0x05i-Testing-Code-Quality-and-Build-Settings.md#making-sure-that-the-app-is-properly-signed-mstg-code-1"),"确保应用程序已正确签名 (MSTG-CODE-1)")</f>
        <v>确保应用程序已正确签名 (MSTG-CODE-1)</v>
      </c>
      <c r="I73" s="110"/>
      <c r="J73" s="110"/>
      <c r="K73" s="131"/>
      <c r="L73" s="112"/>
    </row>
    <row r="74" spans="2:13" ht="45" customHeight="1" x14ac:dyDescent="0.35">
      <c r="B74" s="104" t="s">
        <v>132</v>
      </c>
      <c r="C74" s="105" t="s">
        <v>133</v>
      </c>
      <c r="D74" s="124" t="s">
        <v>405</v>
      </c>
      <c r="E74" s="107" t="s">
        <v>18</v>
      </c>
      <c r="F74" s="108" t="s">
        <v>18</v>
      </c>
      <c r="G74" s="109"/>
      <c r="H74" s="110" t="str">
        <f>HYPERLINK(CONCATENATE(BASE_URL,"0x05i-Testing-Code-Quality-and-Build-Settings.md#testing-whether-the-app-is-debuggable-mstg-code-2"),"测试应用程序是否可调试 (MSTG-CODE-2)")</f>
        <v>测试应用程序是否可调试 (MSTG-CODE-2)</v>
      </c>
      <c r="I74" s="110"/>
      <c r="J74" s="110"/>
      <c r="K74" s="131"/>
      <c r="L74" s="112"/>
    </row>
    <row r="75" spans="2:13" ht="45" customHeight="1" x14ac:dyDescent="0.35">
      <c r="B75" s="104" t="s">
        <v>134</v>
      </c>
      <c r="C75" s="105" t="s">
        <v>135</v>
      </c>
      <c r="D75" s="124" t="s">
        <v>406</v>
      </c>
      <c r="E75" s="107" t="s">
        <v>18</v>
      </c>
      <c r="F75" s="108" t="s">
        <v>18</v>
      </c>
      <c r="G75" s="109"/>
      <c r="H75" s="110" t="str">
        <f>HYPERLINK(CONCATENATE(BASE_URL,"0x05i-Testing-Code-Quality-and-Build-Settings.md#testing-for-debugging-symbols-mstg-code-3"),"测试调试符号 (MSTG-CODE-3)")</f>
        <v>测试调试符号 (MSTG-CODE-3)</v>
      </c>
      <c r="I75" s="110"/>
      <c r="J75" s="110"/>
      <c r="K75" s="131"/>
      <c r="L75" s="112"/>
    </row>
    <row r="76" spans="2:13" ht="45" customHeight="1" x14ac:dyDescent="0.35">
      <c r="B76" s="104" t="s">
        <v>136</v>
      </c>
      <c r="C76" s="105" t="s">
        <v>137</v>
      </c>
      <c r="D76" s="124" t="s">
        <v>407</v>
      </c>
      <c r="E76" s="107" t="s">
        <v>18</v>
      </c>
      <c r="F76" s="108" t="s">
        <v>18</v>
      </c>
      <c r="G76" s="109"/>
      <c r="H76" s="110" t="str">
        <f>HYPERLINK(CONCATENATE(BASE_URL,"0x05i-Testing-Code-Quality-and-Build-Settings.md#testing-for-debugging-code-and-verbose-error-logging-mstg-code-4"),"调试代码和详细错误日志的测试 (MSTG-CODE-4)")</f>
        <v>调试代码和详细错误日志的测试 (MSTG-CODE-4)</v>
      </c>
      <c r="I76" s="110"/>
      <c r="J76" s="110"/>
      <c r="K76" s="131"/>
      <c r="L76" s="112"/>
    </row>
    <row r="77" spans="2:13" ht="45" customHeight="1" x14ac:dyDescent="0.35">
      <c r="B77" s="104" t="s">
        <v>138</v>
      </c>
      <c r="C77" s="105" t="s">
        <v>139</v>
      </c>
      <c r="D77" s="106" t="s">
        <v>408</v>
      </c>
      <c r="E77" s="107" t="s">
        <v>18</v>
      </c>
      <c r="F77" s="108" t="s">
        <v>18</v>
      </c>
      <c r="G77" s="109"/>
      <c r="H77" s="110" t="str">
        <f>HYPERLINK(CONCATENATE(BASE_URL,"0x05i-Testing-Code-Quality-and-Build-Settings.md#checking-for-weaknesses-in-third-party-libraries-mstg-code-5"),"检查第三方库中的弱点 (MSTG-CODE-5)")</f>
        <v>检查第三方库中的弱点 (MSTG-CODE-5)</v>
      </c>
      <c r="I77" s="110"/>
      <c r="J77" s="110"/>
      <c r="K77" s="131"/>
      <c r="L77" s="112"/>
    </row>
    <row r="78" spans="2:13" ht="45" customHeight="1" x14ac:dyDescent="0.35">
      <c r="B78" s="104" t="s">
        <v>140</v>
      </c>
      <c r="C78" s="105" t="s">
        <v>141</v>
      </c>
      <c r="D78" s="124" t="s">
        <v>409</v>
      </c>
      <c r="E78" s="107" t="s">
        <v>18</v>
      </c>
      <c r="F78" s="108" t="s">
        <v>18</v>
      </c>
      <c r="G78" s="109"/>
      <c r="H78" s="110" t="str">
        <f>HYPERLINK(CONCATENATE(BASE_URL,"0x05i-Testing-Code-Quality-and-Build-Settings.md#testing-exception-handling-mstg-code-6-and-mstg-code-7"),"测试异常处理 (MSTG-CODE-6 and MSTG-CODE-7)")</f>
        <v>测试异常处理 (MSTG-CODE-6 and MSTG-CODE-7)</v>
      </c>
      <c r="I78" s="110"/>
      <c r="J78" s="110"/>
      <c r="K78" s="131"/>
      <c r="L78" s="112"/>
    </row>
    <row r="79" spans="2:13" ht="45" customHeight="1" x14ac:dyDescent="0.35">
      <c r="B79" s="104" t="s">
        <v>142</v>
      </c>
      <c r="C79" s="105" t="s">
        <v>143</v>
      </c>
      <c r="D79" s="124" t="s">
        <v>410</v>
      </c>
      <c r="E79" s="107" t="s">
        <v>18</v>
      </c>
      <c r="F79" s="108" t="s">
        <v>18</v>
      </c>
      <c r="G79" s="109"/>
      <c r="H79" s="110" t="str">
        <f>HYPERLINK(CONCATENATE(BASE_URL,"0x05i-Testing-Code-Quality-and-Build-Settings.md#testing-exception-handling-mstg-code-6-and-mstg-code-7"),"测试异常处理 (MSTG-CODE-6 and MSTG-CODE-7)")</f>
        <v>测试异常处理 (MSTG-CODE-6 and MSTG-CODE-7)</v>
      </c>
      <c r="I79" s="110"/>
      <c r="J79" s="110"/>
      <c r="K79" s="131"/>
      <c r="L79" s="112"/>
    </row>
    <row r="80" spans="2:13" ht="45" customHeight="1" x14ac:dyDescent="0.35">
      <c r="B80" s="104" t="s">
        <v>144</v>
      </c>
      <c r="C80" s="105" t="s">
        <v>145</v>
      </c>
      <c r="D80" s="124" t="s">
        <v>411</v>
      </c>
      <c r="E80" s="107" t="s">
        <v>18</v>
      </c>
      <c r="F80" s="108" t="s">
        <v>18</v>
      </c>
      <c r="G80" s="109"/>
      <c r="H80" s="110" t="str">
        <f>HYPERLINK(CONCATENATE(BASE_URL,"0x04h-Testing-Code-Quality.md#memory-corruption-bugs-mstg-code-8"),"内存泄露错误 (MSTG-CODE-8)")</f>
        <v>内存泄露错误 (MSTG-CODE-8)</v>
      </c>
      <c r="I80" s="110"/>
      <c r="J80" s="110"/>
      <c r="K80" s="131"/>
      <c r="L80" s="135"/>
      <c r="M80" s="136"/>
    </row>
    <row r="81" spans="2:12" ht="45" customHeight="1" x14ac:dyDescent="0.35">
      <c r="B81" s="104" t="s">
        <v>146</v>
      </c>
      <c r="C81" s="105" t="s">
        <v>147</v>
      </c>
      <c r="D81" s="106" t="s">
        <v>412</v>
      </c>
      <c r="E81" s="107" t="s">
        <v>18</v>
      </c>
      <c r="F81" s="108" t="s">
        <v>18</v>
      </c>
      <c r="G81" s="109"/>
      <c r="H81" s="110" t="str">
        <f>HYPERLINK(CONCATENATE(BASE_URL,"0x05i-Testing-Code-Quality-and-Build-Settings.md#make-sure-that-free-security-features-are-activated-mstg-code-9"),"确保激活了免费的安全功能 (MSTG-CODE-9)")</f>
        <v>确保激活了免费的安全功能 (MSTG-CODE-9)</v>
      </c>
      <c r="I81" s="110"/>
      <c r="J81" s="110"/>
      <c r="K81" s="131"/>
      <c r="L81" s="112"/>
    </row>
    <row r="82" spans="2:12" x14ac:dyDescent="0.35">
      <c r="B82" s="137"/>
      <c r="C82" s="138"/>
      <c r="D82" s="139"/>
      <c r="E82" s="140"/>
      <c r="F82" s="140"/>
      <c r="G82" s="140"/>
      <c r="H82" s="140"/>
      <c r="I82" s="141"/>
      <c r="J82" s="141"/>
      <c r="K82" s="141"/>
      <c r="L82" s="142"/>
    </row>
    <row r="84" spans="2:12" x14ac:dyDescent="0.35">
      <c r="D84" s="115"/>
    </row>
    <row r="86" spans="2:12" x14ac:dyDescent="0.35">
      <c r="B86" s="143" t="s">
        <v>148</v>
      </c>
      <c r="C86" s="143"/>
    </row>
    <row r="87" spans="2:12" x14ac:dyDescent="0.35">
      <c r="B87" s="144" t="s">
        <v>265</v>
      </c>
      <c r="C87" s="144"/>
      <c r="D87" s="145" t="s">
        <v>266</v>
      </c>
    </row>
    <row r="88" spans="2:12" x14ac:dyDescent="0.35">
      <c r="B88" s="146" t="s">
        <v>149</v>
      </c>
      <c r="C88" s="146"/>
      <c r="D88" s="147" t="s">
        <v>267</v>
      </c>
    </row>
    <row r="89" spans="2:12" x14ac:dyDescent="0.35">
      <c r="B89" s="146" t="s">
        <v>150</v>
      </c>
      <c r="C89" s="146"/>
      <c r="D89" s="147" t="s">
        <v>268</v>
      </c>
    </row>
    <row r="90" spans="2:12" x14ac:dyDescent="0.35">
      <c r="B90" s="146" t="s">
        <v>27</v>
      </c>
      <c r="C90" s="146"/>
      <c r="D90" s="147" t="s">
        <v>269</v>
      </c>
    </row>
  </sheetData>
  <mergeCells count="2">
    <mergeCell ref="B1:L1"/>
    <mergeCell ref="H3:J3"/>
  </mergeCells>
  <dataValidations count="2">
    <dataValidation type="list" allowBlank="1" showInputMessage="1" showErrorMessage="1" sqref="G83:G1090 I83:L1090" xr:uid="{00000000-0002-0000-0200-000000000000}">
      <formula1>"Yes,No,N/A"</formula1>
      <formula2>0</formula2>
    </dataValidation>
    <dataValidation type="list" allowBlank="1" showInputMessage="1" showErrorMessage="1" sqref="G5:G16 G34:G39 G41:G52 G54:G59 G73:G81 G18:G32 G61:G71" xr:uid="{00000000-0002-0000-0200-000001000000}">
      <formula1>"Pass,Fail,N/A"</formula1>
      <formula2>0</formula2>
    </dataValidation>
  </dataValidations>
  <pageMargins left="0.75" right="0.75" top="1" bottom="1"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1"/>
  <sheetViews>
    <sheetView tabSelected="1" zoomScaleNormal="100" workbookViewId="0">
      <selection activeCell="D6" sqref="D6"/>
    </sheetView>
  </sheetViews>
  <sheetFormatPr defaultColWidth="8.875" defaultRowHeight="15.75" x14ac:dyDescent="0.25"/>
  <cols>
    <col min="1" max="1" width="1.875" style="1" customWidth="1"/>
    <col min="2" max="2" width="7.375" style="2" customWidth="1"/>
    <col min="3" max="3" width="20.625" style="2" customWidth="1"/>
    <col min="4" max="4" width="97.375" style="3" customWidth="1"/>
    <col min="5" max="5" width="3" style="1" customWidth="1"/>
    <col min="6" max="6" width="5.875" style="1" customWidth="1"/>
    <col min="7" max="7" width="69.125" customWidth="1"/>
    <col min="8" max="8" width="30.625" style="3" customWidth="1"/>
    <col min="9" max="1025" width="11" style="1" customWidth="1"/>
  </cols>
  <sheetData>
    <row r="1" spans="2:8" ht="18.75" x14ac:dyDescent="0.3">
      <c r="B1" s="35" t="s">
        <v>230</v>
      </c>
      <c r="C1" s="35"/>
      <c r="D1" s="27"/>
      <c r="E1" s="28"/>
      <c r="F1" s="28"/>
      <c r="G1" s="29"/>
      <c r="H1" s="27"/>
    </row>
    <row r="2" spans="2:8" x14ac:dyDescent="0.25">
      <c r="B2" s="26"/>
      <c r="C2" s="26"/>
      <c r="D2" s="27"/>
      <c r="E2" s="28"/>
      <c r="F2" s="28"/>
      <c r="G2" s="29"/>
      <c r="H2" s="27"/>
    </row>
    <row r="3" spans="2:8" ht="33" x14ac:dyDescent="0.25">
      <c r="B3" s="92" t="s">
        <v>8</v>
      </c>
      <c r="C3" s="93" t="s">
        <v>9</v>
      </c>
      <c r="D3" s="94" t="s">
        <v>413</v>
      </c>
      <c r="E3" s="95" t="s">
        <v>151</v>
      </c>
      <c r="F3" s="95" t="s">
        <v>264</v>
      </c>
      <c r="G3" s="215" t="s">
        <v>271</v>
      </c>
      <c r="H3" s="216" t="s">
        <v>263</v>
      </c>
    </row>
    <row r="4" spans="2:8" ht="33" x14ac:dyDescent="0.25">
      <c r="B4" s="116"/>
      <c r="C4" s="117"/>
      <c r="D4" s="118" t="s">
        <v>430</v>
      </c>
      <c r="E4" s="119"/>
      <c r="F4" s="119"/>
      <c r="G4" s="217"/>
      <c r="H4" s="218"/>
    </row>
    <row r="5" spans="2:8" ht="45" customHeight="1" x14ac:dyDescent="0.35">
      <c r="B5" s="104" t="s">
        <v>152</v>
      </c>
      <c r="C5" s="105" t="s">
        <v>153</v>
      </c>
      <c r="D5" s="115" t="s">
        <v>431</v>
      </c>
      <c r="E5" s="219" t="s">
        <v>18</v>
      </c>
      <c r="F5" s="109" t="s">
        <v>27</v>
      </c>
      <c r="G5" s="220" t="str">
        <f>HYPERLINK(CONCATENATE(BASE_URL,"0x05j-Testing-Resiliency-Against-Reverse-Engineering.md#testing-root-detection-mstg-resilience-1"),"越狱察觉测试 (MSTG-RESILIENCE-1)")</f>
        <v>越狱察觉测试 (MSTG-RESILIENCE-1)</v>
      </c>
      <c r="H5" s="221"/>
    </row>
    <row r="6" spans="2:8" ht="45" customHeight="1" x14ac:dyDescent="0.35">
      <c r="B6" s="104" t="s">
        <v>154</v>
      </c>
      <c r="C6" s="105" t="s">
        <v>155</v>
      </c>
      <c r="D6" s="115" t="s">
        <v>432</v>
      </c>
      <c r="E6" s="219" t="s">
        <v>18</v>
      </c>
      <c r="F6" s="109" t="s">
        <v>27</v>
      </c>
      <c r="G6" s="220" t="str">
        <f>HYPERLINK(CONCATENATE(BASE_URL,"0x05j-Testing-Resiliency-Against-Reverse-Engineering.md#testing-anti-debugging-detection-mstg-resilience-2"),"反调试察觉测试 (MSTG-RESILIENCE-2)")</f>
        <v>反调试察觉测试 (MSTG-RESILIENCE-2)</v>
      </c>
      <c r="H6" s="221"/>
    </row>
    <row r="7" spans="2:8" ht="45" customHeight="1" x14ac:dyDescent="0.35">
      <c r="B7" s="104" t="s">
        <v>156</v>
      </c>
      <c r="C7" s="105" t="s">
        <v>157</v>
      </c>
      <c r="D7" s="222" t="s">
        <v>414</v>
      </c>
      <c r="E7" s="219" t="s">
        <v>18</v>
      </c>
      <c r="F7" s="109" t="s">
        <v>27</v>
      </c>
      <c r="G7" s="220" t="str">
        <f>HYPERLINK(CONCATENATE(BASE_URL,"0x05j-Testing-Resiliency-Against-Reverse-Engineering.md#testing-file-integrity-checks-mstg-resilience-3"),"文件完整性检查测试 (MSTG-RESILIENCE-3)")</f>
        <v>文件完整性检查测试 (MSTG-RESILIENCE-3)</v>
      </c>
      <c r="H7" s="221"/>
    </row>
    <row r="8" spans="2:8" ht="45" customHeight="1" x14ac:dyDescent="0.35">
      <c r="B8" s="104" t="s">
        <v>158</v>
      </c>
      <c r="C8" s="105" t="s">
        <v>159</v>
      </c>
      <c r="D8" s="222" t="s">
        <v>415</v>
      </c>
      <c r="E8" s="219" t="s">
        <v>18</v>
      </c>
      <c r="F8" s="109" t="s">
        <v>27</v>
      </c>
      <c r="G8" s="220" t="str">
        <f>HYPERLINK(CONCATENATE(BASE_URL,"0x05j-Testing-Resiliency-Against-Reverse-Engineering.md#testing-reverse-engineering-tools-detection-mstg-resilience-4"),"逆向工程工具察觉测试 (MSTG-RESILIENCE-4)")</f>
        <v>逆向工程工具察觉测试 (MSTG-RESILIENCE-4)</v>
      </c>
      <c r="H8" s="221"/>
    </row>
    <row r="9" spans="2:8" ht="45" customHeight="1" x14ac:dyDescent="0.35">
      <c r="B9" s="104" t="s">
        <v>160</v>
      </c>
      <c r="C9" s="105" t="s">
        <v>161</v>
      </c>
      <c r="D9" s="222" t="s">
        <v>416</v>
      </c>
      <c r="E9" s="219" t="s">
        <v>18</v>
      </c>
      <c r="F9" s="109" t="s">
        <v>27</v>
      </c>
      <c r="G9" s="220" t="str">
        <f>HYPERLINK(CONCATENATE(BASE_URL,"0x05j-Testing-Resiliency-Against-Reverse-Engineering.md#testing-emulator-detection-mstg-resilience-5"),"模拟器察觉测试 (MSTG-RESILIENCE-5)")</f>
        <v>模拟器察觉测试 (MSTG-RESILIENCE-5)</v>
      </c>
      <c r="H9" s="221"/>
    </row>
    <row r="10" spans="2:8" ht="45" customHeight="1" x14ac:dyDescent="0.35">
      <c r="B10" s="104" t="s">
        <v>162</v>
      </c>
      <c r="C10" s="105" t="s">
        <v>163</v>
      </c>
      <c r="D10" s="222" t="s">
        <v>417</v>
      </c>
      <c r="E10" s="219" t="s">
        <v>18</v>
      </c>
      <c r="F10" s="109" t="s">
        <v>27</v>
      </c>
      <c r="G10" s="220" t="str">
        <f>HYPERLINK(CONCATENATE(BASE_URL,"0x05j-Testing-Resiliency-Against-Reverse-Engineering.md#testing-run-time-integrity-checks-mstg-resilience-6"),"运行时完整性检测测试 (MSTG-RESILIENCE-6)")</f>
        <v>运行时完整性检测测试 (MSTG-RESILIENCE-6)</v>
      </c>
      <c r="H10" s="221"/>
    </row>
    <row r="11" spans="2:8" ht="45" customHeight="1" x14ac:dyDescent="0.35">
      <c r="B11" s="104" t="s">
        <v>164</v>
      </c>
      <c r="C11" s="105" t="s">
        <v>165</v>
      </c>
      <c r="D11" s="115" t="s">
        <v>418</v>
      </c>
      <c r="E11" s="219" t="s">
        <v>18</v>
      </c>
      <c r="F11" s="109" t="s">
        <v>27</v>
      </c>
      <c r="G11" s="223" t="s">
        <v>166</v>
      </c>
      <c r="H11" s="221"/>
    </row>
    <row r="12" spans="2:8" ht="45" customHeight="1" x14ac:dyDescent="0.35">
      <c r="B12" s="104" t="s">
        <v>167</v>
      </c>
      <c r="C12" s="105" t="s">
        <v>168</v>
      </c>
      <c r="D12" s="222" t="s">
        <v>419</v>
      </c>
      <c r="E12" s="219" t="s">
        <v>18</v>
      </c>
      <c r="F12" s="109" t="s">
        <v>27</v>
      </c>
      <c r="G12" s="224" t="s">
        <v>169</v>
      </c>
      <c r="H12" s="221"/>
    </row>
    <row r="13" spans="2:8" ht="45" customHeight="1" x14ac:dyDescent="0.35">
      <c r="B13" s="104" t="s">
        <v>170</v>
      </c>
      <c r="C13" s="105" t="s">
        <v>171</v>
      </c>
      <c r="D13" s="222" t="s">
        <v>420</v>
      </c>
      <c r="E13" s="219" t="s">
        <v>18</v>
      </c>
      <c r="F13" s="109" t="s">
        <v>27</v>
      </c>
      <c r="G13" s="220" t="str">
        <f>HYPERLINK(CONCATENATE(BASE_URL,"0x05j-Testing-Resiliency-Against-Reverse-Engineering.md#testing-obfuscation-mstg-resilience-9"),"混淆测试 (MSTG-RESILIENCE-9)")</f>
        <v>混淆测试 (MSTG-RESILIENCE-9)</v>
      </c>
      <c r="H13" s="221"/>
    </row>
    <row r="14" spans="2:8" ht="33" x14ac:dyDescent="0.25">
      <c r="B14" s="116"/>
      <c r="C14" s="117"/>
      <c r="D14" s="118" t="s">
        <v>429</v>
      </c>
      <c r="E14" s="119"/>
      <c r="F14" s="119"/>
      <c r="G14" s="217"/>
      <c r="H14" s="218"/>
    </row>
    <row r="15" spans="2:8" ht="49.5" x14ac:dyDescent="0.35">
      <c r="B15" s="104" t="s">
        <v>172</v>
      </c>
      <c r="C15" s="105" t="s">
        <v>173</v>
      </c>
      <c r="D15" s="115" t="s">
        <v>421</v>
      </c>
      <c r="E15" s="219" t="s">
        <v>18</v>
      </c>
      <c r="F15" s="109" t="s">
        <v>27</v>
      </c>
      <c r="G15" s="220" t="str">
        <f>HYPERLINK(CONCATENATE(BASE_URL,"0x05j-Testing-Resiliency-Against-Reverse-Engineering.md#testing-device-binding-mstg-resilience-10"),"设备绑定测试 (MSTG-RESILIENCE-10)")</f>
        <v>设备绑定测试 (MSTG-RESILIENCE-10)</v>
      </c>
      <c r="H15" s="221"/>
    </row>
    <row r="16" spans="2:8" ht="33" x14ac:dyDescent="0.25">
      <c r="B16" s="116"/>
      <c r="C16" s="117"/>
      <c r="D16" s="118" t="s">
        <v>428</v>
      </c>
      <c r="E16" s="119"/>
      <c r="F16" s="119"/>
      <c r="G16" s="217"/>
      <c r="H16" s="218"/>
    </row>
    <row r="17" spans="2:8" ht="82.5" x14ac:dyDescent="0.35">
      <c r="B17" s="104" t="s">
        <v>174</v>
      </c>
      <c r="C17" s="105" t="s">
        <v>175</v>
      </c>
      <c r="D17" s="115" t="s">
        <v>422</v>
      </c>
      <c r="E17" s="219" t="s">
        <v>18</v>
      </c>
      <c r="F17" s="109" t="s">
        <v>27</v>
      </c>
      <c r="G17" s="220" t="str">
        <f>HYPERLINK(CONCATENATE(BASE_URL,"0x05j-Testing-Resiliency-Against-Reverse-Engineering.md#testing-obfuscation-mstg-resilience-9"),"混淆测试 (MSTG-RESILIENCE-9)")</f>
        <v>混淆测试 (MSTG-RESILIENCE-9)</v>
      </c>
      <c r="H17" s="221"/>
    </row>
    <row r="18" spans="2:8" ht="115.5" x14ac:dyDescent="0.35">
      <c r="B18" s="104" t="s">
        <v>176</v>
      </c>
      <c r="C18" s="105" t="s">
        <v>177</v>
      </c>
      <c r="D18" s="115" t="s">
        <v>423</v>
      </c>
      <c r="E18" s="219" t="s">
        <v>18</v>
      </c>
      <c r="F18" s="109" t="s">
        <v>27</v>
      </c>
      <c r="G18" s="220"/>
      <c r="H18" s="221"/>
    </row>
    <row r="19" spans="2:8" ht="33" x14ac:dyDescent="0.25">
      <c r="B19" s="116"/>
      <c r="C19" s="117"/>
      <c r="D19" s="118" t="s">
        <v>427</v>
      </c>
      <c r="E19" s="119"/>
      <c r="F19" s="119"/>
      <c r="G19" s="217"/>
      <c r="H19" s="218"/>
    </row>
    <row r="20" spans="2:8" ht="33" x14ac:dyDescent="0.35">
      <c r="B20" s="104" t="s">
        <v>424</v>
      </c>
      <c r="C20" s="105" t="s">
        <v>425</v>
      </c>
      <c r="D20" s="115" t="s">
        <v>426</v>
      </c>
      <c r="E20" s="219" t="s">
        <v>18</v>
      </c>
      <c r="F20" s="109" t="s">
        <v>27</v>
      </c>
      <c r="G20" s="224" t="s">
        <v>166</v>
      </c>
      <c r="H20" s="221"/>
    </row>
    <row r="21" spans="2:8" x14ac:dyDescent="0.25">
      <c r="B21" s="20"/>
      <c r="C21" s="21"/>
      <c r="D21" s="22"/>
      <c r="E21" s="23"/>
      <c r="F21" s="23"/>
      <c r="G21" s="36"/>
      <c r="H21" s="25"/>
    </row>
    <row r="22" spans="2:8" x14ac:dyDescent="0.25">
      <c r="B22" s="26"/>
      <c r="C22" s="26"/>
      <c r="D22" s="27"/>
      <c r="E22" s="28"/>
      <c r="F22" s="28"/>
      <c r="G22" s="29"/>
      <c r="H22" s="27"/>
    </row>
    <row r="23" spans="2:8" x14ac:dyDescent="0.25">
      <c r="B23" s="26"/>
      <c r="C23" s="26"/>
      <c r="D23" s="27"/>
      <c r="E23" s="28"/>
      <c r="F23" s="28"/>
      <c r="G23" s="29"/>
      <c r="H23" s="27"/>
    </row>
    <row r="24" spans="2:8" x14ac:dyDescent="0.25">
      <c r="B24" s="30" t="s">
        <v>148</v>
      </c>
      <c r="C24" s="30"/>
      <c r="D24" s="27"/>
      <c r="E24" s="28"/>
      <c r="F24" s="28"/>
      <c r="G24" s="29"/>
      <c r="H24" s="27"/>
    </row>
    <row r="25" spans="2:8" x14ac:dyDescent="0.25">
      <c r="B25" s="31" t="s">
        <v>265</v>
      </c>
      <c r="C25" s="31"/>
      <c r="D25" s="32" t="s">
        <v>266</v>
      </c>
      <c r="E25" s="28"/>
      <c r="F25" s="28"/>
      <c r="G25" s="29"/>
      <c r="H25" s="27"/>
    </row>
    <row r="26" spans="2:8" x14ac:dyDescent="0.25">
      <c r="B26" s="33" t="s">
        <v>149</v>
      </c>
      <c r="C26" s="33"/>
      <c r="D26" s="34" t="s">
        <v>287</v>
      </c>
      <c r="E26" s="28"/>
      <c r="F26" s="28"/>
      <c r="G26" s="29"/>
      <c r="H26" s="27"/>
    </row>
    <row r="27" spans="2:8" x14ac:dyDescent="0.25">
      <c r="B27" s="33" t="s">
        <v>150</v>
      </c>
      <c r="C27" s="33"/>
      <c r="D27" s="34" t="s">
        <v>288</v>
      </c>
      <c r="E27" s="28"/>
      <c r="F27" s="28"/>
      <c r="G27" s="29"/>
      <c r="H27" s="27"/>
    </row>
    <row r="28" spans="2:8" x14ac:dyDescent="0.25">
      <c r="B28" s="33" t="s">
        <v>27</v>
      </c>
      <c r="C28" s="33"/>
      <c r="D28" s="34" t="s">
        <v>289</v>
      </c>
      <c r="E28" s="28"/>
      <c r="F28" s="28"/>
      <c r="G28" s="29"/>
      <c r="H28" s="27"/>
    </row>
    <row r="29" spans="2:8" x14ac:dyDescent="0.25">
      <c r="B29" s="26"/>
      <c r="C29" s="26"/>
      <c r="D29" s="27"/>
      <c r="E29" s="28"/>
      <c r="F29" s="28"/>
      <c r="G29" s="29"/>
      <c r="H29" s="27"/>
    </row>
    <row r="30" spans="2:8" x14ac:dyDescent="0.25">
      <c r="B30" s="26"/>
      <c r="C30" s="26"/>
      <c r="D30" s="27"/>
      <c r="E30" s="28"/>
      <c r="F30" s="28"/>
      <c r="G30" s="29"/>
      <c r="H30" s="27"/>
    </row>
    <row r="31" spans="2:8" x14ac:dyDescent="0.25">
      <c r="B31" s="26"/>
      <c r="C31" s="26"/>
      <c r="D31" s="27"/>
      <c r="E31" s="28"/>
      <c r="F31" s="28"/>
      <c r="G31" s="29"/>
      <c r="H31" s="27"/>
    </row>
  </sheetData>
  <dataValidations count="1">
    <dataValidation type="list" allowBlank="1" showInputMessage="1" showErrorMessage="1" sqref="F5:F13 F15 F17:F18 F20" xr:uid="{00000000-0002-0000-03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91"/>
  <sheetViews>
    <sheetView topLeftCell="A70" zoomScale="107" zoomScaleNormal="107" workbookViewId="0">
      <selection activeCell="D72" sqref="D72"/>
    </sheetView>
  </sheetViews>
  <sheetFormatPr defaultColWidth="8.875" defaultRowHeight="15.75" x14ac:dyDescent="0.25"/>
  <cols>
    <col min="1" max="1" width="1.875" style="62" customWidth="1"/>
    <col min="2" max="2" width="8" style="83" customWidth="1"/>
    <col min="3" max="3" width="20.625" style="83" customWidth="1"/>
    <col min="4" max="4" width="97.375" style="84" customWidth="1"/>
    <col min="5" max="6" width="6.625" style="62" customWidth="1"/>
    <col min="7" max="7" width="5.875" style="62" customWidth="1"/>
    <col min="8" max="8" width="91.625" style="62" customWidth="1"/>
    <col min="9" max="10" width="75.375" style="62" customWidth="1"/>
    <col min="11" max="11" width="30.875" style="84" customWidth="1"/>
    <col min="12" max="12" width="11" style="62" customWidth="1"/>
    <col min="13" max="14" width="10.875" style="62" customWidth="1"/>
    <col min="15" max="1025" width="11" style="62" customWidth="1"/>
    <col min="1026" max="16384" width="8.875" style="62"/>
  </cols>
  <sheetData>
    <row r="1" spans="1:1026" ht="18.75" x14ac:dyDescent="0.25">
      <c r="B1" s="66" t="s">
        <v>291</v>
      </c>
      <c r="C1" s="66"/>
      <c r="D1" s="67"/>
      <c r="E1" s="68"/>
      <c r="F1" s="68"/>
      <c r="G1" s="68"/>
      <c r="H1" s="67"/>
      <c r="I1" s="69"/>
      <c r="J1" s="69"/>
      <c r="K1" s="67"/>
    </row>
    <row r="2" spans="1:1026" x14ac:dyDescent="0.25">
      <c r="B2" s="70"/>
      <c r="C2" s="70"/>
      <c r="D2" s="67"/>
      <c r="E2" s="68"/>
      <c r="F2" s="68"/>
      <c r="G2" s="68"/>
      <c r="H2" s="68"/>
      <c r="I2" s="68"/>
      <c r="J2" s="68"/>
      <c r="K2" s="67"/>
    </row>
    <row r="3" spans="1:1026" ht="15.6" customHeight="1" x14ac:dyDescent="0.25">
      <c r="B3" s="92" t="s">
        <v>8</v>
      </c>
      <c r="C3" s="93" t="s">
        <v>9</v>
      </c>
      <c r="D3" s="193" t="s">
        <v>357</v>
      </c>
      <c r="E3" s="95" t="s">
        <v>10</v>
      </c>
      <c r="F3" s="95" t="s">
        <v>11</v>
      </c>
      <c r="G3" s="95" t="s">
        <v>264</v>
      </c>
      <c r="H3" s="194" t="s">
        <v>271</v>
      </c>
      <c r="I3" s="194"/>
      <c r="J3" s="194"/>
      <c r="K3" s="195" t="s">
        <v>14</v>
      </c>
    </row>
    <row r="4" spans="1:1026" ht="33" x14ac:dyDescent="0.25">
      <c r="B4" s="98" t="s">
        <v>15</v>
      </c>
      <c r="C4" s="99"/>
      <c r="D4" s="196" t="s">
        <v>356</v>
      </c>
      <c r="E4" s="101"/>
      <c r="F4" s="101"/>
      <c r="G4" s="101"/>
      <c r="H4" s="196"/>
      <c r="I4" s="196"/>
      <c r="J4" s="197"/>
      <c r="K4" s="198"/>
    </row>
    <row r="5" spans="1:1026" ht="45" customHeight="1" x14ac:dyDescent="0.25">
      <c r="B5" s="104" t="s">
        <v>16</v>
      </c>
      <c r="C5" s="105" t="s">
        <v>17</v>
      </c>
      <c r="D5" s="106" t="s">
        <v>321</v>
      </c>
      <c r="E5" s="107" t="s">
        <v>18</v>
      </c>
      <c r="F5" s="108" t="s">
        <v>18</v>
      </c>
      <c r="G5" s="109" t="s">
        <v>149</v>
      </c>
      <c r="H5" s="114" t="str">
        <f>HYPERLINK(CONCATENATE( BASE_URL, "0x04b-Mobile-App-Security-Testing.md#architectural-information"), "架构信息")</f>
        <v>架构信息</v>
      </c>
      <c r="I5" s="199"/>
      <c r="J5" s="199"/>
      <c r="K5" s="200"/>
    </row>
    <row r="6" spans="1:1026" ht="45" customHeight="1" x14ac:dyDescent="0.25">
      <c r="B6" s="104" t="s">
        <v>19</v>
      </c>
      <c r="C6" s="105" t="s">
        <v>20</v>
      </c>
      <c r="D6" s="106" t="s">
        <v>322</v>
      </c>
      <c r="E6" s="107" t="s">
        <v>18</v>
      </c>
      <c r="F6" s="108" t="s">
        <v>18</v>
      </c>
      <c r="G6" s="109"/>
      <c r="H6" s="201" t="str">
        <f>HYPERLINK(CONCATENATE( BASE_URL, "0x04h-Testing-Code-Quality.md#injection-flaws-mstg-arch-2-and-mstg-platform-2"), "Injection Flaws (MSTG-ARCH-2 and MSTG-PLATFORM-2)")</f>
        <v>Injection Flaws (MSTG-ARCH-2 and MSTG-PLATFORM-2)</v>
      </c>
      <c r="I6" s="114"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202"/>
      <c r="K6" s="200"/>
    </row>
    <row r="7" spans="1:1026" ht="45" customHeight="1" x14ac:dyDescent="0.25">
      <c r="B7" s="104" t="s">
        <v>21</v>
      </c>
      <c r="C7" s="105" t="s">
        <v>22</v>
      </c>
      <c r="D7" s="106" t="s">
        <v>323</v>
      </c>
      <c r="E7" s="107" t="s">
        <v>18</v>
      </c>
      <c r="F7" s="108" t="s">
        <v>18</v>
      </c>
      <c r="G7" s="109"/>
      <c r="H7" s="201" t="str">
        <f>HYPERLINK(CONCATENATE( BASE_URL, "0x04b-Mobile-App-Security-Testing.md#architectural-information"), "Architectural Information")</f>
        <v>Architectural Information</v>
      </c>
      <c r="I7" s="199"/>
      <c r="J7" s="199"/>
      <c r="K7" s="200"/>
    </row>
    <row r="8" spans="1:1026" ht="45" customHeight="1" x14ac:dyDescent="0.25">
      <c r="B8" s="104" t="s">
        <v>23</v>
      </c>
      <c r="C8" s="105" t="s">
        <v>24</v>
      </c>
      <c r="D8" s="106" t="s">
        <v>324</v>
      </c>
      <c r="E8" s="107" t="s">
        <v>18</v>
      </c>
      <c r="F8" s="108" t="s">
        <v>18</v>
      </c>
      <c r="G8" s="109"/>
      <c r="H8" s="201" t="str">
        <f>HYPERLINK(CONCATENATE( BASE_URL, "0x04b-Mobile-App-Security-Testing.md#identifying-sensitive-data"), "Identifying Sensitive Data")</f>
        <v>Identifying Sensitive Data</v>
      </c>
      <c r="I8" s="199"/>
      <c r="J8" s="199"/>
      <c r="K8" s="200"/>
    </row>
    <row r="9" spans="1:1026" ht="45" customHeight="1" x14ac:dyDescent="0.25">
      <c r="B9" s="104" t="s">
        <v>25</v>
      </c>
      <c r="C9" s="105" t="s">
        <v>26</v>
      </c>
      <c r="D9" s="106" t="s">
        <v>325</v>
      </c>
      <c r="E9" s="113"/>
      <c r="F9" s="108" t="s">
        <v>18</v>
      </c>
      <c r="G9" s="109" t="s">
        <v>27</v>
      </c>
      <c r="H9" s="201" t="str">
        <f>HYPERLINK(CONCATENATE( BASE_URL, "0x04b-Mobile-App-Security-Testing.md#environmental-information"), "Environmental Information")</f>
        <v>Environmental Information</v>
      </c>
      <c r="I9" s="199"/>
      <c r="J9" s="199"/>
      <c r="K9" s="200"/>
    </row>
    <row r="10" spans="1:1026" ht="45" customHeight="1" x14ac:dyDescent="0.25">
      <c r="B10" s="104" t="s">
        <v>28</v>
      </c>
      <c r="C10" s="105" t="s">
        <v>29</v>
      </c>
      <c r="D10" s="106" t="s">
        <v>326</v>
      </c>
      <c r="E10" s="113"/>
      <c r="F10" s="108" t="s">
        <v>18</v>
      </c>
      <c r="G10" s="109" t="s">
        <v>27</v>
      </c>
      <c r="H10" s="201" t="str">
        <f>HYPERLINK(CONCATENATE( BASE_URL, "0x04b-Mobile-App-Security-Testing.md#mapping-the-application"), "Mapping the Application")</f>
        <v>Mapping the Application</v>
      </c>
      <c r="I10" s="199"/>
      <c r="J10" s="199"/>
      <c r="K10" s="200"/>
    </row>
    <row r="11" spans="1:1026" ht="45" customHeight="1" x14ac:dyDescent="0.25">
      <c r="B11" s="104" t="s">
        <v>30</v>
      </c>
      <c r="C11" s="105" t="s">
        <v>31</v>
      </c>
      <c r="D11" s="106" t="s">
        <v>327</v>
      </c>
      <c r="E11" s="113"/>
      <c r="F11" s="108" t="s">
        <v>18</v>
      </c>
      <c r="G11" s="109" t="s">
        <v>27</v>
      </c>
      <c r="H11" s="201" t="str">
        <f>HYPERLINK(CONCATENATE( BASE_URL, "0x04b-Mobile-App-Security-Testing.md#principles-of-testing"), "Principles of Testing")</f>
        <v>Principles of Testing</v>
      </c>
      <c r="I11" s="203" t="str">
        <f>HYPERLINK(CONCATENATE( BASE_URL, "0x04b-Mobile-App-Security-Testing.md#penetration-testing-aka-pentesting"), "Penetration Testing (a.k.a. Pentesting)")</f>
        <v>Penetration Testing (a.k.a. Pentesting)</v>
      </c>
      <c r="J11" s="203"/>
      <c r="K11" s="200"/>
    </row>
    <row r="12" spans="1:1026" ht="45" customHeight="1" x14ac:dyDescent="0.25">
      <c r="B12" s="104" t="s">
        <v>32</v>
      </c>
      <c r="C12" s="105" t="s">
        <v>33</v>
      </c>
      <c r="D12" s="106" t="s">
        <v>328</v>
      </c>
      <c r="E12" s="113"/>
      <c r="F12" s="108" t="s">
        <v>18</v>
      </c>
      <c r="G12" s="109" t="s">
        <v>27</v>
      </c>
      <c r="H12" s="201" t="str">
        <f>HYPERLINK(CONCATENATE( BASE_URL, "0x04g-Testing-Cryptography.md#cryptographic-policy"), "Cryptographic policy")</f>
        <v>Cryptographic policy</v>
      </c>
      <c r="I12" s="199"/>
      <c r="J12" s="199"/>
      <c r="K12" s="200"/>
    </row>
    <row r="13" spans="1:1026" ht="45" customHeight="1" x14ac:dyDescent="0.25">
      <c r="B13" s="104" t="s">
        <v>34</v>
      </c>
      <c r="C13" s="105" t="s">
        <v>35</v>
      </c>
      <c r="D13" s="106" t="s">
        <v>329</v>
      </c>
      <c r="E13" s="113"/>
      <c r="F13" s="108" t="s">
        <v>18</v>
      </c>
      <c r="G13" s="109" t="s">
        <v>27</v>
      </c>
      <c r="H13" s="201" t="str">
        <f>HYPERLINK(CONCATENATE( BASE_URL, "0x06h-Testing-Platform-Interaction.md#testing-enforced-updating-mstg-arch-9"), "Testing enforced updating (MSTG-ARCH-9)")</f>
        <v>Testing enforced updating (MSTG-ARCH-9)</v>
      </c>
      <c r="I13" s="199"/>
      <c r="J13" s="199"/>
      <c r="K13" s="200"/>
    </row>
    <row r="14" spans="1:1026" ht="45" customHeight="1" x14ac:dyDescent="0.25">
      <c r="B14" s="104" t="s">
        <v>36</v>
      </c>
      <c r="C14" s="105" t="s">
        <v>37</v>
      </c>
      <c r="D14" s="106" t="s">
        <v>330</v>
      </c>
      <c r="E14" s="113"/>
      <c r="F14" s="108" t="s">
        <v>18</v>
      </c>
      <c r="G14" s="109" t="s">
        <v>27</v>
      </c>
      <c r="H14" s="201" t="str">
        <f>HYPERLINK(CONCATENATE( BASE_URL, "0x04b-Mobile-App-Security-Testing.md#security-testing-and-the-sdlc"), "Security Testing and the SDLC")</f>
        <v>Security Testing and the SDLC</v>
      </c>
      <c r="I14" s="199"/>
      <c r="J14" s="199"/>
      <c r="K14" s="200"/>
    </row>
    <row r="15" spans="1:1026" s="72" customFormat="1" ht="45" customHeight="1" x14ac:dyDescent="0.25">
      <c r="A15" s="71"/>
      <c r="B15" s="104" t="s">
        <v>305</v>
      </c>
      <c r="C15" s="105" t="s">
        <v>307</v>
      </c>
      <c r="D15" s="106" t="s">
        <v>331</v>
      </c>
      <c r="E15" s="113"/>
      <c r="F15" s="108" t="s">
        <v>18</v>
      </c>
      <c r="G15" s="109" t="s">
        <v>27</v>
      </c>
      <c r="H15" s="110"/>
      <c r="I15" s="110"/>
      <c r="J15" s="110"/>
      <c r="K15" s="131"/>
      <c r="L15" s="63"/>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1"/>
      <c r="BM15" s="71"/>
      <c r="BN15" s="71"/>
      <c r="BO15" s="71"/>
      <c r="BP15" s="71"/>
      <c r="BQ15" s="71"/>
      <c r="BR15" s="71"/>
      <c r="BS15" s="71"/>
      <c r="BT15" s="71"/>
      <c r="BU15" s="71"/>
      <c r="BV15" s="71"/>
      <c r="BW15" s="71"/>
      <c r="BX15" s="71"/>
      <c r="BY15" s="71"/>
      <c r="BZ15" s="71"/>
      <c r="CA15" s="71"/>
      <c r="CB15" s="71"/>
      <c r="CC15" s="71"/>
      <c r="CD15" s="71"/>
      <c r="CE15" s="71"/>
      <c r="CF15" s="71"/>
      <c r="CG15" s="71"/>
      <c r="CH15" s="71"/>
      <c r="CI15" s="71"/>
      <c r="CJ15" s="71"/>
      <c r="CK15" s="71"/>
      <c r="CL15" s="71"/>
      <c r="CM15" s="71"/>
      <c r="CN15" s="71"/>
      <c r="CO15" s="71"/>
      <c r="CP15" s="71"/>
      <c r="CQ15" s="71"/>
      <c r="CR15" s="71"/>
      <c r="CS15" s="71"/>
      <c r="CT15" s="71"/>
      <c r="CU15" s="71"/>
      <c r="CV15" s="71"/>
      <c r="CW15" s="71"/>
      <c r="CX15" s="71"/>
      <c r="CY15" s="71"/>
      <c r="CZ15" s="71"/>
      <c r="DA15" s="71"/>
      <c r="DB15" s="71"/>
      <c r="DC15" s="71"/>
      <c r="DD15" s="71"/>
      <c r="DE15" s="71"/>
      <c r="DF15" s="71"/>
      <c r="DG15" s="71"/>
      <c r="DH15" s="71"/>
      <c r="DI15" s="71"/>
      <c r="DJ15" s="71"/>
      <c r="DK15" s="71"/>
      <c r="DL15" s="71"/>
      <c r="DM15" s="71"/>
      <c r="DN15" s="71"/>
      <c r="DO15" s="71"/>
      <c r="DP15" s="71"/>
      <c r="DQ15" s="71"/>
      <c r="DR15" s="71"/>
      <c r="DS15" s="71"/>
      <c r="DT15" s="71"/>
      <c r="DU15" s="71"/>
      <c r="DV15" s="71"/>
      <c r="DW15" s="71"/>
      <c r="DX15" s="71"/>
      <c r="DY15" s="71"/>
      <c r="DZ15" s="71"/>
      <c r="EA15" s="71"/>
      <c r="EB15" s="71"/>
      <c r="EC15" s="71"/>
      <c r="ED15" s="71"/>
      <c r="EE15" s="71"/>
      <c r="EF15" s="71"/>
      <c r="EG15" s="71"/>
      <c r="EH15" s="71"/>
      <c r="EI15" s="71"/>
      <c r="EJ15" s="71"/>
      <c r="EK15" s="71"/>
      <c r="EL15" s="71"/>
      <c r="EM15" s="71"/>
      <c r="EN15" s="71"/>
      <c r="EO15" s="71"/>
      <c r="EP15" s="71"/>
      <c r="EQ15" s="71"/>
      <c r="ER15" s="71"/>
      <c r="ES15" s="71"/>
      <c r="ET15" s="71"/>
      <c r="EU15" s="71"/>
      <c r="EV15" s="71"/>
      <c r="EW15" s="71"/>
      <c r="EX15" s="71"/>
      <c r="EY15" s="71"/>
      <c r="EZ15" s="71"/>
      <c r="FA15" s="71"/>
      <c r="FB15" s="71"/>
      <c r="FC15" s="71"/>
      <c r="FD15" s="71"/>
      <c r="FE15" s="71"/>
      <c r="FF15" s="71"/>
      <c r="FG15" s="71"/>
      <c r="FH15" s="71"/>
      <c r="FI15" s="71"/>
      <c r="FJ15" s="71"/>
      <c r="FK15" s="71"/>
      <c r="FL15" s="71"/>
      <c r="FM15" s="71"/>
      <c r="FN15" s="71"/>
      <c r="FO15" s="71"/>
      <c r="FP15" s="71"/>
      <c r="FQ15" s="71"/>
      <c r="FR15" s="71"/>
      <c r="FS15" s="71"/>
      <c r="FT15" s="71"/>
      <c r="FU15" s="71"/>
      <c r="FV15" s="71"/>
      <c r="FW15" s="71"/>
      <c r="FX15" s="71"/>
      <c r="FY15" s="71"/>
      <c r="FZ15" s="71"/>
      <c r="GA15" s="71"/>
      <c r="GB15" s="71"/>
      <c r="GC15" s="71"/>
      <c r="GD15" s="71"/>
      <c r="GE15" s="71"/>
      <c r="GF15" s="71"/>
      <c r="GG15" s="71"/>
      <c r="GH15" s="71"/>
      <c r="GI15" s="71"/>
      <c r="GJ15" s="71"/>
      <c r="GK15" s="71"/>
      <c r="GL15" s="71"/>
      <c r="GM15" s="71"/>
      <c r="GN15" s="71"/>
      <c r="GO15" s="71"/>
      <c r="GP15" s="71"/>
      <c r="GQ15" s="71"/>
      <c r="GR15" s="71"/>
      <c r="GS15" s="71"/>
      <c r="GT15" s="71"/>
      <c r="GU15" s="71"/>
      <c r="GV15" s="71"/>
      <c r="GW15" s="71"/>
      <c r="GX15" s="71"/>
      <c r="GY15" s="71"/>
      <c r="GZ15" s="71"/>
      <c r="HA15" s="71"/>
      <c r="HB15" s="71"/>
      <c r="HC15" s="71"/>
      <c r="HD15" s="71"/>
      <c r="HE15" s="71"/>
      <c r="HF15" s="71"/>
      <c r="HG15" s="71"/>
      <c r="HH15" s="71"/>
      <c r="HI15" s="71"/>
      <c r="HJ15" s="71"/>
      <c r="HK15" s="71"/>
      <c r="HL15" s="71"/>
      <c r="HM15" s="71"/>
      <c r="HN15" s="71"/>
      <c r="HO15" s="71"/>
      <c r="HP15" s="71"/>
      <c r="HQ15" s="71"/>
      <c r="HR15" s="71"/>
      <c r="HS15" s="71"/>
      <c r="HT15" s="71"/>
      <c r="HU15" s="71"/>
      <c r="HV15" s="71"/>
      <c r="HW15" s="71"/>
      <c r="HX15" s="71"/>
      <c r="HY15" s="71"/>
      <c r="HZ15" s="71"/>
      <c r="IA15" s="71"/>
      <c r="IB15" s="71"/>
      <c r="IC15" s="71"/>
      <c r="ID15" s="71"/>
      <c r="IE15" s="71"/>
      <c r="IF15" s="71"/>
      <c r="IG15" s="71"/>
      <c r="IH15" s="71"/>
      <c r="II15" s="71"/>
      <c r="IJ15" s="71"/>
      <c r="IK15" s="71"/>
      <c r="IL15" s="71"/>
      <c r="IM15" s="71"/>
      <c r="IN15" s="71"/>
      <c r="IO15" s="71"/>
      <c r="IP15" s="71"/>
      <c r="IQ15" s="71"/>
      <c r="IR15" s="71"/>
      <c r="IS15" s="71"/>
      <c r="IT15" s="71"/>
      <c r="IU15" s="71"/>
      <c r="IV15" s="71"/>
      <c r="IW15" s="71"/>
      <c r="IX15" s="71"/>
      <c r="IY15" s="71"/>
      <c r="IZ15" s="71"/>
      <c r="JA15" s="71"/>
      <c r="JB15" s="71"/>
      <c r="JC15" s="71"/>
      <c r="JD15" s="71"/>
      <c r="JE15" s="71"/>
      <c r="JF15" s="71"/>
      <c r="JG15" s="71"/>
      <c r="JH15" s="71"/>
      <c r="JI15" s="71"/>
      <c r="JJ15" s="71"/>
      <c r="JK15" s="71"/>
      <c r="JL15" s="71"/>
      <c r="JM15" s="71"/>
      <c r="JN15" s="71"/>
      <c r="JO15" s="71"/>
      <c r="JP15" s="71"/>
      <c r="JQ15" s="71"/>
      <c r="JR15" s="71"/>
      <c r="JS15" s="71"/>
      <c r="JT15" s="71"/>
      <c r="JU15" s="71"/>
      <c r="JV15" s="71"/>
      <c r="JW15" s="71"/>
      <c r="JX15" s="71"/>
      <c r="JY15" s="71"/>
      <c r="JZ15" s="71"/>
      <c r="KA15" s="71"/>
      <c r="KB15" s="71"/>
      <c r="KC15" s="71"/>
      <c r="KD15" s="71"/>
      <c r="KE15" s="71"/>
      <c r="KF15" s="71"/>
      <c r="KG15" s="71"/>
      <c r="KH15" s="71"/>
      <c r="KI15" s="71"/>
      <c r="KJ15" s="71"/>
      <c r="KK15" s="71"/>
      <c r="KL15" s="71"/>
      <c r="KM15" s="71"/>
      <c r="KN15" s="71"/>
      <c r="KO15" s="71"/>
      <c r="KP15" s="71"/>
      <c r="KQ15" s="71"/>
      <c r="KR15" s="71"/>
      <c r="KS15" s="71"/>
      <c r="KT15" s="71"/>
      <c r="KU15" s="71"/>
      <c r="KV15" s="71"/>
      <c r="KW15" s="71"/>
      <c r="KX15" s="71"/>
      <c r="KY15" s="71"/>
      <c r="KZ15" s="71"/>
      <c r="LA15" s="71"/>
      <c r="LB15" s="71"/>
      <c r="LC15" s="71"/>
      <c r="LD15" s="71"/>
      <c r="LE15" s="71"/>
      <c r="LF15" s="71"/>
      <c r="LG15" s="71"/>
      <c r="LH15" s="71"/>
      <c r="LI15" s="71"/>
      <c r="LJ15" s="71"/>
      <c r="LK15" s="71"/>
      <c r="LL15" s="71"/>
      <c r="LM15" s="71"/>
      <c r="LN15" s="71"/>
      <c r="LO15" s="71"/>
      <c r="LP15" s="71"/>
      <c r="LQ15" s="71"/>
      <c r="LR15" s="71"/>
      <c r="LS15" s="71"/>
      <c r="LT15" s="71"/>
      <c r="LU15" s="71"/>
      <c r="LV15" s="71"/>
      <c r="LW15" s="71"/>
      <c r="LX15" s="71"/>
      <c r="LY15" s="71"/>
      <c r="LZ15" s="71"/>
      <c r="MA15" s="71"/>
      <c r="MB15" s="71"/>
      <c r="MC15" s="71"/>
      <c r="MD15" s="71"/>
      <c r="ME15" s="71"/>
      <c r="MF15" s="71"/>
      <c r="MG15" s="71"/>
      <c r="MH15" s="71"/>
      <c r="MI15" s="71"/>
      <c r="MJ15" s="71"/>
      <c r="MK15" s="71"/>
      <c r="ML15" s="71"/>
      <c r="MM15" s="71"/>
      <c r="MN15" s="71"/>
      <c r="MO15" s="71"/>
      <c r="MP15" s="71"/>
      <c r="MQ15" s="71"/>
      <c r="MR15" s="71"/>
      <c r="MS15" s="71"/>
      <c r="MT15" s="71"/>
      <c r="MU15" s="71"/>
      <c r="MV15" s="71"/>
      <c r="MW15" s="71"/>
      <c r="MX15" s="71"/>
      <c r="MY15" s="71"/>
      <c r="MZ15" s="71"/>
      <c r="NA15" s="71"/>
      <c r="NB15" s="71"/>
      <c r="NC15" s="71"/>
      <c r="ND15" s="71"/>
      <c r="NE15" s="71"/>
      <c r="NF15" s="71"/>
      <c r="NG15" s="71"/>
      <c r="NH15" s="71"/>
      <c r="NI15" s="71"/>
      <c r="NJ15" s="71"/>
      <c r="NK15" s="71"/>
      <c r="NL15" s="71"/>
      <c r="NM15" s="71"/>
      <c r="NN15" s="71"/>
      <c r="NO15" s="71"/>
      <c r="NP15" s="71"/>
      <c r="NQ15" s="71"/>
      <c r="NR15" s="71"/>
      <c r="NS15" s="71"/>
      <c r="NT15" s="71"/>
      <c r="NU15" s="71"/>
      <c r="NV15" s="71"/>
      <c r="NW15" s="71"/>
      <c r="NX15" s="71"/>
      <c r="NY15" s="71"/>
      <c r="NZ15" s="71"/>
      <c r="OA15" s="71"/>
      <c r="OB15" s="71"/>
      <c r="OC15" s="71"/>
      <c r="OD15" s="71"/>
      <c r="OE15" s="71"/>
      <c r="OF15" s="71"/>
      <c r="OG15" s="71"/>
      <c r="OH15" s="71"/>
      <c r="OI15" s="71"/>
      <c r="OJ15" s="71"/>
      <c r="OK15" s="71"/>
      <c r="OL15" s="71"/>
      <c r="OM15" s="71"/>
      <c r="ON15" s="71"/>
      <c r="OO15" s="71"/>
      <c r="OP15" s="71"/>
      <c r="OQ15" s="71"/>
      <c r="OR15" s="71"/>
      <c r="OS15" s="71"/>
      <c r="OT15" s="71"/>
      <c r="OU15" s="71"/>
      <c r="OV15" s="71"/>
      <c r="OW15" s="71"/>
      <c r="OX15" s="71"/>
      <c r="OY15" s="71"/>
      <c r="OZ15" s="71"/>
      <c r="PA15" s="71"/>
      <c r="PB15" s="71"/>
      <c r="PC15" s="71"/>
      <c r="PD15" s="71"/>
      <c r="PE15" s="71"/>
      <c r="PF15" s="71"/>
      <c r="PG15" s="71"/>
      <c r="PH15" s="71"/>
      <c r="PI15" s="71"/>
      <c r="PJ15" s="71"/>
      <c r="PK15" s="71"/>
      <c r="PL15" s="71"/>
      <c r="PM15" s="71"/>
      <c r="PN15" s="71"/>
      <c r="PO15" s="71"/>
      <c r="PP15" s="71"/>
      <c r="PQ15" s="71"/>
      <c r="PR15" s="71"/>
      <c r="PS15" s="71"/>
      <c r="PT15" s="71"/>
      <c r="PU15" s="71"/>
      <c r="PV15" s="71"/>
      <c r="PW15" s="71"/>
      <c r="PX15" s="71"/>
      <c r="PY15" s="71"/>
      <c r="PZ15" s="71"/>
      <c r="QA15" s="71"/>
      <c r="QB15" s="71"/>
      <c r="QC15" s="71"/>
      <c r="QD15" s="71"/>
      <c r="QE15" s="71"/>
      <c r="QF15" s="71"/>
      <c r="QG15" s="71"/>
      <c r="QH15" s="71"/>
      <c r="QI15" s="71"/>
      <c r="QJ15" s="71"/>
      <c r="QK15" s="71"/>
      <c r="QL15" s="71"/>
      <c r="QM15" s="71"/>
      <c r="QN15" s="71"/>
      <c r="QO15" s="71"/>
      <c r="QP15" s="71"/>
      <c r="QQ15" s="71"/>
      <c r="QR15" s="71"/>
      <c r="QS15" s="71"/>
      <c r="QT15" s="71"/>
      <c r="QU15" s="71"/>
      <c r="QV15" s="71"/>
      <c r="QW15" s="71"/>
      <c r="QX15" s="71"/>
      <c r="QY15" s="71"/>
      <c r="QZ15" s="71"/>
      <c r="RA15" s="71"/>
      <c r="RB15" s="71"/>
      <c r="RC15" s="71"/>
      <c r="RD15" s="71"/>
      <c r="RE15" s="71"/>
      <c r="RF15" s="71"/>
      <c r="RG15" s="71"/>
      <c r="RH15" s="71"/>
      <c r="RI15" s="71"/>
      <c r="RJ15" s="71"/>
      <c r="RK15" s="71"/>
      <c r="RL15" s="71"/>
      <c r="RM15" s="71"/>
      <c r="RN15" s="71"/>
      <c r="RO15" s="71"/>
      <c r="RP15" s="71"/>
      <c r="RQ15" s="71"/>
      <c r="RR15" s="71"/>
      <c r="RS15" s="71"/>
      <c r="RT15" s="71"/>
      <c r="RU15" s="71"/>
      <c r="RV15" s="71"/>
      <c r="RW15" s="71"/>
      <c r="RX15" s="71"/>
      <c r="RY15" s="71"/>
      <c r="RZ15" s="71"/>
      <c r="SA15" s="71"/>
      <c r="SB15" s="71"/>
      <c r="SC15" s="71"/>
      <c r="SD15" s="71"/>
      <c r="SE15" s="71"/>
      <c r="SF15" s="71"/>
      <c r="SG15" s="71"/>
      <c r="SH15" s="71"/>
      <c r="SI15" s="71"/>
      <c r="SJ15" s="71"/>
      <c r="SK15" s="71"/>
      <c r="SL15" s="71"/>
      <c r="SM15" s="71"/>
      <c r="SN15" s="71"/>
      <c r="SO15" s="71"/>
      <c r="SP15" s="71"/>
      <c r="SQ15" s="71"/>
      <c r="SR15" s="71"/>
      <c r="SS15" s="71"/>
      <c r="ST15" s="71"/>
      <c r="SU15" s="71"/>
      <c r="SV15" s="71"/>
      <c r="SW15" s="71"/>
      <c r="SX15" s="71"/>
      <c r="SY15" s="71"/>
      <c r="SZ15" s="71"/>
      <c r="TA15" s="71"/>
      <c r="TB15" s="71"/>
      <c r="TC15" s="71"/>
      <c r="TD15" s="71"/>
      <c r="TE15" s="71"/>
      <c r="TF15" s="71"/>
      <c r="TG15" s="71"/>
      <c r="TH15" s="71"/>
      <c r="TI15" s="71"/>
      <c r="TJ15" s="71"/>
      <c r="TK15" s="71"/>
      <c r="TL15" s="71"/>
      <c r="TM15" s="71"/>
      <c r="TN15" s="71"/>
      <c r="TO15" s="71"/>
      <c r="TP15" s="71"/>
      <c r="TQ15" s="71"/>
      <c r="TR15" s="71"/>
      <c r="TS15" s="71"/>
      <c r="TT15" s="71"/>
      <c r="TU15" s="71"/>
      <c r="TV15" s="71"/>
      <c r="TW15" s="71"/>
      <c r="TX15" s="71"/>
      <c r="TY15" s="71"/>
      <c r="TZ15" s="71"/>
      <c r="UA15" s="71"/>
      <c r="UB15" s="71"/>
      <c r="UC15" s="71"/>
      <c r="UD15" s="71"/>
      <c r="UE15" s="71"/>
      <c r="UF15" s="71"/>
      <c r="UG15" s="71"/>
      <c r="UH15" s="71"/>
      <c r="UI15" s="71"/>
      <c r="UJ15" s="71"/>
      <c r="UK15" s="71"/>
      <c r="UL15" s="71"/>
      <c r="UM15" s="71"/>
      <c r="UN15" s="71"/>
      <c r="UO15" s="71"/>
      <c r="UP15" s="71"/>
      <c r="UQ15" s="71"/>
      <c r="UR15" s="71"/>
      <c r="US15" s="71"/>
      <c r="UT15" s="71"/>
      <c r="UU15" s="71"/>
      <c r="UV15" s="71"/>
      <c r="UW15" s="71"/>
      <c r="UX15" s="71"/>
      <c r="UY15" s="71"/>
      <c r="UZ15" s="71"/>
      <c r="VA15" s="71"/>
      <c r="VB15" s="71"/>
      <c r="VC15" s="71"/>
      <c r="VD15" s="71"/>
      <c r="VE15" s="71"/>
      <c r="VF15" s="71"/>
      <c r="VG15" s="71"/>
      <c r="VH15" s="71"/>
      <c r="VI15" s="71"/>
      <c r="VJ15" s="71"/>
      <c r="VK15" s="71"/>
      <c r="VL15" s="71"/>
      <c r="VM15" s="71"/>
      <c r="VN15" s="71"/>
      <c r="VO15" s="71"/>
      <c r="VP15" s="71"/>
      <c r="VQ15" s="71"/>
      <c r="VR15" s="71"/>
      <c r="VS15" s="71"/>
      <c r="VT15" s="71"/>
      <c r="VU15" s="71"/>
      <c r="VV15" s="71"/>
      <c r="VW15" s="71"/>
      <c r="VX15" s="71"/>
      <c r="VY15" s="71"/>
      <c r="VZ15" s="71"/>
      <c r="WA15" s="71"/>
      <c r="WB15" s="71"/>
      <c r="WC15" s="71"/>
      <c r="WD15" s="71"/>
      <c r="WE15" s="71"/>
      <c r="WF15" s="71"/>
      <c r="WG15" s="71"/>
      <c r="WH15" s="71"/>
      <c r="WI15" s="71"/>
      <c r="WJ15" s="71"/>
      <c r="WK15" s="71"/>
      <c r="WL15" s="71"/>
      <c r="WM15" s="71"/>
      <c r="WN15" s="71"/>
      <c r="WO15" s="71"/>
      <c r="WP15" s="71"/>
      <c r="WQ15" s="71"/>
      <c r="WR15" s="71"/>
      <c r="WS15" s="71"/>
      <c r="WT15" s="71"/>
      <c r="WU15" s="71"/>
      <c r="WV15" s="71"/>
      <c r="WW15" s="71"/>
      <c r="WX15" s="71"/>
      <c r="WY15" s="71"/>
      <c r="WZ15" s="71"/>
      <c r="XA15" s="71"/>
      <c r="XB15" s="71"/>
      <c r="XC15" s="71"/>
      <c r="XD15" s="71"/>
      <c r="XE15" s="71"/>
      <c r="XF15" s="71"/>
      <c r="XG15" s="71"/>
      <c r="XH15" s="71"/>
      <c r="XI15" s="71"/>
      <c r="XJ15" s="71"/>
      <c r="XK15" s="71"/>
      <c r="XL15" s="71"/>
      <c r="XM15" s="71"/>
      <c r="XN15" s="71"/>
      <c r="XO15" s="71"/>
      <c r="XP15" s="71"/>
      <c r="XQ15" s="71"/>
      <c r="XR15" s="71"/>
      <c r="XS15" s="71"/>
      <c r="XT15" s="71"/>
      <c r="XU15" s="71"/>
      <c r="XV15" s="71"/>
      <c r="XW15" s="71"/>
      <c r="XX15" s="71"/>
      <c r="XY15" s="71"/>
      <c r="XZ15" s="71"/>
      <c r="YA15" s="71"/>
      <c r="YB15" s="71"/>
      <c r="YC15" s="71"/>
      <c r="YD15" s="71"/>
      <c r="YE15" s="71"/>
      <c r="YF15" s="71"/>
      <c r="YG15" s="71"/>
      <c r="YH15" s="71"/>
      <c r="YI15" s="71"/>
      <c r="YJ15" s="71"/>
      <c r="YK15" s="71"/>
      <c r="YL15" s="71"/>
      <c r="YM15" s="71"/>
      <c r="YN15" s="71"/>
      <c r="YO15" s="71"/>
      <c r="YP15" s="71"/>
      <c r="YQ15" s="71"/>
      <c r="YR15" s="71"/>
      <c r="YS15" s="71"/>
      <c r="YT15" s="71"/>
      <c r="YU15" s="71"/>
      <c r="YV15" s="71"/>
      <c r="YW15" s="71"/>
      <c r="YX15" s="71"/>
      <c r="YY15" s="71"/>
      <c r="YZ15" s="71"/>
      <c r="ZA15" s="71"/>
      <c r="ZB15" s="71"/>
      <c r="ZC15" s="71"/>
      <c r="ZD15" s="71"/>
      <c r="ZE15" s="71"/>
      <c r="ZF15" s="71"/>
      <c r="ZG15" s="71"/>
      <c r="ZH15" s="71"/>
      <c r="ZI15" s="71"/>
      <c r="ZJ15" s="71"/>
      <c r="ZK15" s="71"/>
      <c r="ZL15" s="71"/>
      <c r="ZM15" s="71"/>
      <c r="ZN15" s="71"/>
      <c r="ZO15" s="71"/>
      <c r="ZP15" s="71"/>
      <c r="ZQ15" s="71"/>
      <c r="ZR15" s="71"/>
      <c r="ZS15" s="71"/>
      <c r="ZT15" s="71"/>
      <c r="ZU15" s="71"/>
      <c r="ZV15" s="71"/>
      <c r="ZW15" s="71"/>
      <c r="ZX15" s="71"/>
      <c r="ZY15" s="71"/>
      <c r="ZZ15" s="71"/>
      <c r="AAA15" s="71"/>
      <c r="AAB15" s="71"/>
      <c r="AAC15" s="71"/>
      <c r="AAD15" s="71"/>
      <c r="AAE15" s="71"/>
      <c r="AAF15" s="71"/>
      <c r="AAG15" s="71"/>
      <c r="AAH15" s="71"/>
      <c r="AAI15" s="71"/>
      <c r="AAJ15" s="71"/>
      <c r="AAK15" s="71"/>
      <c r="AAL15" s="71"/>
      <c r="AAM15" s="71"/>
      <c r="AAN15" s="71"/>
      <c r="AAO15" s="71"/>
      <c r="AAP15" s="71"/>
      <c r="AAQ15" s="71"/>
      <c r="AAR15" s="71"/>
      <c r="AAS15" s="71"/>
      <c r="AAT15" s="71"/>
      <c r="AAU15" s="71"/>
      <c r="AAV15" s="71"/>
      <c r="AAW15" s="71"/>
      <c r="AAX15" s="71"/>
      <c r="AAY15" s="71"/>
      <c r="AAZ15" s="71"/>
      <c r="ABA15" s="71"/>
      <c r="ABB15" s="71"/>
      <c r="ABC15" s="71"/>
      <c r="ABD15" s="71"/>
      <c r="ABE15" s="71"/>
      <c r="ABF15" s="71"/>
      <c r="ABG15" s="71"/>
      <c r="ABH15" s="71"/>
      <c r="ABI15" s="71"/>
      <c r="ABJ15" s="71"/>
      <c r="ABK15" s="71"/>
      <c r="ABL15" s="71"/>
      <c r="ABM15" s="71"/>
      <c r="ABN15" s="71"/>
      <c r="ABO15" s="71"/>
      <c r="ABP15" s="71"/>
      <c r="ABQ15" s="71"/>
      <c r="ABR15" s="71"/>
      <c r="ABS15" s="71"/>
      <c r="ABT15" s="71"/>
      <c r="ABU15" s="71"/>
      <c r="ABV15" s="71"/>
      <c r="ABW15" s="71"/>
      <c r="ABX15" s="71"/>
      <c r="ABY15" s="71"/>
      <c r="ABZ15" s="71"/>
      <c r="ACA15" s="71"/>
      <c r="ACB15" s="71"/>
      <c r="ACC15" s="71"/>
      <c r="ACD15" s="71"/>
      <c r="ACE15" s="71"/>
      <c r="ACF15" s="71"/>
      <c r="ACG15" s="71"/>
      <c r="ACH15" s="71"/>
      <c r="ACI15" s="71"/>
      <c r="ACJ15" s="71"/>
      <c r="ACK15" s="71"/>
      <c r="ACL15" s="71"/>
      <c r="ACM15" s="71"/>
      <c r="ACN15" s="71"/>
      <c r="ACO15" s="71"/>
      <c r="ACP15" s="71"/>
      <c r="ACQ15" s="71"/>
      <c r="ACR15" s="71"/>
      <c r="ACS15" s="71"/>
      <c r="ACT15" s="71"/>
      <c r="ACU15" s="71"/>
      <c r="ACV15" s="71"/>
      <c r="ACW15" s="71"/>
      <c r="ACX15" s="71"/>
      <c r="ACY15" s="71"/>
      <c r="ACZ15" s="71"/>
      <c r="ADA15" s="71"/>
      <c r="ADB15" s="71"/>
      <c r="ADC15" s="71"/>
      <c r="ADD15" s="71"/>
      <c r="ADE15" s="71"/>
      <c r="ADF15" s="71"/>
      <c r="ADG15" s="71"/>
      <c r="ADH15" s="71"/>
      <c r="ADI15" s="71"/>
      <c r="ADJ15" s="71"/>
      <c r="ADK15" s="71"/>
      <c r="ADL15" s="71"/>
      <c r="ADM15" s="71"/>
      <c r="ADN15" s="71"/>
      <c r="ADO15" s="71"/>
      <c r="ADP15" s="71"/>
      <c r="ADQ15" s="71"/>
      <c r="ADR15" s="71"/>
      <c r="ADS15" s="71"/>
      <c r="ADT15" s="71"/>
      <c r="ADU15" s="71"/>
      <c r="ADV15" s="71"/>
      <c r="ADW15" s="71"/>
      <c r="ADX15" s="71"/>
      <c r="ADY15" s="71"/>
      <c r="ADZ15" s="71"/>
      <c r="AEA15" s="71"/>
      <c r="AEB15" s="71"/>
      <c r="AEC15" s="71"/>
      <c r="AED15" s="71"/>
      <c r="AEE15" s="71"/>
      <c r="AEF15" s="71"/>
      <c r="AEG15" s="71"/>
      <c r="AEH15" s="71"/>
      <c r="AEI15" s="71"/>
      <c r="AEJ15" s="71"/>
      <c r="AEK15" s="71"/>
      <c r="AEL15" s="71"/>
      <c r="AEM15" s="71"/>
      <c r="AEN15" s="71"/>
      <c r="AEO15" s="71"/>
      <c r="AEP15" s="71"/>
      <c r="AEQ15" s="71"/>
      <c r="AER15" s="71"/>
      <c r="AES15" s="71"/>
      <c r="AET15" s="71"/>
      <c r="AEU15" s="71"/>
      <c r="AEV15" s="71"/>
      <c r="AEW15" s="71"/>
      <c r="AEX15" s="71"/>
      <c r="AEY15" s="71"/>
      <c r="AEZ15" s="71"/>
      <c r="AFA15" s="71"/>
      <c r="AFB15" s="71"/>
      <c r="AFC15" s="71"/>
      <c r="AFD15" s="71"/>
      <c r="AFE15" s="71"/>
      <c r="AFF15" s="71"/>
      <c r="AFG15" s="71"/>
      <c r="AFH15" s="71"/>
      <c r="AFI15" s="71"/>
      <c r="AFJ15" s="71"/>
      <c r="AFK15" s="71"/>
      <c r="AFL15" s="71"/>
      <c r="AFM15" s="71"/>
      <c r="AFN15" s="71"/>
      <c r="AFO15" s="71"/>
      <c r="AFP15" s="71"/>
      <c r="AFQ15" s="71"/>
      <c r="AFR15" s="71"/>
      <c r="AFS15" s="71"/>
      <c r="AFT15" s="71"/>
      <c r="AFU15" s="71"/>
      <c r="AFV15" s="71"/>
      <c r="AFW15" s="71"/>
      <c r="AFX15" s="71"/>
      <c r="AFY15" s="71"/>
      <c r="AFZ15" s="71"/>
      <c r="AGA15" s="71"/>
      <c r="AGB15" s="71"/>
      <c r="AGC15" s="71"/>
      <c r="AGD15" s="71"/>
      <c r="AGE15" s="71"/>
      <c r="AGF15" s="71"/>
      <c r="AGG15" s="71"/>
      <c r="AGH15" s="71"/>
      <c r="AGI15" s="71"/>
      <c r="AGJ15" s="71"/>
      <c r="AGK15" s="71"/>
      <c r="AGL15" s="71"/>
      <c r="AGM15" s="71"/>
      <c r="AGN15" s="71"/>
      <c r="AGO15" s="71"/>
      <c r="AGP15" s="71"/>
      <c r="AGQ15" s="71"/>
      <c r="AGR15" s="71"/>
      <c r="AGS15" s="71"/>
      <c r="AGT15" s="71"/>
      <c r="AGU15" s="71"/>
      <c r="AGV15" s="71"/>
      <c r="AGW15" s="71"/>
      <c r="AGX15" s="71"/>
      <c r="AGY15" s="71"/>
      <c r="AGZ15" s="71"/>
      <c r="AHA15" s="71"/>
      <c r="AHB15" s="71"/>
      <c r="AHC15" s="71"/>
      <c r="AHD15" s="71"/>
      <c r="AHE15" s="71"/>
      <c r="AHF15" s="71"/>
      <c r="AHG15" s="71"/>
      <c r="AHH15" s="71"/>
      <c r="AHI15" s="71"/>
      <c r="AHJ15" s="71"/>
      <c r="AHK15" s="71"/>
      <c r="AHL15" s="71"/>
      <c r="AHM15" s="71"/>
      <c r="AHN15" s="71"/>
      <c r="AHO15" s="71"/>
      <c r="AHP15" s="71"/>
      <c r="AHQ15" s="71"/>
      <c r="AHR15" s="71"/>
      <c r="AHS15" s="71"/>
      <c r="AHT15" s="71"/>
      <c r="AHU15" s="71"/>
      <c r="AHV15" s="71"/>
      <c r="AHW15" s="71"/>
      <c r="AHX15" s="71"/>
      <c r="AHY15" s="71"/>
      <c r="AHZ15" s="71"/>
      <c r="AIA15" s="71"/>
      <c r="AIB15" s="71"/>
      <c r="AIC15" s="71"/>
      <c r="AID15" s="71"/>
      <c r="AIE15" s="71"/>
      <c r="AIF15" s="71"/>
      <c r="AIG15" s="71"/>
      <c r="AIH15" s="71"/>
      <c r="AII15" s="71"/>
      <c r="AIJ15" s="71"/>
      <c r="AIK15" s="71"/>
      <c r="AIL15" s="71"/>
      <c r="AIM15" s="71"/>
      <c r="AIN15" s="71"/>
      <c r="AIO15" s="71"/>
      <c r="AIP15" s="71"/>
      <c r="AIQ15" s="71"/>
      <c r="AIR15" s="71"/>
      <c r="AIS15" s="71"/>
      <c r="AIT15" s="71"/>
      <c r="AIU15" s="71"/>
      <c r="AIV15" s="71"/>
      <c r="AIW15" s="71"/>
      <c r="AIX15" s="71"/>
      <c r="AIY15" s="71"/>
      <c r="AIZ15" s="71"/>
      <c r="AJA15" s="71"/>
      <c r="AJB15" s="71"/>
      <c r="AJC15" s="71"/>
      <c r="AJD15" s="71"/>
      <c r="AJE15" s="71"/>
      <c r="AJF15" s="71"/>
      <c r="AJG15" s="71"/>
      <c r="AJH15" s="71"/>
      <c r="AJI15" s="71"/>
      <c r="AJJ15" s="71"/>
      <c r="AJK15" s="71"/>
      <c r="AJL15" s="71"/>
      <c r="AJM15" s="71"/>
      <c r="AJN15" s="71"/>
      <c r="AJO15" s="71"/>
      <c r="AJP15" s="71"/>
      <c r="AJQ15" s="71"/>
      <c r="AJR15" s="71"/>
      <c r="AJS15" s="71"/>
      <c r="AJT15" s="71"/>
      <c r="AJU15" s="71"/>
      <c r="AJV15" s="71"/>
      <c r="AJW15" s="71"/>
      <c r="AJX15" s="71"/>
      <c r="AJY15" s="71"/>
      <c r="AJZ15" s="71"/>
      <c r="AKA15" s="71"/>
      <c r="AKB15" s="71"/>
      <c r="AKC15" s="71"/>
      <c r="AKD15" s="71"/>
      <c r="AKE15" s="71"/>
      <c r="AKF15" s="71"/>
      <c r="AKG15" s="71"/>
      <c r="AKH15" s="71"/>
      <c r="AKI15" s="71"/>
      <c r="AKJ15" s="71"/>
      <c r="AKK15" s="71"/>
      <c r="AKL15" s="71"/>
      <c r="AKM15" s="71"/>
      <c r="AKN15" s="71"/>
      <c r="AKO15" s="71"/>
      <c r="AKP15" s="71"/>
      <c r="AKQ15" s="71"/>
      <c r="AKR15" s="71"/>
      <c r="AKS15" s="71"/>
      <c r="AKT15" s="71"/>
      <c r="AKU15" s="71"/>
      <c r="AKV15" s="71"/>
      <c r="AKW15" s="71"/>
      <c r="AKX15" s="71"/>
      <c r="AKY15" s="71"/>
      <c r="AKZ15" s="71"/>
      <c r="ALA15" s="71"/>
      <c r="ALB15" s="71"/>
      <c r="ALC15" s="71"/>
      <c r="ALD15" s="71"/>
      <c r="ALE15" s="71"/>
      <c r="ALF15" s="71"/>
      <c r="ALG15" s="71"/>
      <c r="ALH15" s="71"/>
      <c r="ALI15" s="71"/>
      <c r="ALJ15" s="71"/>
      <c r="ALK15" s="71"/>
      <c r="ALL15" s="71"/>
      <c r="ALM15" s="71"/>
      <c r="ALN15" s="71"/>
      <c r="ALO15" s="71"/>
      <c r="ALP15" s="71"/>
      <c r="ALQ15" s="71"/>
      <c r="ALR15" s="71"/>
      <c r="ALS15" s="71"/>
      <c r="ALT15" s="71"/>
      <c r="ALU15" s="71"/>
      <c r="ALV15" s="71"/>
      <c r="ALW15" s="71"/>
      <c r="ALX15" s="71"/>
      <c r="ALY15" s="71"/>
      <c r="ALZ15" s="71"/>
      <c r="AMA15" s="71"/>
      <c r="AMB15" s="71"/>
      <c r="AMC15" s="71"/>
      <c r="AMD15" s="71"/>
      <c r="AME15" s="71"/>
      <c r="AMF15" s="71"/>
      <c r="AMG15" s="71"/>
      <c r="AMH15" s="71"/>
      <c r="AMI15" s="71"/>
      <c r="AMJ15" s="71"/>
      <c r="AMK15" s="71"/>
      <c r="AML15" s="71"/>
    </row>
    <row r="16" spans="1:1026" s="72" customFormat="1" ht="45" customHeight="1" x14ac:dyDescent="0.25">
      <c r="A16" s="71"/>
      <c r="B16" s="104" t="s">
        <v>306</v>
      </c>
      <c r="C16" s="105" t="s">
        <v>308</v>
      </c>
      <c r="D16" s="106" t="s">
        <v>332</v>
      </c>
      <c r="E16" s="113"/>
      <c r="F16" s="108" t="s">
        <v>18</v>
      </c>
      <c r="G16" s="109" t="s">
        <v>27</v>
      </c>
      <c r="H16" s="110"/>
      <c r="I16" s="110"/>
      <c r="J16" s="110"/>
      <c r="K16" s="131" t="s">
        <v>309</v>
      </c>
      <c r="L16" s="63"/>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c r="EC16" s="71"/>
      <c r="ED16" s="71"/>
      <c r="EE16" s="71"/>
      <c r="EF16" s="71"/>
      <c r="EG16" s="71"/>
      <c r="EH16" s="71"/>
      <c r="EI16" s="71"/>
      <c r="EJ16" s="71"/>
      <c r="EK16" s="71"/>
      <c r="EL16" s="71"/>
      <c r="EM16" s="71"/>
      <c r="EN16" s="71"/>
      <c r="EO16" s="71"/>
      <c r="EP16" s="71"/>
      <c r="EQ16" s="71"/>
      <c r="ER16" s="71"/>
      <c r="ES16" s="71"/>
      <c r="ET16" s="71"/>
      <c r="EU16" s="71"/>
      <c r="EV16" s="71"/>
      <c r="EW16" s="71"/>
      <c r="EX16" s="71"/>
      <c r="EY16" s="71"/>
      <c r="EZ16" s="71"/>
      <c r="FA16" s="71"/>
      <c r="FB16" s="71"/>
      <c r="FC16" s="71"/>
      <c r="FD16" s="71"/>
      <c r="FE16" s="71"/>
      <c r="FF16" s="71"/>
      <c r="FG16" s="71"/>
      <c r="FH16" s="71"/>
      <c r="FI16" s="71"/>
      <c r="FJ16" s="71"/>
      <c r="FK16" s="71"/>
      <c r="FL16" s="71"/>
      <c r="FM16" s="71"/>
      <c r="FN16" s="71"/>
      <c r="FO16" s="71"/>
      <c r="FP16" s="71"/>
      <c r="FQ16" s="71"/>
      <c r="FR16" s="71"/>
      <c r="FS16" s="71"/>
      <c r="FT16" s="71"/>
      <c r="FU16" s="71"/>
      <c r="FV16" s="71"/>
      <c r="FW16" s="71"/>
      <c r="FX16" s="71"/>
      <c r="FY16" s="71"/>
      <c r="FZ16" s="71"/>
      <c r="GA16" s="71"/>
      <c r="GB16" s="71"/>
      <c r="GC16" s="71"/>
      <c r="GD16" s="71"/>
      <c r="GE16" s="71"/>
      <c r="GF16" s="71"/>
      <c r="GG16" s="71"/>
      <c r="GH16" s="71"/>
      <c r="GI16" s="71"/>
      <c r="GJ16" s="71"/>
      <c r="GK16" s="71"/>
      <c r="GL16" s="71"/>
      <c r="GM16" s="71"/>
      <c r="GN16" s="71"/>
      <c r="GO16" s="71"/>
      <c r="GP16" s="71"/>
      <c r="GQ16" s="71"/>
      <c r="GR16" s="71"/>
      <c r="GS16" s="71"/>
      <c r="GT16" s="71"/>
      <c r="GU16" s="71"/>
      <c r="GV16" s="71"/>
      <c r="GW16" s="71"/>
      <c r="GX16" s="71"/>
      <c r="GY16" s="71"/>
      <c r="GZ16" s="71"/>
      <c r="HA16" s="71"/>
      <c r="HB16" s="71"/>
      <c r="HC16" s="71"/>
      <c r="HD16" s="71"/>
      <c r="HE16" s="71"/>
      <c r="HF16" s="71"/>
      <c r="HG16" s="71"/>
      <c r="HH16" s="71"/>
      <c r="HI16" s="71"/>
      <c r="HJ16" s="71"/>
      <c r="HK16" s="71"/>
      <c r="HL16" s="71"/>
      <c r="HM16" s="71"/>
      <c r="HN16" s="71"/>
      <c r="HO16" s="71"/>
      <c r="HP16" s="71"/>
      <c r="HQ16" s="71"/>
      <c r="HR16" s="71"/>
      <c r="HS16" s="71"/>
      <c r="HT16" s="71"/>
      <c r="HU16" s="71"/>
      <c r="HV16" s="71"/>
      <c r="HW16" s="71"/>
      <c r="HX16" s="71"/>
      <c r="HY16" s="71"/>
      <c r="HZ16" s="71"/>
      <c r="IA16" s="71"/>
      <c r="IB16" s="71"/>
      <c r="IC16" s="71"/>
      <c r="ID16" s="71"/>
      <c r="IE16" s="71"/>
      <c r="IF16" s="71"/>
      <c r="IG16" s="71"/>
      <c r="IH16" s="71"/>
      <c r="II16" s="71"/>
      <c r="IJ16" s="71"/>
      <c r="IK16" s="71"/>
      <c r="IL16" s="71"/>
      <c r="IM16" s="71"/>
      <c r="IN16" s="71"/>
      <c r="IO16" s="71"/>
      <c r="IP16" s="71"/>
      <c r="IQ16" s="71"/>
      <c r="IR16" s="71"/>
      <c r="IS16" s="71"/>
      <c r="IT16" s="71"/>
      <c r="IU16" s="71"/>
      <c r="IV16" s="71"/>
      <c r="IW16" s="71"/>
      <c r="IX16" s="71"/>
      <c r="IY16" s="71"/>
      <c r="IZ16" s="71"/>
      <c r="JA16" s="71"/>
      <c r="JB16" s="71"/>
      <c r="JC16" s="71"/>
      <c r="JD16" s="71"/>
      <c r="JE16" s="71"/>
      <c r="JF16" s="71"/>
      <c r="JG16" s="71"/>
      <c r="JH16" s="71"/>
      <c r="JI16" s="71"/>
      <c r="JJ16" s="71"/>
      <c r="JK16" s="71"/>
      <c r="JL16" s="71"/>
      <c r="JM16" s="71"/>
      <c r="JN16" s="71"/>
      <c r="JO16" s="71"/>
      <c r="JP16" s="71"/>
      <c r="JQ16" s="71"/>
      <c r="JR16" s="71"/>
      <c r="JS16" s="71"/>
      <c r="JT16" s="71"/>
      <c r="JU16" s="71"/>
      <c r="JV16" s="71"/>
      <c r="JW16" s="71"/>
      <c r="JX16" s="71"/>
      <c r="JY16" s="71"/>
      <c r="JZ16" s="71"/>
      <c r="KA16" s="71"/>
      <c r="KB16" s="71"/>
      <c r="KC16" s="71"/>
      <c r="KD16" s="71"/>
      <c r="KE16" s="71"/>
      <c r="KF16" s="71"/>
      <c r="KG16" s="71"/>
      <c r="KH16" s="71"/>
      <c r="KI16" s="71"/>
      <c r="KJ16" s="71"/>
      <c r="KK16" s="71"/>
      <c r="KL16" s="71"/>
      <c r="KM16" s="71"/>
      <c r="KN16" s="71"/>
      <c r="KO16" s="71"/>
      <c r="KP16" s="71"/>
      <c r="KQ16" s="71"/>
      <c r="KR16" s="71"/>
      <c r="KS16" s="71"/>
      <c r="KT16" s="71"/>
      <c r="KU16" s="71"/>
      <c r="KV16" s="71"/>
      <c r="KW16" s="71"/>
      <c r="KX16" s="71"/>
      <c r="KY16" s="71"/>
      <c r="KZ16" s="71"/>
      <c r="LA16" s="71"/>
      <c r="LB16" s="71"/>
      <c r="LC16" s="71"/>
      <c r="LD16" s="71"/>
      <c r="LE16" s="71"/>
      <c r="LF16" s="71"/>
      <c r="LG16" s="71"/>
      <c r="LH16" s="71"/>
      <c r="LI16" s="71"/>
      <c r="LJ16" s="71"/>
      <c r="LK16" s="71"/>
      <c r="LL16" s="71"/>
      <c r="LM16" s="71"/>
      <c r="LN16" s="71"/>
      <c r="LO16" s="71"/>
      <c r="LP16" s="71"/>
      <c r="LQ16" s="71"/>
      <c r="LR16" s="71"/>
      <c r="LS16" s="71"/>
      <c r="LT16" s="71"/>
      <c r="LU16" s="71"/>
      <c r="LV16" s="71"/>
      <c r="LW16" s="71"/>
      <c r="LX16" s="71"/>
      <c r="LY16" s="71"/>
      <c r="LZ16" s="71"/>
      <c r="MA16" s="71"/>
      <c r="MB16" s="71"/>
      <c r="MC16" s="71"/>
      <c r="MD16" s="71"/>
      <c r="ME16" s="71"/>
      <c r="MF16" s="71"/>
      <c r="MG16" s="71"/>
      <c r="MH16" s="71"/>
      <c r="MI16" s="71"/>
      <c r="MJ16" s="71"/>
      <c r="MK16" s="71"/>
      <c r="ML16" s="71"/>
      <c r="MM16" s="71"/>
      <c r="MN16" s="71"/>
      <c r="MO16" s="71"/>
      <c r="MP16" s="71"/>
      <c r="MQ16" s="71"/>
      <c r="MR16" s="71"/>
      <c r="MS16" s="71"/>
      <c r="MT16" s="71"/>
      <c r="MU16" s="71"/>
      <c r="MV16" s="71"/>
      <c r="MW16" s="71"/>
      <c r="MX16" s="71"/>
      <c r="MY16" s="71"/>
      <c r="MZ16" s="71"/>
      <c r="NA16" s="71"/>
      <c r="NB16" s="71"/>
      <c r="NC16" s="71"/>
      <c r="ND16" s="71"/>
      <c r="NE16" s="71"/>
      <c r="NF16" s="71"/>
      <c r="NG16" s="71"/>
      <c r="NH16" s="71"/>
      <c r="NI16" s="71"/>
      <c r="NJ16" s="71"/>
      <c r="NK16" s="71"/>
      <c r="NL16" s="71"/>
      <c r="NM16" s="71"/>
      <c r="NN16" s="71"/>
      <c r="NO16" s="71"/>
      <c r="NP16" s="71"/>
      <c r="NQ16" s="71"/>
      <c r="NR16" s="71"/>
      <c r="NS16" s="71"/>
      <c r="NT16" s="71"/>
      <c r="NU16" s="71"/>
      <c r="NV16" s="71"/>
      <c r="NW16" s="71"/>
      <c r="NX16" s="71"/>
      <c r="NY16" s="71"/>
      <c r="NZ16" s="71"/>
      <c r="OA16" s="71"/>
      <c r="OB16" s="71"/>
      <c r="OC16" s="71"/>
      <c r="OD16" s="71"/>
      <c r="OE16" s="71"/>
      <c r="OF16" s="71"/>
      <c r="OG16" s="71"/>
      <c r="OH16" s="71"/>
      <c r="OI16" s="71"/>
      <c r="OJ16" s="71"/>
      <c r="OK16" s="71"/>
      <c r="OL16" s="71"/>
      <c r="OM16" s="71"/>
      <c r="ON16" s="71"/>
      <c r="OO16" s="71"/>
      <c r="OP16" s="71"/>
      <c r="OQ16" s="71"/>
      <c r="OR16" s="71"/>
      <c r="OS16" s="71"/>
      <c r="OT16" s="71"/>
      <c r="OU16" s="71"/>
      <c r="OV16" s="71"/>
      <c r="OW16" s="71"/>
      <c r="OX16" s="71"/>
      <c r="OY16" s="71"/>
      <c r="OZ16" s="71"/>
      <c r="PA16" s="71"/>
      <c r="PB16" s="71"/>
      <c r="PC16" s="71"/>
      <c r="PD16" s="71"/>
      <c r="PE16" s="71"/>
      <c r="PF16" s="71"/>
      <c r="PG16" s="71"/>
      <c r="PH16" s="71"/>
      <c r="PI16" s="71"/>
      <c r="PJ16" s="71"/>
      <c r="PK16" s="71"/>
      <c r="PL16" s="71"/>
      <c r="PM16" s="71"/>
      <c r="PN16" s="71"/>
      <c r="PO16" s="71"/>
      <c r="PP16" s="71"/>
      <c r="PQ16" s="71"/>
      <c r="PR16" s="71"/>
      <c r="PS16" s="71"/>
      <c r="PT16" s="71"/>
      <c r="PU16" s="71"/>
      <c r="PV16" s="71"/>
      <c r="PW16" s="71"/>
      <c r="PX16" s="71"/>
      <c r="PY16" s="71"/>
      <c r="PZ16" s="71"/>
      <c r="QA16" s="71"/>
      <c r="QB16" s="71"/>
      <c r="QC16" s="71"/>
      <c r="QD16" s="71"/>
      <c r="QE16" s="71"/>
      <c r="QF16" s="71"/>
      <c r="QG16" s="71"/>
      <c r="QH16" s="71"/>
      <c r="QI16" s="71"/>
      <c r="QJ16" s="71"/>
      <c r="QK16" s="71"/>
      <c r="QL16" s="71"/>
      <c r="QM16" s="71"/>
      <c r="QN16" s="71"/>
      <c r="QO16" s="71"/>
      <c r="QP16" s="71"/>
      <c r="QQ16" s="71"/>
      <c r="QR16" s="71"/>
      <c r="QS16" s="71"/>
      <c r="QT16" s="71"/>
      <c r="QU16" s="71"/>
      <c r="QV16" s="71"/>
      <c r="QW16" s="71"/>
      <c r="QX16" s="71"/>
      <c r="QY16" s="71"/>
      <c r="QZ16" s="71"/>
      <c r="RA16" s="71"/>
      <c r="RB16" s="71"/>
      <c r="RC16" s="71"/>
      <c r="RD16" s="71"/>
      <c r="RE16" s="71"/>
      <c r="RF16" s="71"/>
      <c r="RG16" s="71"/>
      <c r="RH16" s="71"/>
      <c r="RI16" s="71"/>
      <c r="RJ16" s="71"/>
      <c r="RK16" s="71"/>
      <c r="RL16" s="71"/>
      <c r="RM16" s="71"/>
      <c r="RN16" s="71"/>
      <c r="RO16" s="71"/>
      <c r="RP16" s="71"/>
      <c r="RQ16" s="71"/>
      <c r="RR16" s="71"/>
      <c r="RS16" s="71"/>
      <c r="RT16" s="71"/>
      <c r="RU16" s="71"/>
      <c r="RV16" s="71"/>
      <c r="RW16" s="71"/>
      <c r="RX16" s="71"/>
      <c r="RY16" s="71"/>
      <c r="RZ16" s="71"/>
      <c r="SA16" s="71"/>
      <c r="SB16" s="71"/>
      <c r="SC16" s="71"/>
      <c r="SD16" s="71"/>
      <c r="SE16" s="71"/>
      <c r="SF16" s="71"/>
      <c r="SG16" s="71"/>
      <c r="SH16" s="71"/>
      <c r="SI16" s="71"/>
      <c r="SJ16" s="71"/>
      <c r="SK16" s="71"/>
      <c r="SL16" s="71"/>
      <c r="SM16" s="71"/>
      <c r="SN16" s="71"/>
      <c r="SO16" s="71"/>
      <c r="SP16" s="71"/>
      <c r="SQ16" s="71"/>
      <c r="SR16" s="71"/>
      <c r="SS16" s="71"/>
      <c r="ST16" s="71"/>
      <c r="SU16" s="71"/>
      <c r="SV16" s="71"/>
      <c r="SW16" s="71"/>
      <c r="SX16" s="71"/>
      <c r="SY16" s="71"/>
      <c r="SZ16" s="71"/>
      <c r="TA16" s="71"/>
      <c r="TB16" s="71"/>
      <c r="TC16" s="71"/>
      <c r="TD16" s="71"/>
      <c r="TE16" s="71"/>
      <c r="TF16" s="71"/>
      <c r="TG16" s="71"/>
      <c r="TH16" s="71"/>
      <c r="TI16" s="71"/>
      <c r="TJ16" s="71"/>
      <c r="TK16" s="71"/>
      <c r="TL16" s="71"/>
      <c r="TM16" s="71"/>
      <c r="TN16" s="71"/>
      <c r="TO16" s="71"/>
      <c r="TP16" s="71"/>
      <c r="TQ16" s="71"/>
      <c r="TR16" s="71"/>
      <c r="TS16" s="71"/>
      <c r="TT16" s="71"/>
      <c r="TU16" s="71"/>
      <c r="TV16" s="71"/>
      <c r="TW16" s="71"/>
      <c r="TX16" s="71"/>
      <c r="TY16" s="71"/>
      <c r="TZ16" s="71"/>
      <c r="UA16" s="71"/>
      <c r="UB16" s="71"/>
      <c r="UC16" s="71"/>
      <c r="UD16" s="71"/>
      <c r="UE16" s="71"/>
      <c r="UF16" s="71"/>
      <c r="UG16" s="71"/>
      <c r="UH16" s="71"/>
      <c r="UI16" s="71"/>
      <c r="UJ16" s="71"/>
      <c r="UK16" s="71"/>
      <c r="UL16" s="71"/>
      <c r="UM16" s="71"/>
      <c r="UN16" s="71"/>
      <c r="UO16" s="71"/>
      <c r="UP16" s="71"/>
      <c r="UQ16" s="71"/>
      <c r="UR16" s="71"/>
      <c r="US16" s="71"/>
      <c r="UT16" s="71"/>
      <c r="UU16" s="71"/>
      <c r="UV16" s="71"/>
      <c r="UW16" s="71"/>
      <c r="UX16" s="71"/>
      <c r="UY16" s="71"/>
      <c r="UZ16" s="71"/>
      <c r="VA16" s="71"/>
      <c r="VB16" s="71"/>
      <c r="VC16" s="71"/>
      <c r="VD16" s="71"/>
      <c r="VE16" s="71"/>
      <c r="VF16" s="71"/>
      <c r="VG16" s="71"/>
      <c r="VH16" s="71"/>
      <c r="VI16" s="71"/>
      <c r="VJ16" s="71"/>
      <c r="VK16" s="71"/>
      <c r="VL16" s="71"/>
      <c r="VM16" s="71"/>
      <c r="VN16" s="71"/>
      <c r="VO16" s="71"/>
      <c r="VP16" s="71"/>
      <c r="VQ16" s="71"/>
      <c r="VR16" s="71"/>
      <c r="VS16" s="71"/>
      <c r="VT16" s="71"/>
      <c r="VU16" s="71"/>
      <c r="VV16" s="71"/>
      <c r="VW16" s="71"/>
      <c r="VX16" s="71"/>
      <c r="VY16" s="71"/>
      <c r="VZ16" s="71"/>
      <c r="WA16" s="71"/>
      <c r="WB16" s="71"/>
      <c r="WC16" s="71"/>
      <c r="WD16" s="71"/>
      <c r="WE16" s="71"/>
      <c r="WF16" s="71"/>
      <c r="WG16" s="71"/>
      <c r="WH16" s="71"/>
      <c r="WI16" s="71"/>
      <c r="WJ16" s="71"/>
      <c r="WK16" s="71"/>
      <c r="WL16" s="71"/>
      <c r="WM16" s="71"/>
      <c r="WN16" s="71"/>
      <c r="WO16" s="71"/>
      <c r="WP16" s="71"/>
      <c r="WQ16" s="71"/>
      <c r="WR16" s="71"/>
      <c r="WS16" s="71"/>
      <c r="WT16" s="71"/>
      <c r="WU16" s="71"/>
      <c r="WV16" s="71"/>
      <c r="WW16" s="71"/>
      <c r="WX16" s="71"/>
      <c r="WY16" s="71"/>
      <c r="WZ16" s="71"/>
      <c r="XA16" s="71"/>
      <c r="XB16" s="71"/>
      <c r="XC16" s="71"/>
      <c r="XD16" s="71"/>
      <c r="XE16" s="71"/>
      <c r="XF16" s="71"/>
      <c r="XG16" s="71"/>
      <c r="XH16" s="71"/>
      <c r="XI16" s="71"/>
      <c r="XJ16" s="71"/>
      <c r="XK16" s="71"/>
      <c r="XL16" s="71"/>
      <c r="XM16" s="71"/>
      <c r="XN16" s="71"/>
      <c r="XO16" s="71"/>
      <c r="XP16" s="71"/>
      <c r="XQ16" s="71"/>
      <c r="XR16" s="71"/>
      <c r="XS16" s="71"/>
      <c r="XT16" s="71"/>
      <c r="XU16" s="71"/>
      <c r="XV16" s="71"/>
      <c r="XW16" s="71"/>
      <c r="XX16" s="71"/>
      <c r="XY16" s="71"/>
      <c r="XZ16" s="71"/>
      <c r="YA16" s="71"/>
      <c r="YB16" s="71"/>
      <c r="YC16" s="71"/>
      <c r="YD16" s="71"/>
      <c r="YE16" s="71"/>
      <c r="YF16" s="71"/>
      <c r="YG16" s="71"/>
      <c r="YH16" s="71"/>
      <c r="YI16" s="71"/>
      <c r="YJ16" s="71"/>
      <c r="YK16" s="71"/>
      <c r="YL16" s="71"/>
      <c r="YM16" s="71"/>
      <c r="YN16" s="71"/>
      <c r="YO16" s="71"/>
      <c r="YP16" s="71"/>
      <c r="YQ16" s="71"/>
      <c r="YR16" s="71"/>
      <c r="YS16" s="71"/>
      <c r="YT16" s="71"/>
      <c r="YU16" s="71"/>
      <c r="YV16" s="71"/>
      <c r="YW16" s="71"/>
      <c r="YX16" s="71"/>
      <c r="YY16" s="71"/>
      <c r="YZ16" s="71"/>
      <c r="ZA16" s="71"/>
      <c r="ZB16" s="71"/>
      <c r="ZC16" s="71"/>
      <c r="ZD16" s="71"/>
      <c r="ZE16" s="71"/>
      <c r="ZF16" s="71"/>
      <c r="ZG16" s="71"/>
      <c r="ZH16" s="71"/>
      <c r="ZI16" s="71"/>
      <c r="ZJ16" s="71"/>
      <c r="ZK16" s="71"/>
      <c r="ZL16" s="71"/>
      <c r="ZM16" s="71"/>
      <c r="ZN16" s="71"/>
      <c r="ZO16" s="71"/>
      <c r="ZP16" s="71"/>
      <c r="ZQ16" s="71"/>
      <c r="ZR16" s="71"/>
      <c r="ZS16" s="71"/>
      <c r="ZT16" s="71"/>
      <c r="ZU16" s="71"/>
      <c r="ZV16" s="71"/>
      <c r="ZW16" s="71"/>
      <c r="ZX16" s="71"/>
      <c r="ZY16" s="71"/>
      <c r="ZZ16" s="71"/>
      <c r="AAA16" s="71"/>
      <c r="AAB16" s="71"/>
      <c r="AAC16" s="71"/>
      <c r="AAD16" s="71"/>
      <c r="AAE16" s="71"/>
      <c r="AAF16" s="71"/>
      <c r="AAG16" s="71"/>
      <c r="AAH16" s="71"/>
      <c r="AAI16" s="71"/>
      <c r="AAJ16" s="71"/>
      <c r="AAK16" s="71"/>
      <c r="AAL16" s="71"/>
      <c r="AAM16" s="71"/>
      <c r="AAN16" s="71"/>
      <c r="AAO16" s="71"/>
      <c r="AAP16" s="71"/>
      <c r="AAQ16" s="71"/>
      <c r="AAR16" s="71"/>
      <c r="AAS16" s="71"/>
      <c r="AAT16" s="71"/>
      <c r="AAU16" s="71"/>
      <c r="AAV16" s="71"/>
      <c r="AAW16" s="71"/>
      <c r="AAX16" s="71"/>
      <c r="AAY16" s="71"/>
      <c r="AAZ16" s="71"/>
      <c r="ABA16" s="71"/>
      <c r="ABB16" s="71"/>
      <c r="ABC16" s="71"/>
      <c r="ABD16" s="71"/>
      <c r="ABE16" s="71"/>
      <c r="ABF16" s="71"/>
      <c r="ABG16" s="71"/>
      <c r="ABH16" s="71"/>
      <c r="ABI16" s="71"/>
      <c r="ABJ16" s="71"/>
      <c r="ABK16" s="71"/>
      <c r="ABL16" s="71"/>
      <c r="ABM16" s="71"/>
      <c r="ABN16" s="71"/>
      <c r="ABO16" s="71"/>
      <c r="ABP16" s="71"/>
      <c r="ABQ16" s="71"/>
      <c r="ABR16" s="71"/>
      <c r="ABS16" s="71"/>
      <c r="ABT16" s="71"/>
      <c r="ABU16" s="71"/>
      <c r="ABV16" s="71"/>
      <c r="ABW16" s="71"/>
      <c r="ABX16" s="71"/>
      <c r="ABY16" s="71"/>
      <c r="ABZ16" s="71"/>
      <c r="ACA16" s="71"/>
      <c r="ACB16" s="71"/>
      <c r="ACC16" s="71"/>
      <c r="ACD16" s="71"/>
      <c r="ACE16" s="71"/>
      <c r="ACF16" s="71"/>
      <c r="ACG16" s="71"/>
      <c r="ACH16" s="71"/>
      <c r="ACI16" s="71"/>
      <c r="ACJ16" s="71"/>
      <c r="ACK16" s="71"/>
      <c r="ACL16" s="71"/>
      <c r="ACM16" s="71"/>
      <c r="ACN16" s="71"/>
      <c r="ACO16" s="71"/>
      <c r="ACP16" s="71"/>
      <c r="ACQ16" s="71"/>
      <c r="ACR16" s="71"/>
      <c r="ACS16" s="71"/>
      <c r="ACT16" s="71"/>
      <c r="ACU16" s="71"/>
      <c r="ACV16" s="71"/>
      <c r="ACW16" s="71"/>
      <c r="ACX16" s="71"/>
      <c r="ACY16" s="71"/>
      <c r="ACZ16" s="71"/>
      <c r="ADA16" s="71"/>
      <c r="ADB16" s="71"/>
      <c r="ADC16" s="71"/>
      <c r="ADD16" s="71"/>
      <c r="ADE16" s="71"/>
      <c r="ADF16" s="71"/>
      <c r="ADG16" s="71"/>
      <c r="ADH16" s="71"/>
      <c r="ADI16" s="71"/>
      <c r="ADJ16" s="71"/>
      <c r="ADK16" s="71"/>
      <c r="ADL16" s="71"/>
      <c r="ADM16" s="71"/>
      <c r="ADN16" s="71"/>
      <c r="ADO16" s="71"/>
      <c r="ADP16" s="71"/>
      <c r="ADQ16" s="71"/>
      <c r="ADR16" s="71"/>
      <c r="ADS16" s="71"/>
      <c r="ADT16" s="71"/>
      <c r="ADU16" s="71"/>
      <c r="ADV16" s="71"/>
      <c r="ADW16" s="71"/>
      <c r="ADX16" s="71"/>
      <c r="ADY16" s="71"/>
      <c r="ADZ16" s="71"/>
      <c r="AEA16" s="71"/>
      <c r="AEB16" s="71"/>
      <c r="AEC16" s="71"/>
      <c r="AED16" s="71"/>
      <c r="AEE16" s="71"/>
      <c r="AEF16" s="71"/>
      <c r="AEG16" s="71"/>
      <c r="AEH16" s="71"/>
      <c r="AEI16" s="71"/>
      <c r="AEJ16" s="71"/>
      <c r="AEK16" s="71"/>
      <c r="AEL16" s="71"/>
      <c r="AEM16" s="71"/>
      <c r="AEN16" s="71"/>
      <c r="AEO16" s="71"/>
      <c r="AEP16" s="71"/>
      <c r="AEQ16" s="71"/>
      <c r="AER16" s="71"/>
      <c r="AES16" s="71"/>
      <c r="AET16" s="71"/>
      <c r="AEU16" s="71"/>
      <c r="AEV16" s="71"/>
      <c r="AEW16" s="71"/>
      <c r="AEX16" s="71"/>
      <c r="AEY16" s="71"/>
      <c r="AEZ16" s="71"/>
      <c r="AFA16" s="71"/>
      <c r="AFB16" s="71"/>
      <c r="AFC16" s="71"/>
      <c r="AFD16" s="71"/>
      <c r="AFE16" s="71"/>
      <c r="AFF16" s="71"/>
      <c r="AFG16" s="71"/>
      <c r="AFH16" s="71"/>
      <c r="AFI16" s="71"/>
      <c r="AFJ16" s="71"/>
      <c r="AFK16" s="71"/>
      <c r="AFL16" s="71"/>
      <c r="AFM16" s="71"/>
      <c r="AFN16" s="71"/>
      <c r="AFO16" s="71"/>
      <c r="AFP16" s="71"/>
      <c r="AFQ16" s="71"/>
      <c r="AFR16" s="71"/>
      <c r="AFS16" s="71"/>
      <c r="AFT16" s="71"/>
      <c r="AFU16" s="71"/>
      <c r="AFV16" s="71"/>
      <c r="AFW16" s="71"/>
      <c r="AFX16" s="71"/>
      <c r="AFY16" s="71"/>
      <c r="AFZ16" s="71"/>
      <c r="AGA16" s="71"/>
      <c r="AGB16" s="71"/>
      <c r="AGC16" s="71"/>
      <c r="AGD16" s="71"/>
      <c r="AGE16" s="71"/>
      <c r="AGF16" s="71"/>
      <c r="AGG16" s="71"/>
      <c r="AGH16" s="71"/>
      <c r="AGI16" s="71"/>
      <c r="AGJ16" s="71"/>
      <c r="AGK16" s="71"/>
      <c r="AGL16" s="71"/>
      <c r="AGM16" s="71"/>
      <c r="AGN16" s="71"/>
      <c r="AGO16" s="71"/>
      <c r="AGP16" s="71"/>
      <c r="AGQ16" s="71"/>
      <c r="AGR16" s="71"/>
      <c r="AGS16" s="71"/>
      <c r="AGT16" s="71"/>
      <c r="AGU16" s="71"/>
      <c r="AGV16" s="71"/>
      <c r="AGW16" s="71"/>
      <c r="AGX16" s="71"/>
      <c r="AGY16" s="71"/>
      <c r="AGZ16" s="71"/>
      <c r="AHA16" s="71"/>
      <c r="AHB16" s="71"/>
      <c r="AHC16" s="71"/>
      <c r="AHD16" s="71"/>
      <c r="AHE16" s="71"/>
      <c r="AHF16" s="71"/>
      <c r="AHG16" s="71"/>
      <c r="AHH16" s="71"/>
      <c r="AHI16" s="71"/>
      <c r="AHJ16" s="71"/>
      <c r="AHK16" s="71"/>
      <c r="AHL16" s="71"/>
      <c r="AHM16" s="71"/>
      <c r="AHN16" s="71"/>
      <c r="AHO16" s="71"/>
      <c r="AHP16" s="71"/>
      <c r="AHQ16" s="71"/>
      <c r="AHR16" s="71"/>
      <c r="AHS16" s="71"/>
      <c r="AHT16" s="71"/>
      <c r="AHU16" s="71"/>
      <c r="AHV16" s="71"/>
      <c r="AHW16" s="71"/>
      <c r="AHX16" s="71"/>
      <c r="AHY16" s="71"/>
      <c r="AHZ16" s="71"/>
      <c r="AIA16" s="71"/>
      <c r="AIB16" s="71"/>
      <c r="AIC16" s="71"/>
      <c r="AID16" s="71"/>
      <c r="AIE16" s="71"/>
      <c r="AIF16" s="71"/>
      <c r="AIG16" s="71"/>
      <c r="AIH16" s="71"/>
      <c r="AII16" s="71"/>
      <c r="AIJ16" s="71"/>
      <c r="AIK16" s="71"/>
      <c r="AIL16" s="71"/>
      <c r="AIM16" s="71"/>
      <c r="AIN16" s="71"/>
      <c r="AIO16" s="71"/>
      <c r="AIP16" s="71"/>
      <c r="AIQ16" s="71"/>
      <c r="AIR16" s="71"/>
      <c r="AIS16" s="71"/>
      <c r="AIT16" s="71"/>
      <c r="AIU16" s="71"/>
      <c r="AIV16" s="71"/>
      <c r="AIW16" s="71"/>
      <c r="AIX16" s="71"/>
      <c r="AIY16" s="71"/>
      <c r="AIZ16" s="71"/>
      <c r="AJA16" s="71"/>
      <c r="AJB16" s="71"/>
      <c r="AJC16" s="71"/>
      <c r="AJD16" s="71"/>
      <c r="AJE16" s="71"/>
      <c r="AJF16" s="71"/>
      <c r="AJG16" s="71"/>
      <c r="AJH16" s="71"/>
      <c r="AJI16" s="71"/>
      <c r="AJJ16" s="71"/>
      <c r="AJK16" s="71"/>
      <c r="AJL16" s="71"/>
      <c r="AJM16" s="71"/>
      <c r="AJN16" s="71"/>
      <c r="AJO16" s="71"/>
      <c r="AJP16" s="71"/>
      <c r="AJQ16" s="71"/>
      <c r="AJR16" s="71"/>
      <c r="AJS16" s="71"/>
      <c r="AJT16" s="71"/>
      <c r="AJU16" s="71"/>
      <c r="AJV16" s="71"/>
      <c r="AJW16" s="71"/>
      <c r="AJX16" s="71"/>
      <c r="AJY16" s="71"/>
      <c r="AJZ16" s="71"/>
      <c r="AKA16" s="71"/>
      <c r="AKB16" s="71"/>
      <c r="AKC16" s="71"/>
      <c r="AKD16" s="71"/>
      <c r="AKE16" s="71"/>
      <c r="AKF16" s="71"/>
      <c r="AKG16" s="71"/>
      <c r="AKH16" s="71"/>
      <c r="AKI16" s="71"/>
      <c r="AKJ16" s="71"/>
      <c r="AKK16" s="71"/>
      <c r="AKL16" s="71"/>
      <c r="AKM16" s="71"/>
      <c r="AKN16" s="71"/>
      <c r="AKO16" s="71"/>
      <c r="AKP16" s="71"/>
      <c r="AKQ16" s="71"/>
      <c r="AKR16" s="71"/>
      <c r="AKS16" s="71"/>
      <c r="AKT16" s="71"/>
      <c r="AKU16" s="71"/>
      <c r="AKV16" s="71"/>
      <c r="AKW16" s="71"/>
      <c r="AKX16" s="71"/>
      <c r="AKY16" s="71"/>
      <c r="AKZ16" s="71"/>
      <c r="ALA16" s="71"/>
      <c r="ALB16" s="71"/>
      <c r="ALC16" s="71"/>
      <c r="ALD16" s="71"/>
      <c r="ALE16" s="71"/>
      <c r="ALF16" s="71"/>
      <c r="ALG16" s="71"/>
      <c r="ALH16" s="71"/>
      <c r="ALI16" s="71"/>
      <c r="ALJ16" s="71"/>
      <c r="ALK16" s="71"/>
      <c r="ALL16" s="71"/>
      <c r="ALM16" s="71"/>
      <c r="ALN16" s="71"/>
      <c r="ALO16" s="71"/>
      <c r="ALP16" s="71"/>
      <c r="ALQ16" s="71"/>
      <c r="ALR16" s="71"/>
      <c r="ALS16" s="71"/>
      <c r="ALT16" s="71"/>
      <c r="ALU16" s="71"/>
      <c r="ALV16" s="71"/>
      <c r="ALW16" s="71"/>
      <c r="ALX16" s="71"/>
      <c r="ALY16" s="71"/>
      <c r="ALZ16" s="71"/>
      <c r="AMA16" s="71"/>
      <c r="AMB16" s="71"/>
      <c r="AMC16" s="71"/>
      <c r="AMD16" s="71"/>
      <c r="AME16" s="71"/>
      <c r="AMF16" s="71"/>
      <c r="AMG16" s="71"/>
      <c r="AMH16" s="71"/>
      <c r="AMI16" s="71"/>
      <c r="AMJ16" s="71"/>
      <c r="AMK16" s="71"/>
      <c r="AML16" s="71"/>
    </row>
    <row r="17" spans="2:12" ht="33" x14ac:dyDescent="0.25">
      <c r="B17" s="116" t="s">
        <v>38</v>
      </c>
      <c r="C17" s="117"/>
      <c r="D17" s="204" t="s">
        <v>355</v>
      </c>
      <c r="E17" s="119"/>
      <c r="F17" s="120"/>
      <c r="G17" s="119"/>
      <c r="H17" s="121"/>
      <c r="I17" s="205"/>
      <c r="J17" s="205"/>
      <c r="K17" s="206"/>
    </row>
    <row r="18" spans="2:12" ht="49.5" x14ac:dyDescent="0.25">
      <c r="B18" s="104" t="s">
        <v>39</v>
      </c>
      <c r="C18" s="105" t="s">
        <v>40</v>
      </c>
      <c r="D18" s="106" t="s">
        <v>333</v>
      </c>
      <c r="E18" s="107" t="s">
        <v>18</v>
      </c>
      <c r="F18" s="108" t="s">
        <v>18</v>
      </c>
      <c r="G18" s="109"/>
      <c r="H18" s="114" t="str">
        <f>HYPERLINK(CONCATENATE(BASE_URL,"0x06d-Testing-Data-Storage.md#testing-local-data-storage-mstg-storage-1-and-mstg-storage-2"),"Testing Local Data Storage (MSTG-STORAGE-1 and MSTG-STORAGE-2)")</f>
        <v>Testing Local Data Storage (MSTG-STORAGE-1 and MSTG-STORAGE-2)</v>
      </c>
      <c r="I18" s="199"/>
      <c r="J18" s="199"/>
      <c r="K18" s="200"/>
    </row>
    <row r="19" spans="2:12" ht="33" x14ac:dyDescent="0.25">
      <c r="B19" s="104" t="s">
        <v>41</v>
      </c>
      <c r="C19" s="105" t="s">
        <v>42</v>
      </c>
      <c r="D19" s="106" t="s">
        <v>334</v>
      </c>
      <c r="E19" s="107"/>
      <c r="F19" s="108"/>
      <c r="G19" s="109"/>
      <c r="H19" s="114" t="str">
        <f>HYPERLINK(CONCATENATE(BASE_URL,"0x06d-Testing-Data-Storage.md#testing-local-data-storage-mstg-storage-1-and-mstg-storage-2"),"Testing Local Data Storage (MSTG-STORAGE-1 and MSTG-STORAGE-2)")</f>
        <v>Testing Local Data Storage (MSTG-STORAGE-1 and MSTG-STORAGE-2)</v>
      </c>
      <c r="I19" s="199"/>
      <c r="J19" s="199"/>
      <c r="K19" s="200"/>
    </row>
    <row r="20" spans="2:12" ht="33" x14ac:dyDescent="0.25">
      <c r="B20" s="104" t="s">
        <v>43</v>
      </c>
      <c r="C20" s="105" t="s">
        <v>44</v>
      </c>
      <c r="D20" s="106" t="s">
        <v>335</v>
      </c>
      <c r="E20" s="107" t="s">
        <v>18</v>
      </c>
      <c r="F20" s="108" t="s">
        <v>18</v>
      </c>
      <c r="G20" s="109"/>
      <c r="H20" s="114" t="str">
        <f>HYPERLINK(CONCATENATE(BASE_URL,"0x06d-Testing-Data-Storage.md#checking-logs-for-sensitive-data-mstg-storage-3"),"Checking Logs for Sensitive Data (MSTG-STORAGE-3)")</f>
        <v>Checking Logs for Sensitive Data (MSTG-STORAGE-3)</v>
      </c>
      <c r="I20" s="199"/>
      <c r="J20" s="199"/>
      <c r="K20" s="200"/>
    </row>
    <row r="21" spans="2:12" ht="33" x14ac:dyDescent="0.25">
      <c r="B21" s="104" t="s">
        <v>45</v>
      </c>
      <c r="C21" s="105" t="s">
        <v>46</v>
      </c>
      <c r="D21" s="106" t="s">
        <v>336</v>
      </c>
      <c r="E21" s="107" t="s">
        <v>18</v>
      </c>
      <c r="F21" s="108" t="s">
        <v>18</v>
      </c>
      <c r="G21" s="109"/>
      <c r="H21" s="114"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199"/>
      <c r="J21" s="199"/>
      <c r="K21" s="200"/>
    </row>
    <row r="22" spans="2:12" ht="33" x14ac:dyDescent="0.25">
      <c r="B22" s="104" t="s">
        <v>47</v>
      </c>
      <c r="C22" s="105" t="s">
        <v>48</v>
      </c>
      <c r="D22" s="124" t="s">
        <v>337</v>
      </c>
      <c r="E22" s="107" t="s">
        <v>18</v>
      </c>
      <c r="F22" s="108" t="s">
        <v>18</v>
      </c>
      <c r="G22" s="109"/>
      <c r="H22" s="114" t="str">
        <f>HYPERLINK(CONCATENATE(BASE_URL,"0x06d-Testing-Data-Storage.md#finding-sensitive-data-in-the-keyboard-cache-mstg-storage-5"),"Finding Sensitive Data in the Keyboard Cache (MSTG-STORAGE-5)")</f>
        <v>Finding Sensitive Data in the Keyboard Cache (MSTG-STORAGE-5)</v>
      </c>
      <c r="I22" s="199"/>
      <c r="J22" s="199"/>
      <c r="K22" s="200"/>
    </row>
    <row r="23" spans="2:12" ht="33" x14ac:dyDescent="0.25">
      <c r="B23" s="104" t="s">
        <v>49</v>
      </c>
      <c r="C23" s="105" t="s">
        <v>50</v>
      </c>
      <c r="D23" s="124" t="s">
        <v>338</v>
      </c>
      <c r="E23" s="107" t="s">
        <v>18</v>
      </c>
      <c r="F23" s="108" t="s">
        <v>18</v>
      </c>
      <c r="G23" s="109"/>
      <c r="H23" s="110"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199"/>
      <c r="J23" s="199"/>
      <c r="K23" s="200"/>
    </row>
    <row r="24" spans="2:12" ht="33" x14ac:dyDescent="0.25">
      <c r="B24" s="104" t="s">
        <v>51</v>
      </c>
      <c r="C24" s="105" t="s">
        <v>52</v>
      </c>
      <c r="D24" s="124" t="s">
        <v>339</v>
      </c>
      <c r="E24" s="107" t="s">
        <v>18</v>
      </c>
      <c r="F24" s="108" t="s">
        <v>18</v>
      </c>
      <c r="G24" s="109"/>
      <c r="H24" s="114"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199"/>
      <c r="J24" s="199"/>
      <c r="K24" s="200"/>
    </row>
    <row r="25" spans="2:12" ht="33" x14ac:dyDescent="0.25">
      <c r="B25" s="104" t="s">
        <v>53</v>
      </c>
      <c r="C25" s="105" t="s">
        <v>54</v>
      </c>
      <c r="D25" s="124" t="s">
        <v>340</v>
      </c>
      <c r="E25" s="113"/>
      <c r="F25" s="108" t="s">
        <v>18</v>
      </c>
      <c r="G25" s="109" t="s">
        <v>27</v>
      </c>
      <c r="H25" s="114" t="str">
        <f>HYPERLINK(CONCATENATE(BASE_URL,"0x06d-Testing-Data-Storage.md#testing-backups-for-sensitive-data-mstg-storage-8"),"Testing Backups for Sensitive Data (MSTG-STORAGE-8)")</f>
        <v>Testing Backups for Sensitive Data (MSTG-STORAGE-8)</v>
      </c>
      <c r="I25" s="199"/>
      <c r="J25" s="199"/>
      <c r="K25" s="200"/>
    </row>
    <row r="26" spans="2:12" ht="33" x14ac:dyDescent="0.25">
      <c r="B26" s="104" t="s">
        <v>55</v>
      </c>
      <c r="C26" s="105" t="s">
        <v>56</v>
      </c>
      <c r="D26" s="124" t="s">
        <v>341</v>
      </c>
      <c r="E26" s="113"/>
      <c r="F26" s="108" t="s">
        <v>18</v>
      </c>
      <c r="G26" s="109" t="s">
        <v>27</v>
      </c>
      <c r="H26" s="114"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199"/>
      <c r="J26" s="199"/>
      <c r="K26" s="200"/>
    </row>
    <row r="27" spans="2:12" ht="33" x14ac:dyDescent="0.25">
      <c r="B27" s="104" t="s">
        <v>57</v>
      </c>
      <c r="C27" s="105" t="s">
        <v>58</v>
      </c>
      <c r="D27" s="124" t="s">
        <v>342</v>
      </c>
      <c r="E27" s="113"/>
      <c r="F27" s="108" t="s">
        <v>18</v>
      </c>
      <c r="G27" s="109" t="s">
        <v>27</v>
      </c>
      <c r="H27" s="114" t="str">
        <f>HYPERLINK(CONCATENATE(BASE_URL,"0x06d-Testing-Data-Storage.md#testing-memory-for-sensitive-data-mstg-storage-10"),"Testing Memory for Sensitive Data (MSTG-STORAGE-10)")</f>
        <v>Testing Memory for Sensitive Data (MSTG-STORAGE-10)</v>
      </c>
      <c r="I27" s="199"/>
      <c r="J27" s="199"/>
      <c r="K27" s="200"/>
    </row>
    <row r="28" spans="2:12" ht="33" x14ac:dyDescent="0.25">
      <c r="B28" s="104" t="s">
        <v>59</v>
      </c>
      <c r="C28" s="105" t="s">
        <v>60</v>
      </c>
      <c r="D28" s="124" t="s">
        <v>343</v>
      </c>
      <c r="E28" s="113"/>
      <c r="F28" s="108" t="s">
        <v>18</v>
      </c>
      <c r="G28" s="109" t="s">
        <v>27</v>
      </c>
      <c r="H28" s="114" t="str">
        <f>HYPERLINK(CONCATENATE(BASE_URL,"0x06f-Testing-Local-Authentication.md#testing-local-authentication-mstg-auth-8-and-mstg-storage-11"),"Testing Local Authentication (MSTG-AUTH-8 and MSTG-STORAGE-11)")</f>
        <v>Testing Local Authentication (MSTG-AUTH-8 and MSTG-STORAGE-11)</v>
      </c>
      <c r="I28" s="199"/>
      <c r="J28" s="199"/>
      <c r="K28" s="200"/>
      <c r="L28" s="73"/>
    </row>
    <row r="29" spans="2:12" ht="49.5" x14ac:dyDescent="0.25">
      <c r="B29" s="104" t="s">
        <v>61</v>
      </c>
      <c r="C29" s="105" t="s">
        <v>62</v>
      </c>
      <c r="D29" s="106" t="s">
        <v>344</v>
      </c>
      <c r="E29" s="113"/>
      <c r="F29" s="108" t="s">
        <v>18</v>
      </c>
      <c r="G29" s="109" t="s">
        <v>27</v>
      </c>
      <c r="H29" s="207" t="str">
        <f>HYPERLINK(CONCATENATE(BASE_URL,"0x04i-Testing-user-interaction.md#testing-user-education-mstg-storage-12"),"Testing User Education (MSTG-STORAGE-12)")</f>
        <v>Testing User Education (MSTG-STORAGE-12)</v>
      </c>
      <c r="I29" s="199"/>
      <c r="J29" s="199"/>
      <c r="K29" s="200"/>
      <c r="L29" s="74"/>
    </row>
    <row r="30" spans="2:12" ht="49.5" x14ac:dyDescent="0.25">
      <c r="B30" s="104" t="s">
        <v>315</v>
      </c>
      <c r="C30" s="105" t="s">
        <v>317</v>
      </c>
      <c r="D30" s="106" t="s">
        <v>345</v>
      </c>
      <c r="E30" s="113"/>
      <c r="F30" s="108"/>
      <c r="G30" s="109"/>
      <c r="H30" s="207"/>
      <c r="I30" s="199"/>
      <c r="J30" s="199"/>
      <c r="K30" s="200"/>
      <c r="L30" s="74"/>
    </row>
    <row r="31" spans="2:12" ht="49.5" x14ac:dyDescent="0.25">
      <c r="B31" s="104" t="s">
        <v>316</v>
      </c>
      <c r="C31" s="105" t="s">
        <v>318</v>
      </c>
      <c r="D31" s="106" t="s">
        <v>346</v>
      </c>
      <c r="E31" s="113"/>
      <c r="F31" s="108"/>
      <c r="G31" s="109"/>
      <c r="H31" s="207"/>
      <c r="I31" s="199"/>
      <c r="J31" s="199"/>
      <c r="K31" s="200"/>
      <c r="L31" s="74"/>
    </row>
    <row r="32" spans="2:12" ht="45" customHeight="1" x14ac:dyDescent="0.25">
      <c r="B32" s="104" t="s">
        <v>319</v>
      </c>
      <c r="C32" s="105" t="s">
        <v>320</v>
      </c>
      <c r="D32" s="124" t="s">
        <v>347</v>
      </c>
      <c r="E32" s="113"/>
      <c r="F32" s="108"/>
      <c r="G32" s="109"/>
      <c r="H32" s="114"/>
      <c r="I32" s="199"/>
      <c r="J32" s="199"/>
      <c r="K32" s="200"/>
      <c r="L32" s="73"/>
    </row>
    <row r="33" spans="2:13" ht="33" x14ac:dyDescent="0.25">
      <c r="B33" s="116" t="s">
        <v>63</v>
      </c>
      <c r="C33" s="117"/>
      <c r="D33" s="204" t="s">
        <v>358</v>
      </c>
      <c r="E33" s="119"/>
      <c r="F33" s="120"/>
      <c r="G33" s="119"/>
      <c r="H33" s="121"/>
      <c r="I33" s="205"/>
      <c r="J33" s="205"/>
      <c r="K33" s="206"/>
    </row>
    <row r="34" spans="2:13" ht="45" customHeight="1" x14ac:dyDescent="0.25">
      <c r="B34" s="104" t="s">
        <v>64</v>
      </c>
      <c r="C34" s="105" t="s">
        <v>65</v>
      </c>
      <c r="D34" s="124" t="s">
        <v>348</v>
      </c>
      <c r="E34" s="107" t="s">
        <v>18</v>
      </c>
      <c r="F34" s="108" t="s">
        <v>18</v>
      </c>
      <c r="G34" s="109"/>
      <c r="H34" s="114" t="str">
        <f>HYPERLINK(CONCATENATE(BASE_URL,"0x06e-Testing-Cryptography.md#testing-key-management-mstg-crypto-1-and-mstg-crypto-5"),"Testing Key Management (MSTG-CRYPTO-1 and MSTG-CRYPTO-5)")</f>
        <v>Testing Key Management (MSTG-CRYPTO-1 and MSTG-CRYPTO-5)</v>
      </c>
      <c r="I34" s="199"/>
      <c r="J34" s="199"/>
      <c r="K34" s="200"/>
    </row>
    <row r="35" spans="2:13" ht="45" customHeight="1" x14ac:dyDescent="0.25">
      <c r="B35" s="104" t="s">
        <v>66</v>
      </c>
      <c r="C35" s="105" t="s">
        <v>67</v>
      </c>
      <c r="D35" s="124" t="s">
        <v>349</v>
      </c>
      <c r="E35" s="107" t="s">
        <v>18</v>
      </c>
      <c r="F35" s="108" t="s">
        <v>18</v>
      </c>
      <c r="G35" s="109"/>
      <c r="H35" s="110"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199"/>
      <c r="J35" s="199"/>
      <c r="K35" s="200"/>
    </row>
    <row r="36" spans="2:13" ht="45" customHeight="1" x14ac:dyDescent="0.25">
      <c r="B36" s="104" t="s">
        <v>68</v>
      </c>
      <c r="C36" s="105" t="s">
        <v>69</v>
      </c>
      <c r="D36" s="106" t="s">
        <v>350</v>
      </c>
      <c r="E36" s="107" t="s">
        <v>18</v>
      </c>
      <c r="F36" s="108" t="s">
        <v>18</v>
      </c>
      <c r="G36" s="109"/>
      <c r="H36" s="110"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199"/>
      <c r="J36" s="199"/>
      <c r="K36" s="200"/>
    </row>
    <row r="37" spans="2:13" ht="45" customHeight="1" x14ac:dyDescent="0.25">
      <c r="B37" s="104" t="s">
        <v>70</v>
      </c>
      <c r="C37" s="105" t="s">
        <v>71</v>
      </c>
      <c r="D37" s="124" t="s">
        <v>351</v>
      </c>
      <c r="E37" s="107" t="s">
        <v>18</v>
      </c>
      <c r="F37" s="108" t="s">
        <v>18</v>
      </c>
      <c r="G37" s="109"/>
      <c r="H37" s="114"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199"/>
      <c r="J37" s="199"/>
      <c r="K37" s="200"/>
    </row>
    <row r="38" spans="2:13" ht="45" customHeight="1" x14ac:dyDescent="0.25">
      <c r="B38" s="104" t="s">
        <v>72</v>
      </c>
      <c r="C38" s="105" t="s">
        <v>73</v>
      </c>
      <c r="D38" s="124" t="s">
        <v>352</v>
      </c>
      <c r="E38" s="107" t="s">
        <v>18</v>
      </c>
      <c r="F38" s="108" t="s">
        <v>18</v>
      </c>
      <c r="G38" s="109"/>
      <c r="H38" s="114" t="str">
        <f>HYPERLINK(CONCATENATE(BASE_URL,"0x06e-Testing-Cryptography.md#testing-key-management-mstg-crypto-1-and-mstg-crypto-5"),"Testing Key Management (MSTG-CRYPTO-1 and MSTG-CRYPTO-5)")</f>
        <v>Testing Key Management (MSTG-CRYPTO-1 and MSTG-CRYPTO-5)</v>
      </c>
      <c r="I38" s="199"/>
      <c r="J38" s="199"/>
      <c r="K38" s="200"/>
    </row>
    <row r="39" spans="2:13" ht="45" customHeight="1" x14ac:dyDescent="0.25">
      <c r="B39" s="104" t="s">
        <v>74</v>
      </c>
      <c r="C39" s="105" t="s">
        <v>75</v>
      </c>
      <c r="D39" s="124" t="s">
        <v>353</v>
      </c>
      <c r="E39" s="107" t="s">
        <v>18</v>
      </c>
      <c r="F39" s="108" t="s">
        <v>18</v>
      </c>
      <c r="G39" s="109"/>
      <c r="H39" s="114" t="str">
        <f>HYPERLINK(CONCATENATE(BASE_URL,"0x06e-Testing-Cryptography.md#testing-random-number-generation-mstg-crypto-6")," Testing Random Number Generation (MSTG-CRYPTO-6)")</f>
        <v xml:space="preserve"> Testing Random Number Generation (MSTG-CRYPTO-6)</v>
      </c>
      <c r="I39" s="199"/>
      <c r="J39" s="199"/>
      <c r="K39" s="200"/>
    </row>
    <row r="40" spans="2:13" ht="33" x14ac:dyDescent="0.25">
      <c r="B40" s="116" t="s">
        <v>76</v>
      </c>
      <c r="C40" s="117"/>
      <c r="D40" s="204" t="s">
        <v>354</v>
      </c>
      <c r="E40" s="119"/>
      <c r="F40" s="120"/>
      <c r="G40" s="119"/>
      <c r="H40" s="121"/>
      <c r="I40" s="205"/>
      <c r="J40" s="205"/>
      <c r="K40" s="206"/>
    </row>
    <row r="41" spans="2:13" ht="45" customHeight="1" x14ac:dyDescent="0.25">
      <c r="B41" s="104" t="s">
        <v>77</v>
      </c>
      <c r="C41" s="105" t="s">
        <v>78</v>
      </c>
      <c r="D41" s="128" t="s">
        <v>360</v>
      </c>
      <c r="E41" s="107" t="s">
        <v>18</v>
      </c>
      <c r="F41" s="108" t="s">
        <v>18</v>
      </c>
      <c r="G41" s="109"/>
      <c r="H41" s="114"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114" t="str">
        <f>HYPERLINK(CONCATENATE(BASE_URL,"0x04e-Testing-Authentication-and-Session-Management.md#testing-oauth-20-flows-mstg-auth-1-and-mstg-auth-3"),"Testing OAuth 2.0 Flows (MSTG-AUTH-1 and MSTG-AUTH-3)")</f>
        <v>Testing OAuth 2.0 Flows (MSTG-AUTH-1 and MSTG-AUTH-3)</v>
      </c>
      <c r="J41" s="208"/>
      <c r="K41" s="209"/>
    </row>
    <row r="42" spans="2:13" ht="45" customHeight="1" x14ac:dyDescent="0.25">
      <c r="B42" s="104" t="s">
        <v>79</v>
      </c>
      <c r="C42" s="105" t="s">
        <v>80</v>
      </c>
      <c r="D42" s="128" t="s">
        <v>361</v>
      </c>
      <c r="E42" s="107" t="s">
        <v>18</v>
      </c>
      <c r="F42" s="108" t="s">
        <v>18</v>
      </c>
      <c r="G42" s="109"/>
      <c r="H42" s="114" t="str">
        <f>HYPERLINK(CONCATENATE(BASE_URL,"0x04e-Testing-Authentication-and-Session-Management.md#testing-stateful-session-management-mstg-auth-2"),"Testing Stateful Session Management (MSTG-AUTH-2)")</f>
        <v>Testing Stateful Session Management (MSTG-AUTH-2)</v>
      </c>
      <c r="I42" s="199"/>
      <c r="J42" s="199"/>
      <c r="K42" s="200"/>
    </row>
    <row r="43" spans="2:13" ht="45" customHeight="1" x14ac:dyDescent="0.25">
      <c r="B43" s="104" t="s">
        <v>81</v>
      </c>
      <c r="C43" s="105" t="s">
        <v>82</v>
      </c>
      <c r="D43" s="128" t="s">
        <v>364</v>
      </c>
      <c r="E43" s="107" t="s">
        <v>18</v>
      </c>
      <c r="F43" s="108" t="s">
        <v>18</v>
      </c>
      <c r="G43" s="109"/>
      <c r="H43" s="114" t="str">
        <f>HYPERLINK(CONCATENATE(BASE_URL,"0x04e-Testing-Authentication-and-Session-Management.md#testing-stateless-token-based-authentication-mstg-auth-3"),"Testing Stateless (Token-Based) Authentication (MSTG-AUTH-3)")</f>
        <v>Testing Stateless (Token-Based) Authentication (MSTG-AUTH-3)</v>
      </c>
      <c r="I43" s="114" t="str">
        <f>HYPERLINK(CONCATENATE(BASE_URL,"0x04e-Testing-Authentication-and-Session-Management.md#testing-oauth-20-flows-mstg-auth-1-and-mstg-auth-3"),"Testing OAuth 2.0 Flows (MSTG-AUTH-1 and MSTG-AUTH-3)")</f>
        <v>Testing OAuth 2.0 Flows (MSTG-AUTH-1 and MSTG-AUTH-3)</v>
      </c>
      <c r="J43" s="208"/>
      <c r="K43" s="209"/>
    </row>
    <row r="44" spans="2:13" ht="45" customHeight="1" x14ac:dyDescent="0.25">
      <c r="B44" s="104" t="s">
        <v>83</v>
      </c>
      <c r="C44" s="105" t="s">
        <v>84</v>
      </c>
      <c r="D44" s="128" t="s">
        <v>365</v>
      </c>
      <c r="E44" s="107"/>
      <c r="F44" s="108"/>
      <c r="G44" s="109"/>
      <c r="H44" s="114" t="str">
        <f>HYPERLINK(CONCATENATE(BASE_URL,"0x04e-Testing-Authentication-and-Session-Management.md#testing-user-logout-mstg-auth-4"),"Testing User Logout (MSTG-AUTH-4)")</f>
        <v>Testing User Logout (MSTG-AUTH-4)</v>
      </c>
      <c r="I44" s="199"/>
      <c r="J44" s="199"/>
      <c r="K44" s="200"/>
      <c r="M44" s="75"/>
    </row>
    <row r="45" spans="2:13" ht="45" customHeight="1" x14ac:dyDescent="0.25">
      <c r="B45" s="104" t="s">
        <v>85</v>
      </c>
      <c r="C45" s="105" t="s">
        <v>86</v>
      </c>
      <c r="D45" s="128" t="s">
        <v>366</v>
      </c>
      <c r="E45" s="107" t="s">
        <v>18</v>
      </c>
      <c r="F45" s="108" t="s">
        <v>18</v>
      </c>
      <c r="G45" s="109"/>
      <c r="H45" s="114" t="str">
        <f>HYPERLINK(CONCATENATE(BASE_URL,"0x04e-Testing-Authentication-and-Session-Management.md#testing-best-practices-for-passwords-mstg-auth-5-and-mstg-auth-6"),"Testing Best Practices for Passwords (MSTG-AUTH-5 and MSTG-AUTH-6)")</f>
        <v>Testing Best Practices for Passwords (MSTG-AUTH-5 and MSTG-AUTH-6)</v>
      </c>
      <c r="I45" s="199"/>
      <c r="J45" s="199"/>
      <c r="K45" s="209"/>
      <c r="M45" s="75"/>
    </row>
    <row r="46" spans="2:13" ht="45" customHeight="1" x14ac:dyDescent="0.25">
      <c r="B46" s="104" t="s">
        <v>87</v>
      </c>
      <c r="C46" s="105" t="s">
        <v>88</v>
      </c>
      <c r="D46" s="128" t="s">
        <v>368</v>
      </c>
      <c r="E46" s="107" t="s">
        <v>18</v>
      </c>
      <c r="F46" s="108" t="s">
        <v>18</v>
      </c>
      <c r="G46" s="109"/>
      <c r="H46" s="114" t="str">
        <f>HYPERLINK(CONCATENATE(BASE_URL,"0x04e-Testing-Authentication-and-Session-Management.md#testing-best-practices-for-passwords-mstg-auth-5-and-mstg-auth-6"),"Testing Best Practices for Passwords (MSTG-AUTH-5 and MSTG-AUTH-6)")</f>
        <v>Testing Best Practices for Passwords (MSTG-AUTH-5 and MSTG-AUTH-6)</v>
      </c>
      <c r="I46" s="114" t="str">
        <f>HYPERLINK(CONCATENATE(BASE_URL,"0x04e-Testing-Authentication-and-Session-Management.md#dynamic-testing-mstg-auth-6"),"Dynamic Testing (MSTG-AUTH-6)")</f>
        <v>Dynamic Testing (MSTG-AUTH-6)</v>
      </c>
      <c r="J46" s="208"/>
      <c r="K46" s="209"/>
    </row>
    <row r="47" spans="2:13" ht="45" customHeight="1" x14ac:dyDescent="0.25">
      <c r="B47" s="104" t="s">
        <v>89</v>
      </c>
      <c r="C47" s="105" t="s">
        <v>90</v>
      </c>
      <c r="D47" s="128" t="s">
        <v>369</v>
      </c>
      <c r="E47" s="107" t="s">
        <v>18</v>
      </c>
      <c r="F47" s="108" t="s">
        <v>18</v>
      </c>
      <c r="G47" s="109"/>
      <c r="H47" s="114" t="str">
        <f>HYPERLINK(CONCATENATE(BASE_URL,"0x04e-Testing-Authentication-and-Session-Management.md#testing-session-timeout-mstg-auth-7"),"Testing Session Timeout (MSTG-AUTH-7)")</f>
        <v>Testing Session Timeout (MSTG-AUTH-7)</v>
      </c>
      <c r="I47" s="207"/>
      <c r="J47" s="210"/>
      <c r="K47" s="211"/>
    </row>
    <row r="48" spans="2:13" ht="45" customHeight="1" x14ac:dyDescent="0.25">
      <c r="B48" s="104" t="s">
        <v>91</v>
      </c>
      <c r="C48" s="105" t="s">
        <v>92</v>
      </c>
      <c r="D48" s="128" t="s">
        <v>370</v>
      </c>
      <c r="E48" s="113"/>
      <c r="F48" s="108" t="s">
        <v>18</v>
      </c>
      <c r="G48" s="109" t="s">
        <v>27</v>
      </c>
      <c r="H48" s="114" t="str">
        <f>HYPERLINK(CONCATENATE(BASE_URL,"0x06f-Testing-Local-Authentication.md#testing-local-authentication-mstg-auth-8-and-mstg-storage-11"),"Testing Local Authentication (MSTG-AUTH-8 and MSTG-STORAGE-11)")</f>
        <v>Testing Local Authentication (MSTG-AUTH-8 and MSTG-STORAGE-11)</v>
      </c>
      <c r="I48" s="114"/>
      <c r="J48" s="208"/>
      <c r="K48" s="209"/>
    </row>
    <row r="49" spans="2:11" ht="45" customHeight="1" x14ac:dyDescent="0.25">
      <c r="B49" s="104" t="s">
        <v>93</v>
      </c>
      <c r="C49" s="105" t="s">
        <v>94</v>
      </c>
      <c r="D49" s="128" t="s">
        <v>371</v>
      </c>
      <c r="E49" s="113"/>
      <c r="F49" s="108" t="s">
        <v>18</v>
      </c>
      <c r="G49" s="109" t="s">
        <v>27</v>
      </c>
      <c r="H49" s="11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199"/>
      <c r="J49" s="199"/>
      <c r="K49" s="200"/>
    </row>
    <row r="50" spans="2:11" ht="45" customHeight="1" x14ac:dyDescent="0.25">
      <c r="B50" s="104" t="s">
        <v>95</v>
      </c>
      <c r="C50" s="105" t="s">
        <v>96</v>
      </c>
      <c r="D50" s="128" t="s">
        <v>372</v>
      </c>
      <c r="E50" s="113"/>
      <c r="F50" s="108" t="s">
        <v>18</v>
      </c>
      <c r="G50" s="109" t="s">
        <v>27</v>
      </c>
      <c r="H50" s="11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199"/>
      <c r="J50" s="199"/>
      <c r="K50" s="200"/>
    </row>
    <row r="51" spans="2:11" ht="45" customHeight="1" x14ac:dyDescent="0.25">
      <c r="B51" s="104" t="s">
        <v>97</v>
      </c>
      <c r="C51" s="105" t="s">
        <v>363</v>
      </c>
      <c r="D51" s="128" t="s">
        <v>373</v>
      </c>
      <c r="E51" s="113"/>
      <c r="F51" s="108"/>
      <c r="G51" s="109"/>
      <c r="H51" s="110"/>
      <c r="I51" s="199"/>
      <c r="J51" s="199"/>
      <c r="K51" s="200"/>
    </row>
    <row r="52" spans="2:11" ht="45" customHeight="1" x14ac:dyDescent="0.25">
      <c r="B52" s="104" t="s">
        <v>375</v>
      </c>
      <c r="C52" s="105" t="s">
        <v>363</v>
      </c>
      <c r="D52" s="128" t="s">
        <v>374</v>
      </c>
      <c r="E52" s="113"/>
      <c r="F52" s="108" t="s">
        <v>18</v>
      </c>
      <c r="G52" s="109" t="s">
        <v>27</v>
      </c>
      <c r="H52" s="207" t="str">
        <f>HYPERLINK(CONCATENATE( BASE_URL, "0x04e-Testing-Authentication-and-Session-Management.md#testing-login-activity-and-device-blocking-mstg-auth-11"), "Testing Login Activity and Device Blocking (MSTG-AUTH-11)")</f>
        <v>Testing Login Activity and Device Blocking (MSTG-AUTH-11)</v>
      </c>
      <c r="I52" s="199"/>
      <c r="J52" s="199"/>
      <c r="K52" s="200"/>
    </row>
    <row r="53" spans="2:11" ht="33" x14ac:dyDescent="0.25">
      <c r="B53" s="116" t="s">
        <v>99</v>
      </c>
      <c r="C53" s="117"/>
      <c r="D53" s="204" t="s">
        <v>376</v>
      </c>
      <c r="E53" s="119"/>
      <c r="F53" s="120"/>
      <c r="G53" s="119"/>
      <c r="H53" s="121"/>
      <c r="I53" s="205"/>
      <c r="J53" s="205"/>
      <c r="K53" s="206"/>
    </row>
    <row r="54" spans="2:11" ht="45" customHeight="1" x14ac:dyDescent="0.25">
      <c r="B54" s="104" t="s">
        <v>100</v>
      </c>
      <c r="C54" s="105" t="s">
        <v>101</v>
      </c>
      <c r="D54" s="124" t="s">
        <v>377</v>
      </c>
      <c r="E54" s="107" t="s">
        <v>18</v>
      </c>
      <c r="F54" s="108" t="s">
        <v>18</v>
      </c>
      <c r="G54" s="109"/>
      <c r="H54" s="11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203"/>
      <c r="J54" s="203"/>
      <c r="K54" s="212"/>
    </row>
    <row r="55" spans="2:11" ht="45" customHeight="1" x14ac:dyDescent="0.25">
      <c r="B55" s="104" t="s">
        <v>102</v>
      </c>
      <c r="C55" s="105" t="s">
        <v>103</v>
      </c>
      <c r="D55" s="128" t="s">
        <v>378</v>
      </c>
      <c r="E55" s="107" t="s">
        <v>18</v>
      </c>
      <c r="F55" s="108" t="s">
        <v>18</v>
      </c>
      <c r="G55" s="109"/>
      <c r="H55" s="11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203" t="str">
        <f>HYPERLINK(CONCATENATE(BASE_URL,"0x06g-Testing-Network-Communication.md#app-transport-security-mstg-network-2"),"App Transport Security (MSTG-NETWORK-2)")</f>
        <v>App Transport Security (MSTG-NETWORK-2)</v>
      </c>
      <c r="J55" s="203"/>
      <c r="K55" s="212"/>
    </row>
    <row r="56" spans="2:11" ht="45" customHeight="1" x14ac:dyDescent="0.25">
      <c r="B56" s="104" t="s">
        <v>104</v>
      </c>
      <c r="C56" s="105" t="s">
        <v>105</v>
      </c>
      <c r="D56" s="128" t="s">
        <v>379</v>
      </c>
      <c r="E56" s="107" t="s">
        <v>18</v>
      </c>
      <c r="F56" s="108" t="s">
        <v>18</v>
      </c>
      <c r="G56" s="109"/>
      <c r="H56" s="114"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199"/>
      <c r="J56" s="199"/>
      <c r="K56" s="212"/>
    </row>
    <row r="57" spans="2:11" ht="45" customHeight="1" x14ac:dyDescent="0.25">
      <c r="B57" s="104" t="s">
        <v>106</v>
      </c>
      <c r="C57" s="105" t="s">
        <v>107</v>
      </c>
      <c r="D57" s="128" t="s">
        <v>380</v>
      </c>
      <c r="E57" s="113"/>
      <c r="F57" s="108" t="s">
        <v>18</v>
      </c>
      <c r="G57" s="109" t="s">
        <v>27</v>
      </c>
      <c r="H57" s="114"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199"/>
      <c r="J57" s="199"/>
      <c r="K57" s="200"/>
    </row>
    <row r="58" spans="2:11" ht="45" customHeight="1" x14ac:dyDescent="0.25">
      <c r="B58" s="104" t="s">
        <v>108</v>
      </c>
      <c r="C58" s="105" t="s">
        <v>109</v>
      </c>
      <c r="D58" s="128" t="s">
        <v>381</v>
      </c>
      <c r="E58" s="113"/>
      <c r="F58" s="108" t="s">
        <v>18</v>
      </c>
      <c r="G58" s="109" t="s">
        <v>27</v>
      </c>
      <c r="H58" s="110"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199"/>
      <c r="J58" s="199"/>
      <c r="K58" s="200"/>
    </row>
    <row r="59" spans="2:11" ht="45" customHeight="1" x14ac:dyDescent="0.25">
      <c r="B59" s="104" t="s">
        <v>110</v>
      </c>
      <c r="C59" s="105" t="s">
        <v>111</v>
      </c>
      <c r="D59" s="128" t="s">
        <v>382</v>
      </c>
      <c r="E59" s="113"/>
      <c r="F59" s="108" t="s">
        <v>18</v>
      </c>
      <c r="G59" s="109" t="s">
        <v>27</v>
      </c>
      <c r="H59" s="114" t="str">
        <f>HYPERLINK(CONCATENATE( BASE_URL, "0x06i-Testing-Code-Quality-and-Build-Settings.md#checking-for-weaknesses-in-third-party-libraries-mstg-code-5"), "Checking for Weaknesses in Third Party Libraries (MSTG-CODE-5)")</f>
        <v>Checking for Weaknesses in Third Party Libraries (MSTG-CODE-5)</v>
      </c>
      <c r="I59" s="199"/>
      <c r="J59" s="199"/>
      <c r="K59" s="200"/>
    </row>
    <row r="60" spans="2:11" ht="33" x14ac:dyDescent="0.25">
      <c r="B60" s="116" t="s">
        <v>112</v>
      </c>
      <c r="C60" s="117"/>
      <c r="D60" s="204" t="s">
        <v>385</v>
      </c>
      <c r="E60" s="119"/>
      <c r="F60" s="120"/>
      <c r="G60" s="119"/>
      <c r="H60" s="121"/>
      <c r="I60" s="205"/>
      <c r="J60" s="205"/>
      <c r="K60" s="206"/>
    </row>
    <row r="61" spans="2:11" ht="45" customHeight="1" x14ac:dyDescent="0.25">
      <c r="B61" s="104" t="s">
        <v>113</v>
      </c>
      <c r="C61" s="105" t="s">
        <v>114</v>
      </c>
      <c r="D61" s="124" t="s">
        <v>392</v>
      </c>
      <c r="E61" s="107" t="s">
        <v>18</v>
      </c>
      <c r="F61" s="108" t="s">
        <v>18</v>
      </c>
      <c r="G61" s="109"/>
      <c r="H61" s="114" t="str">
        <f>HYPERLINK(CONCATENATE(BASE_URL,"0x06h-Testing-Platform-Interaction.md#testing-app-permissions-mstg-platform-1"),"Testing App Permissions (MSTG-PLATFORM-1)")</f>
        <v>Testing App Permissions (MSTG-PLATFORM-1)</v>
      </c>
      <c r="I61" s="199"/>
      <c r="J61" s="199"/>
      <c r="K61" s="200"/>
    </row>
    <row r="62" spans="2:11" ht="45" customHeight="1" x14ac:dyDescent="0.25">
      <c r="B62" s="104" t="s">
        <v>115</v>
      </c>
      <c r="C62" s="105" t="s">
        <v>116</v>
      </c>
      <c r="D62" s="128" t="s">
        <v>394</v>
      </c>
      <c r="E62" s="107" t="s">
        <v>18</v>
      </c>
      <c r="F62" s="108" t="s">
        <v>18</v>
      </c>
      <c r="G62" s="109"/>
      <c r="H62" s="114" t="str">
        <f>HYPERLINK(CONCATENATE(BASE_URL,"0x04h-Testing-Code-Quality.md#injection-flaws-mstg-arch-2-and-mstg-platform-2"),"Injection Flaws (MSTG-ARCH-2 and MSTG-PLATFORM-2)")</f>
        <v>Injection Flaws (MSTG-ARCH-2 and MSTG-PLATFORM-2)</v>
      </c>
      <c r="I62" s="199"/>
      <c r="J62" s="199"/>
      <c r="K62" s="200"/>
    </row>
    <row r="63" spans="2:11" ht="45" customHeight="1" x14ac:dyDescent="0.25">
      <c r="B63" s="104" t="s">
        <v>117</v>
      </c>
      <c r="C63" s="105" t="s">
        <v>118</v>
      </c>
      <c r="D63" s="124" t="s">
        <v>393</v>
      </c>
      <c r="E63" s="107" t="s">
        <v>18</v>
      </c>
      <c r="F63" s="108" t="s">
        <v>18</v>
      </c>
      <c r="G63" s="109"/>
      <c r="H63" s="114" t="str">
        <f>HYPERLINK(CONCATENATE(BASE_URL,"0x06h-Testing-Platform-Interaction.md#testing-custom-url-schemes-mstg-platform-3"),"Testing Custom URL Schemes (MSTG-PLATFORM-3)")</f>
        <v>Testing Custom URL Schemes (MSTG-PLATFORM-3)</v>
      </c>
      <c r="I63" s="199"/>
      <c r="J63" s="199"/>
      <c r="K63" s="200"/>
    </row>
    <row r="64" spans="2:11" ht="45" customHeight="1" x14ac:dyDescent="0.25">
      <c r="B64" s="104" t="s">
        <v>119</v>
      </c>
      <c r="C64" s="105" t="s">
        <v>120</v>
      </c>
      <c r="D64" s="124" t="s">
        <v>396</v>
      </c>
      <c r="E64" s="107" t="s">
        <v>18</v>
      </c>
      <c r="F64" s="108" t="s">
        <v>18</v>
      </c>
      <c r="G64" s="109"/>
      <c r="H64" s="201"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199"/>
      <c r="J64" s="199"/>
      <c r="K64" s="200"/>
    </row>
    <row r="65" spans="2:11" ht="45" customHeight="1" x14ac:dyDescent="0.25">
      <c r="B65" s="104" t="s">
        <v>121</v>
      </c>
      <c r="C65" s="105" t="s">
        <v>122</v>
      </c>
      <c r="D65" s="124" t="s">
        <v>395</v>
      </c>
      <c r="E65" s="107" t="s">
        <v>18</v>
      </c>
      <c r="F65" s="108" t="s">
        <v>18</v>
      </c>
      <c r="G65" s="109"/>
      <c r="H65" s="114" t="str">
        <f>HYPERLINK(CONCATENATE(BASE_URL,"0x06h-Testing-Platform-Interaction.md#testing-ios-webviews-mstg-platform-5"),"Testing iOS WebViews (MSTG-PLATFORM-5)")</f>
        <v>Testing iOS WebViews (MSTG-PLATFORM-5)</v>
      </c>
      <c r="I65" s="199"/>
      <c r="J65" s="199"/>
      <c r="K65" s="200"/>
    </row>
    <row r="66" spans="2:11" ht="45" customHeight="1" x14ac:dyDescent="0.25">
      <c r="B66" s="104" t="s">
        <v>123</v>
      </c>
      <c r="C66" s="105" t="s">
        <v>124</v>
      </c>
      <c r="D66" s="128" t="s">
        <v>397</v>
      </c>
      <c r="E66" s="107" t="s">
        <v>18</v>
      </c>
      <c r="F66" s="108" t="s">
        <v>18</v>
      </c>
      <c r="G66" s="109"/>
      <c r="H66" s="114" t="str">
        <f>HYPERLINK(CONCATENATE(BASE_URL,"0x06h-Testing-Platform-Interaction.md#testing-webview-protocol-handlers-mstg-platform-6"),"Testing WebView Protocol Handlers (MSTG-PLATFORM-6)")</f>
        <v>Testing WebView Protocol Handlers (MSTG-PLATFORM-6)</v>
      </c>
      <c r="I66" s="199"/>
      <c r="J66" s="199"/>
      <c r="K66" s="200"/>
    </row>
    <row r="67" spans="2:11" ht="45" customHeight="1" x14ac:dyDescent="0.25">
      <c r="B67" s="104" t="s">
        <v>125</v>
      </c>
      <c r="C67" s="105" t="s">
        <v>126</v>
      </c>
      <c r="D67" s="128" t="s">
        <v>398</v>
      </c>
      <c r="E67" s="107" t="s">
        <v>18</v>
      </c>
      <c r="F67" s="108" t="s">
        <v>18</v>
      </c>
      <c r="G67" s="109"/>
      <c r="H67" s="114"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199"/>
      <c r="J67" s="199"/>
      <c r="K67" s="200"/>
    </row>
    <row r="68" spans="2:11" ht="45" customHeight="1" x14ac:dyDescent="0.25">
      <c r="B68" s="104" t="s">
        <v>127</v>
      </c>
      <c r="C68" s="105" t="s">
        <v>128</v>
      </c>
      <c r="D68" s="124" t="s">
        <v>399</v>
      </c>
      <c r="E68" s="107" t="s">
        <v>18</v>
      </c>
      <c r="F68" s="108" t="s">
        <v>18</v>
      </c>
      <c r="G68" s="109"/>
      <c r="H68" s="114" t="str">
        <f>HYPERLINK(CONCATENATE(BASE_URL,"0x06h-Testing-Platform-Interaction.md#testing-object-persistence-mstg-platform-8"),"Testing Object Persistence (MSTG-PLATFORM-8)")</f>
        <v>Testing Object Persistence (MSTG-PLATFORM-8)</v>
      </c>
      <c r="I68" s="199"/>
      <c r="J68" s="199"/>
      <c r="K68" s="200"/>
    </row>
    <row r="69" spans="2:11" ht="33" x14ac:dyDescent="0.25">
      <c r="B69" s="116" t="s">
        <v>129</v>
      </c>
      <c r="C69" s="117"/>
      <c r="D69" s="204" t="s">
        <v>403</v>
      </c>
      <c r="E69" s="119"/>
      <c r="F69" s="120"/>
      <c r="G69" s="119"/>
      <c r="H69" s="121"/>
      <c r="I69" s="205"/>
      <c r="J69" s="205"/>
      <c r="K69" s="206"/>
    </row>
    <row r="70" spans="2:11" ht="45" customHeight="1" x14ac:dyDescent="0.25">
      <c r="B70" s="104" t="s">
        <v>130</v>
      </c>
      <c r="C70" s="105" t="s">
        <v>131</v>
      </c>
      <c r="D70" s="124" t="s">
        <v>404</v>
      </c>
      <c r="E70" s="107" t="s">
        <v>18</v>
      </c>
      <c r="F70" s="108" t="s">
        <v>18</v>
      </c>
      <c r="G70" s="109"/>
      <c r="H70" s="114" t="str">
        <f>HYPERLINK(CONCATENATE(BASE_URL,"0x06i-Testing-Code-Quality-and-Build-Settings.md#making-sure-that-the-app-is-properly-signed-mstg-code-1"),"Making Sure that the App Is Properly Signed (MSTG-CODE-1)")</f>
        <v>Making Sure that the App Is Properly Signed (MSTG-CODE-1)</v>
      </c>
      <c r="I70" s="199"/>
      <c r="J70" s="199"/>
      <c r="K70" s="200"/>
    </row>
    <row r="71" spans="2:11" ht="45" customHeight="1" x14ac:dyDescent="0.25">
      <c r="B71" s="104" t="s">
        <v>132</v>
      </c>
      <c r="C71" s="105" t="s">
        <v>133</v>
      </c>
      <c r="D71" s="124" t="s">
        <v>405</v>
      </c>
      <c r="E71" s="107" t="s">
        <v>18</v>
      </c>
      <c r="F71" s="108" t="s">
        <v>18</v>
      </c>
      <c r="G71" s="109"/>
      <c r="H71" s="114" t="str">
        <f>HYPERLINK(CONCATENATE(BASE_URL,"0x06i-Testing-Code-Quality-and-Build-Settings.md#determining-whether-the-app-is-debuggable-mstg-code-2"),"Determining Whether the App is Debuggable (MSTG-CODE-2)")</f>
        <v>Determining Whether the App is Debuggable (MSTG-CODE-2)</v>
      </c>
      <c r="I71" s="199"/>
      <c r="J71" s="199"/>
      <c r="K71" s="200"/>
    </row>
    <row r="72" spans="2:11" ht="45" customHeight="1" x14ac:dyDescent="0.25">
      <c r="B72" s="104" t="s">
        <v>134</v>
      </c>
      <c r="C72" s="105" t="s">
        <v>135</v>
      </c>
      <c r="D72" s="124" t="s">
        <v>406</v>
      </c>
      <c r="E72" s="107" t="s">
        <v>18</v>
      </c>
      <c r="F72" s="108" t="s">
        <v>18</v>
      </c>
      <c r="G72" s="109"/>
      <c r="H72" s="114" t="str">
        <f>HYPERLINK(CONCATENATE(BASE_URL,"0x06i-Testing-Code-Quality-and-Build-Settings.md#finding-debugging-symbols-mstg-code-3"),"Finding Debugging Symbols (MSTG-CODE-3)")</f>
        <v>Finding Debugging Symbols (MSTG-CODE-3)</v>
      </c>
      <c r="I72" s="199"/>
      <c r="J72" s="199"/>
      <c r="K72" s="200"/>
    </row>
    <row r="73" spans="2:11" ht="45" customHeight="1" x14ac:dyDescent="0.25">
      <c r="B73" s="104" t="s">
        <v>136</v>
      </c>
      <c r="C73" s="105" t="s">
        <v>137</v>
      </c>
      <c r="D73" s="124" t="s">
        <v>407</v>
      </c>
      <c r="E73" s="107" t="s">
        <v>18</v>
      </c>
      <c r="F73" s="108" t="s">
        <v>18</v>
      </c>
      <c r="G73" s="109"/>
      <c r="H73" s="114" t="str">
        <f>HYPERLINK(CONCATENATE(BASE_URL,"0x06i-Testing-Code-Quality-and-Build-Settings.md#finding-debugging-code-and-verbose-error-logging-mstg-code-4"),"Finding Debugging Code and Verbose Error Logging (MSTG-CODE-4)")</f>
        <v>Finding Debugging Code and Verbose Error Logging (MSTG-CODE-4)</v>
      </c>
      <c r="I73" s="199"/>
      <c r="J73" s="199"/>
      <c r="K73" s="200"/>
    </row>
    <row r="74" spans="2:11" ht="45" customHeight="1" x14ac:dyDescent="0.25">
      <c r="B74" s="104" t="s">
        <v>138</v>
      </c>
      <c r="C74" s="105" t="s">
        <v>139</v>
      </c>
      <c r="D74" s="106" t="s">
        <v>408</v>
      </c>
      <c r="E74" s="107" t="s">
        <v>18</v>
      </c>
      <c r="F74" s="108" t="s">
        <v>18</v>
      </c>
      <c r="G74" s="109"/>
      <c r="H74" s="207" t="str">
        <f>HYPERLINK(CONCATENATE(BASE_URL,"0x06i-Testing-Code-Quality-and-Build-Settings.md#checking-for-weaknesses-in-third-party-libraries-mstg-code-5"),"Checking for Weaknesses in Third Party Libraries (MSTG-CODE-5)")</f>
        <v>Checking for Weaknesses in Third Party Libraries (MSTG-CODE-5)</v>
      </c>
      <c r="I74" s="199"/>
      <c r="J74" s="199"/>
      <c r="K74" s="200"/>
    </row>
    <row r="75" spans="2:11" ht="45" customHeight="1" x14ac:dyDescent="0.25">
      <c r="B75" s="104" t="s">
        <v>140</v>
      </c>
      <c r="C75" s="105" t="s">
        <v>141</v>
      </c>
      <c r="D75" s="124" t="s">
        <v>409</v>
      </c>
      <c r="E75" s="107" t="s">
        <v>18</v>
      </c>
      <c r="F75" s="108" t="s">
        <v>18</v>
      </c>
      <c r="G75" s="109"/>
      <c r="H75" s="114" t="str">
        <f>HYPERLINK(CONCATENATE(BASE_URL,"0x06i-Testing-Code-Quality-and-Build-Settings.md#testing-exception-handling-mstg-code-6"),"Testing Exception Handling (MSTG-CODE-6)")</f>
        <v>Testing Exception Handling (MSTG-CODE-6)</v>
      </c>
      <c r="I75" s="199"/>
      <c r="J75" s="199"/>
      <c r="K75" s="200"/>
    </row>
    <row r="76" spans="2:11" ht="45" customHeight="1" x14ac:dyDescent="0.25">
      <c r="B76" s="104" t="s">
        <v>142</v>
      </c>
      <c r="C76" s="105" t="s">
        <v>143</v>
      </c>
      <c r="D76" s="124" t="s">
        <v>410</v>
      </c>
      <c r="E76" s="107" t="s">
        <v>18</v>
      </c>
      <c r="F76" s="108" t="s">
        <v>18</v>
      </c>
      <c r="G76" s="109"/>
      <c r="H76" s="114" t="str">
        <f>HYPERLINK(CONCATENATE(BASE_URL,"0x06i-Testing-Code-Quality-and-Build-Settings.md#testing-exception-handling-mstg-code-6"),"Testing Exception Handling (MSTG-CODE-6)")</f>
        <v>Testing Exception Handling (MSTG-CODE-6)</v>
      </c>
      <c r="I76" s="199"/>
      <c r="J76" s="199"/>
      <c r="K76" s="200"/>
    </row>
    <row r="77" spans="2:11" ht="45" customHeight="1" x14ac:dyDescent="0.25">
      <c r="B77" s="104" t="s">
        <v>144</v>
      </c>
      <c r="C77" s="105" t="s">
        <v>145</v>
      </c>
      <c r="D77" s="124" t="s">
        <v>411</v>
      </c>
      <c r="E77" s="107" t="s">
        <v>18</v>
      </c>
      <c r="F77" s="108" t="s">
        <v>18</v>
      </c>
      <c r="G77" s="109"/>
      <c r="H77" s="114" t="str">
        <f>HYPERLINK(CONCATENATE(BASE_URL,"0x06i-Testing-Code-Quality-and-Build-Settings.md#memory-corruption-bugs-mstg-code-8"),"Memory Corruption Bugs (MSTG-CODE-8)")</f>
        <v>Memory Corruption Bugs (MSTG-CODE-8)</v>
      </c>
      <c r="I77" s="199"/>
      <c r="J77" s="199"/>
      <c r="K77" s="200"/>
    </row>
    <row r="78" spans="2:11" ht="45" customHeight="1" x14ac:dyDescent="0.25">
      <c r="B78" s="104" t="s">
        <v>146</v>
      </c>
      <c r="C78" s="105" t="s">
        <v>147</v>
      </c>
      <c r="D78" s="106" t="s">
        <v>412</v>
      </c>
      <c r="E78" s="107" t="s">
        <v>18</v>
      </c>
      <c r="F78" s="108" t="s">
        <v>18</v>
      </c>
      <c r="G78" s="109"/>
      <c r="H78" s="114" t="str">
        <f>HYPERLINK(CONCATENATE(BASE_URL,"0x06i-Testing-Code-Quality-and-Build-Settings.md#make-sure-that-free-security-features-are-activated-mstg-code-9"),"Make Sure That Free Security Features Are Activated (MSTG-CODE-9)")</f>
        <v>Make Sure That Free Security Features Are Activated (MSTG-CODE-9)</v>
      </c>
      <c r="I78" s="199"/>
      <c r="J78" s="199"/>
      <c r="K78" s="200"/>
    </row>
    <row r="79" spans="2:11" x14ac:dyDescent="0.25">
      <c r="B79" s="20"/>
      <c r="C79" s="21"/>
      <c r="D79" s="76"/>
      <c r="E79" s="23"/>
      <c r="F79" s="23"/>
      <c r="G79" s="23"/>
      <c r="H79" s="23"/>
      <c r="I79" s="24"/>
      <c r="J79" s="44"/>
      <c r="K79" s="77"/>
    </row>
    <row r="80" spans="2:11" x14ac:dyDescent="0.25">
      <c r="B80" s="78"/>
      <c r="C80" s="78"/>
      <c r="D80" s="65"/>
      <c r="E80" s="72"/>
      <c r="F80" s="72"/>
      <c r="G80" s="72"/>
      <c r="H80" s="72"/>
      <c r="I80" s="72"/>
      <c r="J80" s="72"/>
      <c r="K80" s="65"/>
    </row>
    <row r="81" spans="2:11" x14ac:dyDescent="0.25">
      <c r="B81" s="78"/>
      <c r="C81" s="78"/>
      <c r="D81" s="65"/>
      <c r="E81" s="72"/>
      <c r="F81" s="72"/>
      <c r="G81" s="72"/>
      <c r="H81" s="72"/>
      <c r="I81" s="72"/>
      <c r="J81" s="72"/>
      <c r="K81" s="65"/>
    </row>
    <row r="82" spans="2:11" x14ac:dyDescent="0.25">
      <c r="B82" s="78"/>
      <c r="C82" s="78"/>
      <c r="D82" s="65"/>
      <c r="E82" s="72"/>
      <c r="F82" s="72"/>
      <c r="G82" s="72"/>
      <c r="H82" s="72"/>
      <c r="I82" s="72"/>
      <c r="J82" s="72"/>
      <c r="K82" s="65"/>
    </row>
    <row r="83" spans="2:11" x14ac:dyDescent="0.25">
      <c r="B83" s="79" t="s">
        <v>148</v>
      </c>
      <c r="C83" s="79"/>
      <c r="D83" s="65"/>
      <c r="E83" s="72"/>
      <c r="F83" s="72"/>
      <c r="G83" s="72"/>
      <c r="H83" s="72"/>
      <c r="I83" s="72"/>
      <c r="J83" s="72"/>
      <c r="K83" s="65"/>
    </row>
    <row r="84" spans="2:11" x14ac:dyDescent="0.25">
      <c r="B84" s="31" t="s">
        <v>265</v>
      </c>
      <c r="C84" s="31"/>
      <c r="D84" s="80" t="s">
        <v>266</v>
      </c>
      <c r="E84" s="72"/>
      <c r="F84" s="72"/>
      <c r="G84" s="72"/>
      <c r="H84" s="72"/>
      <c r="I84" s="72"/>
      <c r="J84" s="72"/>
      <c r="K84" s="65"/>
    </row>
    <row r="85" spans="2:11" x14ac:dyDescent="0.25">
      <c r="B85" s="81" t="s">
        <v>149</v>
      </c>
      <c r="C85" s="81"/>
      <c r="D85" s="82" t="s">
        <v>287</v>
      </c>
      <c r="E85" s="72"/>
      <c r="F85" s="72"/>
      <c r="G85" s="72"/>
      <c r="H85" s="72"/>
      <c r="I85" s="72"/>
      <c r="J85" s="72"/>
      <c r="K85" s="65"/>
    </row>
    <row r="86" spans="2:11" x14ac:dyDescent="0.25">
      <c r="B86" s="81" t="s">
        <v>150</v>
      </c>
      <c r="C86" s="81"/>
      <c r="D86" s="82" t="s">
        <v>288</v>
      </c>
      <c r="E86" s="72"/>
      <c r="F86" s="72"/>
      <c r="G86" s="72"/>
      <c r="H86" s="72"/>
      <c r="I86" s="72"/>
      <c r="J86" s="72"/>
      <c r="K86" s="65"/>
    </row>
    <row r="87" spans="2:11" x14ac:dyDescent="0.25">
      <c r="B87" s="81" t="s">
        <v>27</v>
      </c>
      <c r="C87" s="81"/>
      <c r="D87" s="82" t="s">
        <v>289</v>
      </c>
      <c r="E87" s="72"/>
      <c r="F87" s="72"/>
      <c r="G87" s="72"/>
      <c r="H87" s="72"/>
      <c r="I87" s="72"/>
      <c r="J87" s="72"/>
      <c r="K87" s="65"/>
    </row>
    <row r="88" spans="2:11" x14ac:dyDescent="0.25">
      <c r="B88" s="78"/>
      <c r="C88" s="78"/>
      <c r="D88" s="65"/>
      <c r="E88" s="72"/>
      <c r="F88" s="72"/>
      <c r="G88" s="72"/>
      <c r="H88" s="72"/>
      <c r="I88" s="72"/>
      <c r="J88" s="72"/>
      <c r="K88" s="65"/>
    </row>
    <row r="89" spans="2:11" x14ac:dyDescent="0.25">
      <c r="B89" s="78"/>
      <c r="C89" s="78"/>
      <c r="D89" s="65"/>
      <c r="E89" s="72"/>
      <c r="F89" s="72"/>
      <c r="G89" s="72"/>
      <c r="H89" s="72"/>
      <c r="I89" s="72"/>
      <c r="J89" s="72"/>
      <c r="K89" s="65"/>
    </row>
    <row r="90" spans="2:11" x14ac:dyDescent="0.25">
      <c r="B90" s="78"/>
      <c r="C90" s="78"/>
      <c r="D90" s="65"/>
      <c r="E90" s="72"/>
      <c r="F90" s="72"/>
      <c r="G90" s="72"/>
      <c r="H90" s="72"/>
      <c r="I90" s="72"/>
      <c r="J90" s="72"/>
      <c r="K90" s="65"/>
    </row>
    <row r="91" spans="2:11" x14ac:dyDescent="0.25">
      <c r="B91" s="78"/>
      <c r="C91" s="78"/>
      <c r="D91" s="65"/>
      <c r="E91" s="72"/>
      <c r="F91" s="72"/>
      <c r="G91" s="72"/>
      <c r="H91" s="72"/>
      <c r="I91" s="72"/>
      <c r="J91" s="72"/>
      <c r="K91" s="65"/>
    </row>
  </sheetData>
  <mergeCells count="1">
    <mergeCell ref="H3:J3"/>
  </mergeCells>
  <conditionalFormatting sqref="M1:M1048576">
    <cfRule type="containsText" dxfId="11" priority="2" operator="containsText" text="0x05">
      <formula>NOT(ISERROR(SEARCH("0x05",M1)))</formula>
    </cfRule>
  </conditionalFormatting>
  <conditionalFormatting sqref="H1:H1048576">
    <cfRule type="containsText" dxfId="10" priority="3" operator="containsText" text="0x05">
      <formula>NOT(ISERROR(SEARCH("0x05",H1)))</formula>
    </cfRule>
  </conditionalFormatting>
  <conditionalFormatting sqref="J6">
    <cfRule type="containsText" dxfId="9" priority="4" operator="containsText" text="0x05">
      <formula>NOT(ISERROR(SEARCH("0x05",J6)))</formula>
    </cfRule>
  </conditionalFormatting>
  <conditionalFormatting sqref="I6">
    <cfRule type="containsText" dxfId="8" priority="5" operator="containsText" text="0x05">
      <formula>NOT(ISERROR(SEARCH("0x05",I6)))</formula>
    </cfRule>
  </conditionalFormatting>
  <dataValidations count="2">
    <dataValidation type="list" allowBlank="1" showInputMessage="1" showErrorMessage="1" sqref="G80:G1087 I80:K1087" xr:uid="{00000000-0002-0000-0400-000000000000}">
      <formula1>"Yes,No,N/A"</formula1>
      <formula2>0</formula2>
    </dataValidation>
    <dataValidation type="list" allowBlank="1" showInputMessage="1" showErrorMessage="1" sqref="G34:G39 G41:G52 G54:G59 G61:G68 G70:G78 G5:G16 G18:G32" xr:uid="{00000000-0002-0000-0400-000001000000}">
      <formula1>"Pass,Fail,N/A"</formula1>
      <formula2>0</formula2>
    </dataValidation>
  </dataValidations>
  <pageMargins left="0.75" right="0.75" top="1" bottom="1"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2"/>
  <sheetViews>
    <sheetView zoomScaleNormal="100" workbookViewId="0">
      <selection activeCell="D42" sqref="D42"/>
    </sheetView>
  </sheetViews>
  <sheetFormatPr defaultColWidth="8.875" defaultRowHeight="15.75" x14ac:dyDescent="0.25"/>
  <cols>
    <col min="1" max="1" width="1.875" customWidth="1"/>
    <col min="2" max="2" width="7.375" style="41" customWidth="1"/>
    <col min="3" max="3" width="17.625" style="41" customWidth="1"/>
    <col min="4" max="4" width="93.375" style="42" customWidth="1"/>
    <col min="5" max="5" width="3" customWidth="1"/>
    <col min="6" max="6" width="5.875" customWidth="1"/>
    <col min="7" max="7" width="61.875" customWidth="1"/>
    <col min="8" max="8" width="30.625" style="42" customWidth="1"/>
    <col min="9" max="1025" width="11" customWidth="1"/>
  </cols>
  <sheetData>
    <row r="1" spans="2:8" ht="18.75" x14ac:dyDescent="0.3">
      <c r="B1" s="43" t="s">
        <v>290</v>
      </c>
      <c r="C1" s="43"/>
      <c r="G1" s="29"/>
      <c r="H1" s="18"/>
    </row>
    <row r="2" spans="2:8" x14ac:dyDescent="0.25">
      <c r="G2" s="29"/>
      <c r="H2" s="18"/>
    </row>
    <row r="3" spans="2:8" x14ac:dyDescent="0.25">
      <c r="B3" s="5" t="s">
        <v>8</v>
      </c>
      <c r="C3" s="6" t="s">
        <v>9</v>
      </c>
      <c r="D3" s="7" t="s">
        <v>270</v>
      </c>
      <c r="E3" s="8" t="s">
        <v>151</v>
      </c>
      <c r="F3" s="8" t="s">
        <v>12</v>
      </c>
      <c r="G3" s="36" t="s">
        <v>13</v>
      </c>
      <c r="H3" s="9" t="s">
        <v>14</v>
      </c>
    </row>
    <row r="4" spans="2:8" x14ac:dyDescent="0.25">
      <c r="B4" s="13"/>
      <c r="C4" s="14"/>
      <c r="D4" s="15" t="s">
        <v>272</v>
      </c>
      <c r="E4" s="16"/>
      <c r="F4" s="16"/>
      <c r="G4" s="37"/>
      <c r="H4" s="17"/>
    </row>
    <row r="5" spans="2:8" x14ac:dyDescent="0.25">
      <c r="B5" s="10" t="s">
        <v>152</v>
      </c>
      <c r="C5" s="11" t="s">
        <v>153</v>
      </c>
      <c r="D5" s="19" t="s">
        <v>273</v>
      </c>
      <c r="E5" s="38" t="s">
        <v>18</v>
      </c>
      <c r="F5" s="12" t="s">
        <v>27</v>
      </c>
      <c r="G5" s="61" t="str">
        <f>HYPERLINK(CONCATENATE(BASE_URL,"0x06j-Testing-Resiliency-Against-Reverse-Engineering.md#jailbreak-detection-mstg-resilience-1"),"越狱检测 (MSTG-RESILIENCE-1)")</f>
        <v>越狱检测 (MSTG-RESILIENCE-1)</v>
      </c>
      <c r="H5" s="39"/>
    </row>
    <row r="6" spans="2:8" x14ac:dyDescent="0.25">
      <c r="B6" s="10" t="s">
        <v>154</v>
      </c>
      <c r="C6" s="11" t="s">
        <v>155</v>
      </c>
      <c r="D6" s="19" t="s">
        <v>274</v>
      </c>
      <c r="E6" s="38" t="s">
        <v>18</v>
      </c>
      <c r="F6" s="12" t="s">
        <v>27</v>
      </c>
      <c r="G6" s="61" t="str">
        <f>HYPERLINK(CONCATENATE(BASE_URL,"0x06j-Testing-Resiliency-Against-Reverse-Engineering.md#anti-debugging-checks-mstg-resilience-2"),"Anti-Debugging 检查 H7(MSTG-RESILIENCE-2)")</f>
        <v>Anti-Debugging 检查 H7(MSTG-RESILIENCE-2)</v>
      </c>
      <c r="H6" s="39"/>
    </row>
    <row r="7" spans="2:8" x14ac:dyDescent="0.25">
      <c r="B7" s="10" t="s">
        <v>156</v>
      </c>
      <c r="C7" s="11" t="s">
        <v>157</v>
      </c>
      <c r="D7" s="18" t="s">
        <v>275</v>
      </c>
      <c r="E7" s="38" t="s">
        <v>18</v>
      </c>
      <c r="F7" s="12" t="s">
        <v>27</v>
      </c>
      <c r="G7" s="61" t="str">
        <f>HYPERLINK(CONCATENATE(BASE_URL,"0x06j-Testing-Resiliency-Against-Reverse-Engineering.md#file-integrity-checks-mstg-resilience-3-and-mstg-resilience-11"),"文件完整性检查 (MSTG-RESILIENCE-3 and MSTG-RESILIENCE-11)")</f>
        <v>文件完整性检查 (MSTG-RESILIENCE-3 and MSTG-RESILIENCE-11)</v>
      </c>
      <c r="H7" s="39"/>
    </row>
    <row r="8" spans="2:8" x14ac:dyDescent="0.25">
      <c r="B8" s="10" t="s">
        <v>158</v>
      </c>
      <c r="C8" s="11" t="s">
        <v>159</v>
      </c>
      <c r="D8" s="18" t="s">
        <v>276</v>
      </c>
      <c r="E8" s="38" t="s">
        <v>18</v>
      </c>
      <c r="F8" s="12" t="s">
        <v>27</v>
      </c>
      <c r="G8" s="47" t="s">
        <v>169</v>
      </c>
      <c r="H8" s="39"/>
    </row>
    <row r="9" spans="2:8" x14ac:dyDescent="0.25">
      <c r="B9" s="10" t="s">
        <v>160</v>
      </c>
      <c r="C9" s="11" t="s">
        <v>161</v>
      </c>
      <c r="D9" s="18" t="s">
        <v>277</v>
      </c>
      <c r="E9" s="38" t="s">
        <v>18</v>
      </c>
      <c r="F9" s="12" t="s">
        <v>27</v>
      </c>
      <c r="G9" s="47" t="s">
        <v>169</v>
      </c>
      <c r="H9" s="39"/>
    </row>
    <row r="10" spans="2:8" x14ac:dyDescent="0.25">
      <c r="B10" s="10" t="s">
        <v>162</v>
      </c>
      <c r="C10" s="11" t="s">
        <v>163</v>
      </c>
      <c r="D10" s="18" t="s">
        <v>278</v>
      </c>
      <c r="E10" s="38" t="s">
        <v>18</v>
      </c>
      <c r="F10" s="12" t="s">
        <v>27</v>
      </c>
      <c r="G10" s="47" t="s">
        <v>169</v>
      </c>
      <c r="H10" s="39"/>
    </row>
    <row r="11" spans="2:8" ht="30" x14ac:dyDescent="0.25">
      <c r="B11" s="10" t="s">
        <v>164</v>
      </c>
      <c r="C11" s="11" t="s">
        <v>165</v>
      </c>
      <c r="D11" s="19" t="s">
        <v>279</v>
      </c>
      <c r="E11" s="38" t="s">
        <v>18</v>
      </c>
      <c r="F11" s="12" t="s">
        <v>27</v>
      </c>
      <c r="G11" s="40" t="s">
        <v>169</v>
      </c>
      <c r="H11" s="39"/>
    </row>
    <row r="12" spans="2:8" x14ac:dyDescent="0.25">
      <c r="B12" s="10" t="s">
        <v>167</v>
      </c>
      <c r="C12" s="11" t="s">
        <v>168</v>
      </c>
      <c r="D12" s="18" t="s">
        <v>280</v>
      </c>
      <c r="E12" s="38" t="s">
        <v>18</v>
      </c>
      <c r="F12" s="12" t="s">
        <v>27</v>
      </c>
      <c r="G12" s="40" t="s">
        <v>169</v>
      </c>
      <c r="H12" s="39"/>
    </row>
    <row r="13" spans="2:8" x14ac:dyDescent="0.25">
      <c r="B13" s="10" t="s">
        <v>170</v>
      </c>
      <c r="C13" s="11" t="s">
        <v>171</v>
      </c>
      <c r="D13" s="18" t="s">
        <v>281</v>
      </c>
      <c r="E13" s="38" t="s">
        <v>18</v>
      </c>
      <c r="F13" s="12" t="s">
        <v>27</v>
      </c>
      <c r="G13" s="47" t="s">
        <v>169</v>
      </c>
      <c r="H13" s="39"/>
    </row>
    <row r="14" spans="2:8" x14ac:dyDescent="0.25">
      <c r="B14" s="13"/>
      <c r="C14" s="14"/>
      <c r="D14" s="15" t="s">
        <v>282</v>
      </c>
      <c r="E14" s="16"/>
      <c r="F14" s="16"/>
      <c r="G14" s="37"/>
      <c r="H14" s="17"/>
    </row>
    <row r="15" spans="2:8" x14ac:dyDescent="0.25">
      <c r="B15" s="10" t="s">
        <v>172</v>
      </c>
      <c r="C15" s="11" t="s">
        <v>173</v>
      </c>
      <c r="D15" s="19" t="s">
        <v>283</v>
      </c>
      <c r="E15" s="38" t="s">
        <v>18</v>
      </c>
      <c r="F15" s="12" t="s">
        <v>27</v>
      </c>
      <c r="G15" s="61" t="str">
        <f>HYPERLINK(CONCATENATE(BASE_URL,"0x06j-Testing-Resiliency-Against-Reverse-Engineering.md#device-binding-mstg-resilience-10"),"设备绑定 (MSTG-RESILIENCE-10)")</f>
        <v>设备绑定 (MSTG-RESILIENCE-10)</v>
      </c>
      <c r="H15" s="39"/>
    </row>
    <row r="16" spans="2:8" x14ac:dyDescent="0.25">
      <c r="B16" s="13"/>
      <c r="C16" s="14"/>
      <c r="D16" s="15" t="s">
        <v>284</v>
      </c>
      <c r="E16" s="16"/>
      <c r="F16" s="16"/>
      <c r="G16" s="37"/>
      <c r="H16" s="17"/>
    </row>
    <row r="17" spans="1:8" ht="30" x14ac:dyDescent="0.25">
      <c r="A17" s="62"/>
      <c r="B17" s="10" t="s">
        <v>174</v>
      </c>
      <c r="C17" s="11" t="s">
        <v>175</v>
      </c>
      <c r="D17" s="63" t="s">
        <v>285</v>
      </c>
      <c r="E17" s="38" t="s">
        <v>18</v>
      </c>
      <c r="F17" s="12" t="s">
        <v>27</v>
      </c>
      <c r="G17" s="64" t="str">
        <f>HYPERLINK(CONCATENATE(BASE_URL,"0x06j-Testing-Resiliency-Against-Reverse-Engineering.md#file-integrity-checks-mstg-resilience-3-and-mstg-resilience-11"),"文件完整性检查 (MSTG-RESILIENCE-3 and MSTG-RESILIENCE-11)")</f>
        <v>文件完整性检查 (MSTG-RESILIENCE-3 and MSTG-RESILIENCE-11)</v>
      </c>
      <c r="H17" s="39"/>
    </row>
    <row r="18" spans="1:8" ht="45" x14ac:dyDescent="0.25">
      <c r="B18" s="10" t="s">
        <v>176</v>
      </c>
      <c r="C18" s="11" t="s">
        <v>177</v>
      </c>
      <c r="D18" s="19" t="s">
        <v>286</v>
      </c>
      <c r="E18" s="38" t="s">
        <v>18</v>
      </c>
      <c r="F18" s="12" t="s">
        <v>27</v>
      </c>
      <c r="G18" s="40" t="s">
        <v>169</v>
      </c>
      <c r="H18" s="39"/>
    </row>
    <row r="19" spans="1:8" x14ac:dyDescent="0.25">
      <c r="B19" s="20"/>
      <c r="C19" s="21"/>
      <c r="D19" s="22"/>
      <c r="E19" s="23"/>
      <c r="F19" s="23"/>
      <c r="G19" s="36"/>
      <c r="H19" s="25"/>
    </row>
    <row r="20" spans="1:8" x14ac:dyDescent="0.25">
      <c r="B20" s="45"/>
      <c r="C20" s="45"/>
      <c r="D20" s="18"/>
      <c r="E20" s="29"/>
      <c r="F20" s="29"/>
      <c r="G20" s="29"/>
      <c r="H20" s="18"/>
    </row>
    <row r="21" spans="1:8" x14ac:dyDescent="0.25">
      <c r="B21" s="45"/>
      <c r="C21" s="45"/>
      <c r="D21" s="18"/>
      <c r="E21" s="29"/>
      <c r="F21" s="29"/>
      <c r="G21" s="29"/>
      <c r="H21" s="18"/>
    </row>
    <row r="22" spans="1:8" x14ac:dyDescent="0.25">
      <c r="B22" s="46" t="s">
        <v>148</v>
      </c>
      <c r="C22" s="46"/>
      <c r="D22" s="18"/>
      <c r="E22" s="29"/>
      <c r="F22" s="29"/>
      <c r="G22" s="29"/>
      <c r="H22" s="18"/>
    </row>
    <row r="23" spans="1:8" x14ac:dyDescent="0.25">
      <c r="B23" s="31" t="s">
        <v>265</v>
      </c>
      <c r="C23" s="31"/>
      <c r="D23" s="32" t="s">
        <v>266</v>
      </c>
      <c r="E23" s="29"/>
      <c r="F23" s="29"/>
      <c r="G23" s="29"/>
      <c r="H23" s="18"/>
    </row>
    <row r="24" spans="1:8" x14ac:dyDescent="0.25">
      <c r="B24" s="33" t="s">
        <v>149</v>
      </c>
      <c r="C24" s="33"/>
      <c r="D24" s="34" t="s">
        <v>287</v>
      </c>
      <c r="E24" s="29"/>
      <c r="F24" s="29"/>
      <c r="G24" s="29"/>
      <c r="H24" s="18"/>
    </row>
    <row r="25" spans="1:8" x14ac:dyDescent="0.25">
      <c r="B25" s="33" t="s">
        <v>150</v>
      </c>
      <c r="C25" s="33"/>
      <c r="D25" s="34" t="s">
        <v>288</v>
      </c>
      <c r="E25" s="29"/>
      <c r="F25" s="29"/>
      <c r="G25" s="29"/>
      <c r="H25" s="18"/>
    </row>
    <row r="26" spans="1:8" x14ac:dyDescent="0.25">
      <c r="B26" s="33" t="s">
        <v>27</v>
      </c>
      <c r="C26" s="33"/>
      <c r="D26" s="34" t="s">
        <v>289</v>
      </c>
      <c r="E26" s="29"/>
      <c r="F26" s="29"/>
      <c r="G26" s="29"/>
      <c r="H26" s="18"/>
    </row>
    <row r="27" spans="1:8" x14ac:dyDescent="0.25">
      <c r="B27" s="45"/>
      <c r="C27" s="45"/>
      <c r="D27" s="18"/>
      <c r="E27" s="29"/>
      <c r="F27" s="29"/>
      <c r="G27" s="29"/>
      <c r="H27" s="18"/>
    </row>
    <row r="28" spans="1:8" x14ac:dyDescent="0.25">
      <c r="B28" s="45"/>
      <c r="C28" s="45"/>
      <c r="D28" s="18"/>
      <c r="E28" s="29"/>
      <c r="F28" s="29"/>
      <c r="G28" s="29"/>
      <c r="H28" s="18"/>
    </row>
    <row r="29" spans="1:8" x14ac:dyDescent="0.25">
      <c r="B29" s="45"/>
      <c r="C29" s="45"/>
      <c r="D29" s="18"/>
      <c r="E29" s="29"/>
      <c r="F29" s="29"/>
      <c r="G29" s="29"/>
      <c r="H29" s="18"/>
    </row>
    <row r="30" spans="1:8" x14ac:dyDescent="0.25">
      <c r="B30" s="45"/>
      <c r="C30" s="45"/>
      <c r="D30" s="18"/>
      <c r="E30" s="29"/>
      <c r="F30" s="29"/>
    </row>
    <row r="31" spans="1:8" x14ac:dyDescent="0.25">
      <c r="B31" s="45"/>
      <c r="C31" s="45"/>
      <c r="D31" s="18"/>
      <c r="E31" s="29"/>
      <c r="F31" s="29"/>
    </row>
    <row r="32" spans="1:8" x14ac:dyDescent="0.25">
      <c r="B32" s="45"/>
      <c r="C32" s="45"/>
      <c r="D32" s="18"/>
      <c r="E32" s="29"/>
      <c r="F32" s="29"/>
    </row>
  </sheetData>
  <conditionalFormatting sqref="G8">
    <cfRule type="containsText" dxfId="7" priority="2" operator="containsText" text="0x05">
      <formula>NOT(ISERROR(SEARCH("0x05",G8)))</formula>
    </cfRule>
  </conditionalFormatting>
  <conditionalFormatting sqref="G9">
    <cfRule type="containsText" dxfId="6" priority="3" operator="containsText" text="0x05">
      <formula>NOT(ISERROR(SEARCH("0x05",G9)))</formula>
    </cfRule>
  </conditionalFormatting>
  <conditionalFormatting sqref="G10">
    <cfRule type="containsText" dxfId="5" priority="4"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6" operator="containsText" text="0x05">
      <formula>NOT(ISERROR(SEARCH("0x05",G12)))</formula>
    </cfRule>
  </conditionalFormatting>
  <conditionalFormatting sqref="G13">
    <cfRule type="containsText" dxfId="2" priority="7" operator="containsText" text="0x05">
      <formula>NOT(ISERROR(SEARCH("0x05",G13)))</formula>
    </cfRule>
  </conditionalFormatting>
  <conditionalFormatting sqref="G17">
    <cfRule type="containsText" dxfId="1" priority="8" operator="containsText" text="0x05">
      <formula>NOT(ISERROR(SEARCH("0x05",G17)))</formula>
    </cfRule>
  </conditionalFormatting>
  <conditionalFormatting sqref="G18">
    <cfRule type="containsText" dxfId="0" priority="9" operator="containsText" text="0x05">
      <formula>NOT(ISERROR(SEARCH("0x05",G18)))</formula>
    </cfRule>
  </conditionalFormatting>
  <dataValidations count="1">
    <dataValidation type="list" allowBlank="1" showInputMessage="1" showErrorMessage="1" sqref="F5:F13 F15 F17:F18" xr:uid="{00000000-0002-0000-05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6"/>
  <sheetViews>
    <sheetView showGridLines="0" topLeftCell="A10" zoomScale="77" zoomScaleNormal="75" workbookViewId="0">
      <selection activeCell="D42" sqref="D42"/>
    </sheetView>
  </sheetViews>
  <sheetFormatPr defaultColWidth="8.875" defaultRowHeight="15.75" x14ac:dyDescent="0.25"/>
  <cols>
    <col min="1" max="1" width="33.375" customWidth="1"/>
    <col min="2" max="2" width="11" customWidth="1"/>
    <col min="3" max="3" width="13.625" customWidth="1"/>
    <col min="4" max="4" width="11" customWidth="1"/>
    <col min="5" max="5" width="119.625" customWidth="1"/>
    <col min="6" max="1025" width="11" customWidth="1"/>
  </cols>
  <sheetData>
    <row r="1" spans="1:5" x14ac:dyDescent="0.25">
      <c r="A1" s="192" t="s">
        <v>178</v>
      </c>
      <c r="B1" s="192"/>
      <c r="C1" s="48"/>
      <c r="D1" s="4"/>
      <c r="E1" s="4"/>
    </row>
    <row r="2" spans="1:5" x14ac:dyDescent="0.25">
      <c r="A2" s="49" t="s">
        <v>179</v>
      </c>
      <c r="B2" s="49" t="s">
        <v>2</v>
      </c>
      <c r="C2" s="49" t="s">
        <v>180</v>
      </c>
      <c r="D2" s="49" t="s">
        <v>181</v>
      </c>
      <c r="E2" s="49" t="s">
        <v>14</v>
      </c>
    </row>
    <row r="3" spans="1:5" x14ac:dyDescent="0.25">
      <c r="A3" s="50" t="s">
        <v>182</v>
      </c>
      <c r="B3" s="51">
        <v>0.1</v>
      </c>
      <c r="C3" s="51"/>
      <c r="D3" s="52">
        <v>42765</v>
      </c>
      <c r="E3" s="53" t="s">
        <v>183</v>
      </c>
    </row>
    <row r="4" spans="1:5" x14ac:dyDescent="0.25">
      <c r="A4" s="53" t="s">
        <v>184</v>
      </c>
      <c r="B4" s="51">
        <v>0.2</v>
      </c>
      <c r="C4" s="51"/>
      <c r="D4" s="52">
        <v>42766</v>
      </c>
      <c r="E4" s="53" t="s">
        <v>185</v>
      </c>
    </row>
    <row r="5" spans="1:5" x14ac:dyDescent="0.25">
      <c r="A5" s="53" t="s">
        <v>186</v>
      </c>
      <c r="B5" s="51">
        <v>0.3</v>
      </c>
      <c r="C5" s="51"/>
      <c r="D5" s="52">
        <v>42778</v>
      </c>
      <c r="E5" s="53" t="s">
        <v>187</v>
      </c>
    </row>
    <row r="6" spans="1:5" x14ac:dyDescent="0.25">
      <c r="A6" s="53" t="s">
        <v>188</v>
      </c>
      <c r="B6" s="51" t="s">
        <v>189</v>
      </c>
      <c r="C6" s="51"/>
      <c r="D6" s="52">
        <v>42780</v>
      </c>
      <c r="E6" s="53" t="s">
        <v>190</v>
      </c>
    </row>
    <row r="7" spans="1:5" x14ac:dyDescent="0.25">
      <c r="A7" s="53" t="s">
        <v>184</v>
      </c>
      <c r="B7" s="54" t="s">
        <v>191</v>
      </c>
      <c r="C7" s="54"/>
      <c r="D7" s="52">
        <v>42781</v>
      </c>
      <c r="E7" s="53" t="s">
        <v>192</v>
      </c>
    </row>
    <row r="8" spans="1:5" x14ac:dyDescent="0.25">
      <c r="A8" s="53" t="s">
        <v>188</v>
      </c>
      <c r="B8" s="54" t="s">
        <v>193</v>
      </c>
      <c r="C8" s="54"/>
      <c r="D8" s="52">
        <v>42829</v>
      </c>
      <c r="E8" s="53" t="s">
        <v>194</v>
      </c>
    </row>
    <row r="9" spans="1:5" x14ac:dyDescent="0.25">
      <c r="A9" s="53" t="s">
        <v>184</v>
      </c>
      <c r="B9" s="54" t="s">
        <v>193</v>
      </c>
      <c r="C9" s="54"/>
      <c r="D9" s="52">
        <v>42919</v>
      </c>
      <c r="E9" s="53" t="s">
        <v>195</v>
      </c>
    </row>
    <row r="10" spans="1:5" x14ac:dyDescent="0.25">
      <c r="A10" s="53" t="s">
        <v>184</v>
      </c>
      <c r="B10" s="54" t="s">
        <v>196</v>
      </c>
      <c r="C10" s="54"/>
      <c r="D10" s="52">
        <v>42963</v>
      </c>
      <c r="E10" s="53" t="s">
        <v>197</v>
      </c>
    </row>
    <row r="11" spans="1:5" x14ac:dyDescent="0.25">
      <c r="A11" s="53" t="s">
        <v>184</v>
      </c>
      <c r="B11" s="54" t="s">
        <v>198</v>
      </c>
      <c r="C11" s="54"/>
      <c r="D11" s="52">
        <v>43113</v>
      </c>
      <c r="E11" s="53" t="s">
        <v>199</v>
      </c>
    </row>
    <row r="12" spans="1:5" x14ac:dyDescent="0.25">
      <c r="A12" s="53" t="s">
        <v>184</v>
      </c>
      <c r="B12" s="54">
        <v>1.1000000000000001</v>
      </c>
      <c r="C12" s="54"/>
      <c r="D12" s="52">
        <v>43289</v>
      </c>
      <c r="E12" s="53" t="s">
        <v>200</v>
      </c>
    </row>
    <row r="13" spans="1:5" x14ac:dyDescent="0.25">
      <c r="A13" s="53" t="s">
        <v>201</v>
      </c>
      <c r="B13" s="55" t="s">
        <v>202</v>
      </c>
      <c r="C13" s="56"/>
      <c r="D13" s="52">
        <v>43464</v>
      </c>
      <c r="E13" s="57" t="s">
        <v>203</v>
      </c>
    </row>
    <row r="14" spans="1:5" x14ac:dyDescent="0.25">
      <c r="A14" s="53" t="s">
        <v>204</v>
      </c>
      <c r="B14" s="55" t="s">
        <v>205</v>
      </c>
      <c r="C14" s="56"/>
      <c r="D14" s="52">
        <v>43469</v>
      </c>
      <c r="E14" s="57" t="s">
        <v>203</v>
      </c>
    </row>
    <row r="15" spans="1:5" ht="408.95" customHeight="1" x14ac:dyDescent="0.25">
      <c r="A15" s="58" t="s">
        <v>206</v>
      </c>
      <c r="B15" s="54" t="s">
        <v>207</v>
      </c>
      <c r="C15" s="54" t="s">
        <v>208</v>
      </c>
      <c r="D15" s="52">
        <v>43471</v>
      </c>
      <c r="E15" s="59" t="s">
        <v>209</v>
      </c>
    </row>
    <row r="16" spans="1:5" x14ac:dyDescent="0.25">
      <c r="A16" s="53" t="s">
        <v>201</v>
      </c>
      <c r="B16" s="55" t="s">
        <v>210</v>
      </c>
      <c r="C16" s="54" t="s">
        <v>208</v>
      </c>
      <c r="D16" s="60">
        <v>43475</v>
      </c>
      <c r="E16" s="57" t="s">
        <v>211</v>
      </c>
    </row>
    <row r="17" spans="1:5" ht="78.75" x14ac:dyDescent="0.25">
      <c r="A17" s="58" t="s">
        <v>206</v>
      </c>
      <c r="B17" s="55" t="s">
        <v>212</v>
      </c>
      <c r="C17" s="54" t="s">
        <v>208</v>
      </c>
      <c r="D17" s="52">
        <v>43476</v>
      </c>
      <c r="E17" s="58" t="s">
        <v>213</v>
      </c>
    </row>
    <row r="18" spans="1:5" ht="47.25" x14ac:dyDescent="0.25">
      <c r="A18" s="58" t="s">
        <v>206</v>
      </c>
      <c r="B18" s="55" t="s">
        <v>214</v>
      </c>
      <c r="C18" s="54" t="s">
        <v>208</v>
      </c>
      <c r="D18" s="52">
        <v>43478</v>
      </c>
      <c r="E18" s="58" t="s">
        <v>215</v>
      </c>
    </row>
    <row r="19" spans="1:5" ht="47.25" x14ac:dyDescent="0.25">
      <c r="A19" s="58" t="s">
        <v>206</v>
      </c>
      <c r="B19" s="55" t="s">
        <v>216</v>
      </c>
      <c r="C19" s="54" t="s">
        <v>208</v>
      </c>
      <c r="D19" s="52">
        <v>43478</v>
      </c>
      <c r="E19" s="58" t="s">
        <v>217</v>
      </c>
    </row>
    <row r="20" spans="1:5" ht="110.25" x14ac:dyDescent="0.25">
      <c r="A20" s="58" t="s">
        <v>201</v>
      </c>
      <c r="B20" s="55" t="s">
        <v>218</v>
      </c>
      <c r="C20" s="54" t="s">
        <v>0</v>
      </c>
      <c r="D20" s="52">
        <v>43641</v>
      </c>
      <c r="E20" s="59" t="s">
        <v>219</v>
      </c>
    </row>
    <row r="21" spans="1:5" x14ac:dyDescent="0.25">
      <c r="A21" s="58" t="s">
        <v>201</v>
      </c>
      <c r="B21" s="55" t="s">
        <v>220</v>
      </c>
      <c r="C21" s="54" t="s">
        <v>0</v>
      </c>
      <c r="D21" s="52">
        <v>43642</v>
      </c>
      <c r="E21" s="58" t="s">
        <v>221</v>
      </c>
    </row>
    <row r="22" spans="1:5" ht="47.25" x14ac:dyDescent="0.25">
      <c r="A22" s="58" t="s">
        <v>201</v>
      </c>
      <c r="B22" s="55" t="s">
        <v>222</v>
      </c>
      <c r="C22" s="54" t="s">
        <v>0</v>
      </c>
      <c r="D22" s="52">
        <v>43649</v>
      </c>
      <c r="E22" s="58" t="s">
        <v>223</v>
      </c>
    </row>
    <row r="23" spans="1:5" x14ac:dyDescent="0.25">
      <c r="A23" s="58" t="s">
        <v>201</v>
      </c>
      <c r="B23" s="55" t="s">
        <v>222</v>
      </c>
      <c r="C23" s="54" t="s">
        <v>0</v>
      </c>
      <c r="D23" s="52">
        <v>43672</v>
      </c>
      <c r="E23" s="58" t="s">
        <v>224</v>
      </c>
    </row>
    <row r="24" spans="1:5" x14ac:dyDescent="0.25">
      <c r="A24" s="58" t="s">
        <v>201</v>
      </c>
      <c r="B24" s="55" t="s">
        <v>222</v>
      </c>
      <c r="C24" s="54" t="s">
        <v>0</v>
      </c>
      <c r="D24" s="52">
        <v>43674</v>
      </c>
      <c r="E24" s="58" t="s">
        <v>225</v>
      </c>
    </row>
    <row r="25" spans="1:5" ht="47.25" x14ac:dyDescent="0.25">
      <c r="A25" s="58" t="s">
        <v>201</v>
      </c>
      <c r="B25" s="55" t="s">
        <v>226</v>
      </c>
      <c r="C25" s="54" t="s">
        <v>0</v>
      </c>
      <c r="D25" s="52">
        <v>43685</v>
      </c>
      <c r="E25" s="58" t="s">
        <v>227</v>
      </c>
    </row>
    <row r="26" spans="1:5" ht="47.25" x14ac:dyDescent="0.25">
      <c r="A26" s="58" t="s">
        <v>228</v>
      </c>
      <c r="B26" s="55" t="s">
        <v>226</v>
      </c>
      <c r="C26" s="54" t="s">
        <v>0</v>
      </c>
      <c r="D26" s="52">
        <v>43719</v>
      </c>
      <c r="E26" s="58" t="s">
        <v>229</v>
      </c>
    </row>
  </sheetData>
  <mergeCells count="1">
    <mergeCell ref="A1:B1"/>
  </mergeCells>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Dashboard</vt:lpstr>
      <vt:lpstr>Management Summary</vt:lpstr>
      <vt:lpstr>SR - Android</vt:lpstr>
      <vt:lpstr>RE - Android</vt:lpstr>
      <vt:lpstr>SR - iOS</vt:lpstr>
      <vt:lpstr>RE - iOS</vt:lpstr>
      <vt:lpstr>Version History</vt:lpstr>
      <vt:lpstr>'SR - Android'!_FilterDatabase</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dc:description/>
  <cp:lastModifiedBy>Bob</cp:lastModifiedBy>
  <cp:revision>2</cp:revision>
  <dcterms:created xsi:type="dcterms:W3CDTF">2017-01-25T17:37:15Z</dcterms:created>
  <dcterms:modified xsi:type="dcterms:W3CDTF">2020-01-04T15:01:30Z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