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84489D08-FB0F-4577-8E64-8758A3681E3B}" xr6:coauthVersionLast="43" xr6:coauthVersionMax="45" xr10:uidLastSave="{00000000-0000-0000-0000-000000000000}"/>
  <bookViews>
    <workbookView xWindow="1395" yWindow="1230" windowWidth="24315" windowHeight="19455" tabRatio="500" activeTab="2"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Android'!$B$3:$L$74</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3" i="2" l="1"/>
  <c r="D43" i="2"/>
  <c r="E43" i="2"/>
  <c r="J38" i="3"/>
  <c r="J11" i="3"/>
  <c r="H29" i="3" l="1"/>
  <c r="H28" i="3"/>
  <c r="H25" i="3"/>
  <c r="H20" i="3"/>
  <c r="H19" i="3"/>
  <c r="H18" i="3"/>
  <c r="G17" i="4"/>
  <c r="G15" i="4"/>
  <c r="G13" i="4"/>
  <c r="G9" i="4"/>
  <c r="G8" i="4"/>
  <c r="G7" i="4"/>
  <c r="G6" i="4"/>
  <c r="G5" i="4"/>
  <c r="G10" i="4"/>
  <c r="G17" i="6" l="1"/>
  <c r="G15" i="6"/>
  <c r="G7" i="6"/>
  <c r="G6" i="6"/>
  <c r="G5" i="6"/>
  <c r="H5" i="5"/>
  <c r="H74" i="3" l="1"/>
  <c r="H73" i="3"/>
  <c r="H72" i="3"/>
  <c r="H71" i="3"/>
  <c r="H70" i="3"/>
  <c r="H69" i="3"/>
  <c r="H68" i="3"/>
  <c r="H67" i="3"/>
  <c r="H66" i="3"/>
  <c r="H64" i="3"/>
  <c r="H63" i="3"/>
  <c r="H62" i="3"/>
  <c r="H61" i="3"/>
  <c r="H60" i="3"/>
  <c r="H59" i="3"/>
  <c r="I58" i="3"/>
  <c r="H58" i="3"/>
  <c r="H57" i="3"/>
  <c r="H55" i="3" l="1"/>
  <c r="H54" i="3"/>
  <c r="H53" i="3"/>
  <c r="I53" i="3"/>
  <c r="H52" i="3"/>
  <c r="H51" i="3"/>
  <c r="H50" i="3"/>
  <c r="H48" i="3"/>
  <c r="H47" i="3"/>
  <c r="H46" i="3"/>
  <c r="H45" i="3"/>
  <c r="H44" i="3"/>
  <c r="I43" i="3"/>
  <c r="H43" i="3"/>
  <c r="H42" i="3"/>
  <c r="H41" i="3"/>
  <c r="I40" i="3"/>
  <c r="H40" i="3"/>
  <c r="H39" i="3"/>
  <c r="I38" i="3"/>
  <c r="H38" i="3"/>
  <c r="H36" i="3"/>
  <c r="H35" i="3"/>
  <c r="H34" i="3"/>
  <c r="I34" i="3"/>
  <c r="I33" i="3"/>
  <c r="H33" i="3"/>
  <c r="I32" i="3"/>
  <c r="I31" i="3"/>
  <c r="H32" i="3"/>
  <c r="H31" i="3"/>
  <c r="I28" i="3"/>
  <c r="H27" i="3"/>
  <c r="H26" i="3"/>
  <c r="H24" i="3"/>
  <c r="H23" i="3"/>
  <c r="H22" i="3"/>
  <c r="H21" i="3"/>
  <c r="I18" i="3"/>
  <c r="H14" i="3"/>
  <c r="H13" i="3"/>
  <c r="H12" i="3"/>
  <c r="I11" i="3"/>
  <c r="H11" i="3"/>
  <c r="H10" i="3"/>
  <c r="H9" i="3"/>
  <c r="H8" i="3"/>
  <c r="H7" i="3"/>
  <c r="I6" i="3"/>
  <c r="I5" i="3"/>
  <c r="H6" i="3"/>
  <c r="H5" i="3"/>
  <c r="H72" i="5"/>
  <c r="H63" i="5"/>
  <c r="H54" i="5"/>
  <c r="H46" i="5"/>
  <c r="H40" i="5"/>
  <c r="H32"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3" i="5"/>
  <c r="I40" i="5"/>
  <c r="H47" i="5"/>
  <c r="H55" i="5"/>
  <c r="H73" i="5"/>
  <c r="H7" i="5"/>
  <c r="H14" i="5"/>
  <c r="H25" i="5"/>
  <c r="H34" i="5"/>
  <c r="H41" i="5"/>
  <c r="H48" i="5"/>
  <c r="H57" i="5"/>
  <c r="H66" i="5"/>
  <c r="H74" i="5"/>
  <c r="H24" i="5"/>
  <c r="H64" i="5"/>
  <c r="H8" i="5"/>
  <c r="H18" i="5"/>
  <c r="H26" i="5"/>
  <c r="H35" i="5"/>
  <c r="H42" i="5"/>
  <c r="H50" i="5"/>
  <c r="H58" i="5"/>
  <c r="H67" i="5"/>
  <c r="H10" i="5"/>
  <c r="H20" i="5"/>
  <c r="H28" i="5"/>
  <c r="H38" i="5"/>
  <c r="I43" i="5"/>
  <c r="I51" i="5"/>
  <c r="H60" i="5"/>
  <c r="H69" i="5"/>
  <c r="H68" i="5"/>
  <c r="H11" i="5"/>
  <c r="H21" i="5"/>
  <c r="H29" i="5"/>
  <c r="I38" i="5"/>
  <c r="H44" i="5"/>
  <c r="H52" i="5"/>
  <c r="H61" i="5"/>
  <c r="H70" i="5"/>
  <c r="H9" i="5"/>
  <c r="H19" i="5"/>
  <c r="H27" i="5"/>
  <c r="H36" i="5"/>
  <c r="H43" i="5"/>
  <c r="H51" i="5"/>
  <c r="H59" i="5"/>
  <c r="I11" i="5"/>
  <c r="H22" i="5"/>
  <c r="H31" i="5"/>
  <c r="H39" i="5"/>
  <c r="H45" i="5"/>
  <c r="H53" i="5"/>
  <c r="H62" i="5"/>
  <c r="H71" i="5"/>
  <c r="V8" i="2" l="1"/>
  <c r="G8" i="2"/>
</calcChain>
</file>

<file path=xl/sharedStrings.xml><?xml version="1.0" encoding="utf-8"?>
<sst xmlns="http://schemas.openxmlformats.org/spreadsheetml/2006/main" count="1023" uniqueCount="427">
  <si>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</si>
  <si>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</si>
  <si>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</si>
  <si>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</si>
  <si>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</si>
  <si>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</si>
  <si>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</si>
  <si>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</si>
  <si>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</si>
  <si>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</si>
  <si>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</si>
  <si>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</si>
  <si>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</si>
  <si>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</si>
  <si>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</si>
  <si>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</si>
  <si>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</si>
  <si>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</si>
  <si>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</si>
  <si>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</si>
  <si>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</si>
  <si>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</si>
  <si>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</si>
  <si>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</si>
  <si>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</si>
  <si>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</si>
  <si>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</si>
  <si>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</si>
  <si>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</si>
  <si>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</si>
  <si>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</si>
  <si>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</si>
  <si>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</si>
  <si>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</si>
  <si>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</si>
  <si>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</si>
  <si>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</si>
  <si>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</si>
  <si>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</si>
  <si>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</si>
  <si>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</si>
  <si>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</si>
  <si>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</si>
  <si>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</si>
  <si>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</si>
  <si>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</si>
  <si>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</si>
  <si>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</si>
  <si>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</si>
  <si>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</si>
  <si>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</si>
  <si>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</si>
  <si>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</si>
  <si>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</si>
  <si>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</si>
  <si>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</si>
  <si>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</si>
  <si>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</si>
  <si>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</si>
  <si>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</si>
  <si>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</si>
  <si>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</si>
  <si>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</si>
  <si>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</si>
  <si>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</si>
  <si>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</si>
  <si>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</si>
  <si>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</si>
  <si>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</si>
  <si>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</si>
  <si>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</si>
  <si>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</si>
  <si>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</si>
  <si>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</si>
  <si>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</si>
  <si>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</si>
  <si>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</si>
  <si>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</si>
  <si>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</si>
  <si>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</si>
  <si>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</si>
  <si>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</si>
  <si>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</si>
  <si>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</si>
  <si>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</si>
  <si>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</si>
  <si>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</si>
  <si>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</si>
  <si>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</si>
  <si>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</si>
  <si>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</si>
  <si>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</si>
  <si>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</si>
  <si>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</si>
  <si>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</si>
  <si>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</si>
  <si>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</si>
  <si>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</si>
  <si>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</si>
  <si>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</si>
  <si>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</si>
  <si>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</si>
  <si>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</si>
  <si>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</si>
  <si>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</si>
  <si>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</si>
  <si>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</si>
  <si>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</si>
  <si>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</si>
  <si>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</si>
  <si>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</si>
  <si>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</si>
  <si>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</si>
  <si>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</si>
  <si>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</si>
  <si>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</si>
  <si>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</si>
  <si>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</si>
  <si>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</si>
  <si>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</si>
  <si>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</si>
  <si>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</si>
  <si>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</si>
  <si>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</si>
  <si>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</si>
  <si>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</si>
  <si>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</si>
  <si>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</si>
  <si>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</si>
  <si>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</si>
  <si>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</si>
  <si>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</si>
  <si>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</si>
  <si>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</si>
  <si>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</si>
  <si>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</si>
  <si>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</si>
  <si>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</si>
  <si>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</si>
  <si>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</si>
  <si>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</si>
  <si>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</si>
  <si>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</si>
  <si>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</si>
  <si>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</si>
  <si>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</si>
  <si>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</si>
  <si>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</si>
  <si>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</si>
  <si>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</si>
  <si>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</si>
  <si>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</si>
  <si>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</si>
  <si>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</si>
  <si>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</si>
  <si>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</si>
  <si>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</si>
  <si>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</si>
  <si>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</si>
  <si>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</si>
  <si>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</si>
  <si>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</si>
  <si>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</si>
  <si>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</si>
  <si>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</si>
  <si>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</si>
  <si>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</si>
  <si>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</si>
  <si>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</si>
  <si>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</si>
  <si>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</si>
  <si>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</si>
  <si>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</si>
  <si>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</si>
  <si>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</si>
  <si>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</si>
  <si>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</si>
  <si>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</si>
  <si>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</si>
  <si>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</si>
  <si>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</si>
  <si>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</si>
  <si>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</si>
  <si>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</si>
  <si>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</si>
  <si>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</si>
  <si>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</si>
  <si>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</si>
  <si>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</si>
  <si>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</si>
  <si>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</si>
  <si>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</si>
  <si>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</si>
  <si>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</si>
  <si>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</si>
  <si>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</si>
  <si>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</si>
  <si>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</si>
  <si>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</si>
  <si>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</si>
  <si>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</si>
  <si>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</si>
  <si>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</si>
  <si>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</si>
  <si>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</si>
  <si>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</si>
  <si>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</si>
  <si>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</si>
  <si>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</si>
  <si>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</si>
  <si>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</si>
  <si>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</si>
  <si>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</si>
  <si>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</si>
  <si>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</si>
  <si>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</si>
  <si>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</si>
  <si>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</si>
  <si>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</si>
  <si>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</si>
  <si>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</si>
  <si>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</si>
  <si>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</si>
  <si>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</si>
  <si>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</si>
  <si>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</si>
  <si>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</si>
  <si>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</si>
  <si>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</si>
  <si>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</si>
  <si>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</si>
  <si>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</si>
  <si>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</si>
  <si>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</si>
  <si>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</si>
  <si>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上面的两行用于构造Android和iOS清单中所有超链接的基础。
调整为您的特定用例，以将所有超链接更新为特定版本的MSTG</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</si>
  <si>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</si>
  <si>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</si>
  <si>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</si>
  <si>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</si>
  <si>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</si>
  <si>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</si>
  <si>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</si>
  <si>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</si>
  <si>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</si>
  <si>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</si>
  <si>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</si>
  <si>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</si>
  <si>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</si>
  <si>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</si>
  <si>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</si>
  <si>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</si>
  <si>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</si>
  <si>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</si>
  <si>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</si>
  <si>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</si>
  <si>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</si>
  <si>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</si>
  <si>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</si>
  <si>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</si>
  <si>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</si>
  <si>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</si>
  <si>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</si>
  <si>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</si>
  <si>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</si>
  <si>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</si>
  <si>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除非敏感数据是架构的必要部分，否则不会与第三方共享。</t>
  </si>
  <si>
    <t>在处理敏感数据的文本输入上，键盘缓存被禁用。</t>
  </si>
  <si>
    <t>不会通过IPC机制公开敏感数据。</t>
  </si>
  <si>
    <t>用户界面不会暴露任何敏感数据，例如密码或密码。</t>
  </si>
  <si>
    <t>移动操作系统生成的备份中不包含敏感数据。</t>
  </si>
  <si>
    <t>当移至后台时，该应用程序将从视图中删除敏感数据。</t>
  </si>
  <si>
    <t>该应用程序在内存中保存敏感数据的时间不会超过必要时间，并且使用后会明确清除内存。</t>
  </si>
  <si>
    <t>该应用会强制执行最低设备访问安全性政策，例如要求用户设置设备密码。</t>
  </si>
  <si>
    <t>该应用程序可向用户介绍所处理的个人身份信息的类型，以及用户在使用该应用程序时应遵循的最佳安全性最佳做法。</t>
  </si>
  <si>
    <t>密码学</t>
  </si>
  <si>
    <t>该应用程序不依赖带有硬编码密钥的对称加密作为唯一的加密方法。</t>
  </si>
  <si>
    <t>该应用程序使用了经过验证的加密原语实现。</t>
  </si>
  <si>
    <t>该应用程序使用适合特定用例的加密原语，并配置了符合行业最佳实践的参数。</t>
  </si>
  <si>
    <t>该应用程序未使用出于安全目的而被广泛认为已贬值的加密协议或算法。</t>
  </si>
  <si>
    <t>该应用不会将相同的加密密钥用于多种用途。</t>
  </si>
  <si>
    <t>使用足够安全的随机数生成器生成所有随机值。</t>
  </si>
  <si>
    <t>身份验证和会话管理</t>
  </si>
  <si>
    <t>网络通讯</t>
  </si>
  <si>
    <t>平台互动</t>
  </si>
  <si>
    <t>代码质量和构建设置</t>
  </si>
  <si>
    <t>符号</t>
  </si>
  <si>
    <t>定义</t>
  </si>
  <si>
    <t>如果该应用程序为用户提供了访问远程服务的权限，则会在远程端点执行某种形式的身份验证，例如用户名/密码身份验证。</t>
  </si>
  <si>
    <t>如果使用有状态会话管理，则远程端点将使用随机生成的会话标识符来认证客户端请求，而不发送用户的凭据。</t>
  </si>
  <si>
    <t>如果使用基于无状态令牌的身份验证，则服务器将提供已使用安全算法签名的令牌。</t>
  </si>
  <si>
    <t>当用户注销时，远程端点将终止现有会话。</t>
  </si>
  <si>
    <t>密码策略存在并在远程端点上强制执行。</t>
  </si>
  <si>
    <t>远程终结点实现了一种机制来防止凭据提交次数过多。</t>
  </si>
  <si>
    <t>在预定义的不活动时间段和访问令牌到期后，会话将在远程端点上无效。</t>
  </si>
  <si>
    <t>生物识别身份验证（如果有的话）不是事件绑定的（即，使用仅返回“ true”或“ false”的API）。 相反，它基于解锁钥匙串/密钥库。</t>
  </si>
  <si>
    <t>身份验证的第二个因素存在于远程端点，并且2FA要求始终得到执行。</t>
  </si>
  <si>
    <t>敏感交易需要逐步认证。</t>
  </si>
  <si>
    <t>该应用程序使用其帐户通知用户所有登录活动。 用户可以查看用于访问帐户并阻止特定设备的设备列表。</t>
  </si>
  <si>
    <t>使用TLS在网络上对数据进行加密。 在整个应用程序中始终使用安全通道。</t>
  </si>
  <si>
    <t>TLS 设置符合当前的最佳做法，如果移动操作系统不支持建议的标准，则设置应尽可能接近。</t>
  </si>
  <si>
    <t>建立安全通道后，应用程序将验证远程端点的X.509证书。 仅接受由受信任的CA签名的证书。</t>
  </si>
  <si>
    <t>该应用程序要么使用自己的证书存储，要么固定端点证书或公钥，并且随后即使与受信任的CA签署，也不会与提供不同证书或密钥的端点建立连接。</t>
  </si>
  <si>
    <t>该应用程序不依赖单个不安全的通信渠道（电子邮件或SMS）进行关键操作，例如注册和帐户恢复。</t>
  </si>
  <si>
    <t>该应用程序仅依赖于最新的连接性和安全性库。</t>
  </si>
  <si>
    <t>该要求适用于移动应用程序，并根据最佳实践实施。</t>
  </si>
  <si>
    <t>要求是适用于移动应用程序，但没有兑现。</t>
  </si>
  <si>
    <t>该要求不适用于移动应用。</t>
  </si>
  <si>
    <t>应用程序只请求所需的最小权限集。</t>
  </si>
  <si>
    <t>所有来自外部资源和用户的输入都经过验证，并在必要时进行消毒。这包括通过UI接收的数据、IPC机制(如intent、自定义url和网络源)。</t>
  </si>
  <si>
    <t>应用程序不会通过自定义URL模式导出敏感的功能，除非这些机制得到了适当的保护。</t>
  </si>
  <si>
    <t>除非这些机制得到适当保护，否则应用程序不会通过IPC工具导出敏感功能。</t>
  </si>
  <si>
    <t>除非明确要求，否则在webview中禁用JavaScript。</t>
  </si>
  <si>
    <t>将webview配置为只允许所需的最小协议处理程序集(理想情况下，只支持https)。禁用潜在的危险处理程序，如文件、tel和app-id。</t>
  </si>
  <si>
    <t>如果应用程序的本机方法暴露给WebView，请验证WebView只呈现包含在应用程序包中的JavaScript。</t>
  </si>
  <si>
    <t>对象反序列化(如果有)是使用安全的序列化api实现的。</t>
  </si>
  <si>
    <t>应用程序使用有效的证书进行签名和供应，该证书的私钥受到适当的保护。</t>
  </si>
  <si>
    <t>该应用程序已经在发布模式下构建，具有适合发布构建的设置(例如不可调试)。</t>
  </si>
  <si>
    <t>调试符号已从本机二进制文件中删除。</t>
  </si>
  <si>
    <t>调试代码已被删除，应用程序不会记录详细的错误或调试消息。</t>
  </si>
  <si>
    <t>移动应用程序使用的所有第三方组件，如库和框架，都将被识别，并检查已知的漏洞。</t>
  </si>
  <si>
    <t>应用程序捕获并处理可能的异常。</t>
  </si>
  <si>
    <t>安全控制中的错误处理逻辑默认拒绝访问。</t>
  </si>
  <si>
    <t>在非托管代码中，内存是安全分配、释放和使用的。</t>
  </si>
  <si>
    <t>工具链提供的免费安全特性，如字节码缩小、堆栈保护、饼图支持和自动引用计数，将被激活。</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</si>
  <si>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</si>
  <si>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</si>
  <si>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</si>
  <si>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</si>
  <si>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</si>
  <si>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</si>
  <si>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</si>
  <si>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</si>
  <si>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</si>
  <si>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</si>
  <si>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</si>
  <si>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</si>
  <si>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</si>
  <si>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</si>
  <si>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</si>
  <si>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</si>
  <si>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</si>
  <si>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</si>
  <si>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</si>
  <si>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</si>
  <si>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详细的验证要求</t>
  </si>
  <si>
    <t>架构、设计和威胁建模</t>
  </si>
  <si>
    <t>数据储存及私隐</t>
  </si>
  <si>
    <t>网络通信</t>
  </si>
  <si>
    <t>平台交互</t>
  </si>
  <si>
    <t>系统凭据存储设施可适当地用于存储敏感数据，如PII、用户凭据或加密密钥。</t>
  </si>
  <si>
    <t>不应将敏感数据存储在app容器或系统凭据存储设施之外。</t>
  </si>
  <si>
    <t>没有敏感数据被写入应用程序日志。</t>
  </si>
  <si>
    <t>除非敏感数据是体系结构的必要部分，否则不会与第三方共享。</t>
  </si>
  <si>
    <t>在处理敏感数据的文本输入上禁用键盘缓存。</t>
  </si>
  <si>
    <t>没有敏感数据通过IPC机制公开。</t>
  </si>
  <si>
    <t>用户界面不会暴露密码或pin等敏感数据。</t>
  </si>
  <si>
    <t>当移动到后台时，应用程序会从视图中删除敏感数据。</t>
  </si>
  <si>
    <t>该应用程序在内存中保存敏感数据的时间不会超过必要的时间，并且在使用后会显式地清除内存。</t>
  </si>
  <si>
    <t>该应用程序强制执行最低设备访问安全策略，比如要求用户设置设备密码。</t>
  </si>
  <si>
    <t>该应用程序向用户介绍处理的个人身份信息的类型，以及用户在使用应用程序时应遵循的安全最佳实践。</t>
  </si>
  <si>
    <t>该应用程序使用了经过验证的密码原语实现。</t>
  </si>
  <si>
    <t>应用程序使用适合于特定用例的密码原语，并使用符合行业最佳实践的参数进行配置。</t>
  </si>
  <si>
    <t>该应用程序不使用加密协议或算法，这些协议或算法被广泛认为是出于安全目的而被贬低的。</t>
  </si>
  <si>
    <t>这个应用程序不会为了多种目的重复使用同一个密钥。</t>
  </si>
  <si>
    <t>所有随机值都是使用一个足够安全的随机数生成器生成的。</t>
  </si>
  <si>
    <t>如果应用程序为用户提供对远程服务的访问，则在远程端点执行某种形式的身份验证，如用户名/密码身份验证。</t>
  </si>
  <si>
    <t>如果使用有状态会话管理，则远程端点使用随机生成的会话标识符对客户机请求进行身份验证，而不发送用户的凭据。</t>
  </si>
  <si>
    <t>如果使用基于无状态令牌的身份验证，则服务器提供使用安全算法签名的令牌。</t>
  </si>
  <si>
    <t>当用户注销时，远程端点终止现有会话。</t>
  </si>
  <si>
    <t>存在密码策略，并在远程端点强制执行。</t>
  </si>
  <si>
    <t>远程端点实现一种机制来防止过多次数地提交凭据。</t>
  </si>
  <si>
    <t>在预定义的不活动期间和访问令牌过期后，会话在远程端点失效。</t>
  </si>
  <si>
    <t>生物特征认证，如果有的话，是不受事件限制的(例如，使用一个只返回“真”或“假”的API)。相反，它基于解锁密钥链/密钥存储库。</t>
  </si>
  <si>
    <t>第二个身份验证因素存在于远程端点，并且始终强制执行2FA要求。</t>
  </si>
  <si>
    <t>敏感事务需要逐步进行身份验证。</t>
  </si>
  <si>
    <t>该应用程序通知用户所有的登录活动与他们的帐户。用户可以查看用于访问帐户和阻止特定设备的设备列表。</t>
  </si>
  <si>
    <t>数据在网络上使用TLS加密。安全通道在整个应用程序中始终如一地使用。</t>
  </si>
  <si>
    <t>TLS设置符合当前的最佳实践，如果移动操作系统不支持推荐的标准，则尽可能接近。</t>
  </si>
  <si>
    <t>应用程序在建立安全通道时验证远程端点的X.509证书。只接受由受信任的CA签名的证书。</t>
  </si>
  <si>
    <t>该应用程序要么使用自己的证书存储，要么对端点证书或公钥进行pin，并且随后不会与提供不同证书或密钥的端点建立连接，即使是由受信任的CA签署的。</t>
  </si>
  <si>
    <t>该应用程序不依赖单一的非安全通信渠道(电子邮件或短信)进行关键操作，如登记和帐户恢复。</t>
  </si>
  <si>
    <t>该应用程序只依赖于最新的连接和安全库。</t>
  </si>
  <si>
    <t>对抗逆向工程的弹性 - iOS</t>
  </si>
  <si>
    <t>iOS - 移动应用安全需求</t>
  </si>
  <si>
    <t>Android - 移动应用安全要求</t>
  </si>
  <si>
    <r>
      <t xml:space="preserve">OWASP 移动应用安全检查列表
</t>
    </r>
    <r>
      <rPr>
        <sz val="14"/>
        <rFont val="Trebuchet MS"/>
        <family val="2"/>
        <charset val="1"/>
      </rPr>
      <t xml:space="preserve">
基于OWASP 移动应用安全验证标准</t>
    </r>
  </si>
  <si>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</si>
  <si>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</si>
  <si>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</si>
  <si>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</si>
  <si>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</si>
  <si>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</si>
  <si>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</si>
  <si>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</si>
  <si>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</si>
  <si>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</si>
  <si>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</si>
  <si>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所有应用程序组件被识别，并确定其需要性. (All app components are identified and known to be needed.)</t>
  </si>
  <si>
    <t>在移动应用环境下被认为敏感的数据清楚的被识别出来. (Data considered sensitive in the context of the mobile app is clearly identified.)</t>
  </si>
  <si>
    <t>详细验证要求 (Detailed Verification Requirement)</t>
  </si>
  <si>
    <t>体系结构，设计和威胁建模 (Architecture, design and threat modelling)</t>
  </si>
  <si>
    <t>等级 1 (Level 1)</t>
  </si>
  <si>
    <t>等级 2 (Level 2)</t>
  </si>
  <si>
    <t>状态 (Status)</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</si>
  <si>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</si>
  <si>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</si>
  <si>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</si>
  <si>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</si>
  <si>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</si>
  <si>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</si>
  <si>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1.11</t>
  </si>
  <si>
    <t>1.12</t>
  </si>
  <si>
    <t>MSTG-ARCH-11</t>
  </si>
  <si>
    <t>MSTG-ARCH-12</t>
  </si>
  <si>
    <t>一份负责信息披露政策应存在并有效的应用. (A responsible disclosure policy is in place and effectively applied.)</t>
  </si>
  <si>
    <t>其应用应该遵循隐私法和条例. (The app should comply with privacy laws and regulations.)</t>
  </si>
  <si>
    <t>Chef Inspec</t>
  </si>
  <si>
    <t>测试流程(s) (Testing Procedure(s))</t>
  </si>
  <si>
    <t>测试工具 (Testing Tools)</t>
  </si>
  <si>
    <t>评论 (Comments)</t>
  </si>
  <si>
    <t>PASS</t>
  </si>
  <si>
    <t>FAIL</t>
  </si>
  <si>
    <t>数据存储和隐私 (Data Storage and Privacy)</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</si>
  <si>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</si>
  <si>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</si>
  <si>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没有敏感数据写入应用程序日志。(No sensitive data is written to application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</si>
</sst>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30"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FFFFFF"/>
      <name val="Segoe UI"/>
      <family val="2"/>
    </font>
    <font>
      <sz val="12"/>
      <color rgb="FF5F5F5F"/>
      <name val="Calibri"/>
      <family val="2"/>
      <charset val="1"/>
    </font>
    <font>
      <sz val="11"/>
      <color rgb="FF5F5F5F"/>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8">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s>
  <cellStyleXfs count="3">
    <xf numFmtId="0" fontId="0" fillId="0" borderId="0"/>
    <xf numFmtId="0" fontId="5" fillId="0" borderId="0" applyBorder="0" applyProtection="0"/>
    <xf numFmtId="0" fontId="26" fillId="0" borderId="0"/>
  </cellStyleXfs>
  <cellXfs count="16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4" fillId="0" borderId="7" xfId="0" applyFont="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xf numFmtId="49" fontId="0" fillId="0" borderId="0" xfId="0" applyNumberFormat="1" applyBorder="1"/>
    <xf numFmtId="0" fontId="0" fillId="0" borderId="0" xfId="0" applyBorder="1" applyAlignment="1">
      <alignment horizontal="left" vertical="top" wrapText="1"/>
    </xf>
    <xf numFmtId="49" fontId="0" fillId="0" borderId="0" xfId="0" applyNumberFormat="1" applyFont="1" applyBorder="1"/>
    <xf numFmtId="0" fontId="0" fillId="0" borderId="0" xfId="0" applyFont="1" applyBorder="1" applyAlignment="1">
      <alignment horizontal="left" vertical="top" wrapText="1"/>
    </xf>
    <xf numFmtId="0" fontId="0" fillId="0" borderId="0" xfId="0" applyFont="1" applyBorder="1"/>
    <xf numFmtId="0" fontId="0" fillId="0" borderId="0" xfId="0" applyFont="1"/>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7" fillId="0" borderId="0" xfId="2" applyFont="1" applyBorder="1" applyAlignment="1">
      <alignment horizontal="left" vertical="top" wrapText="1"/>
    </xf>
    <xf numFmtId="0" fontId="17" fillId="10" borderId="0"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5" fillId="0" borderId="0" xfId="1" applyBorder="1" applyAlignment="1" applyProtection="1">
      <alignment horizontal="left"/>
    </xf>
    <xf numFmtId="0" fontId="17" fillId="0" borderId="21" xfId="0" applyFont="1" applyBorder="1" applyAlignment="1">
      <alignment horizontal="left" vertical="top" wrapText="1"/>
    </xf>
    <xf numFmtId="0" fontId="5" fillId="0" borderId="21" xfId="1" applyBorder="1" applyAlignment="1" applyProtection="1">
      <alignment vertical="center" wrapText="1"/>
    </xf>
    <xf numFmtId="0" fontId="17" fillId="0" borderId="21" xfId="0" applyFont="1" applyBorder="1" applyAlignment="1">
      <alignment vertical="center" wrapText="1"/>
    </xf>
    <xf numFmtId="0" fontId="17" fillId="0" borderId="0" xfId="0" applyFont="1" applyBorder="1" applyAlignment="1">
      <alignment vertical="center" wrapText="1"/>
    </xf>
    <xf numFmtId="49" fontId="18" fillId="8" borderId="18" xfId="0" applyNumberFormat="1" applyFont="1" applyFill="1" applyBorder="1" applyAlignment="1">
      <alignment horizontal="center" vertical="center" wrapText="1"/>
    </xf>
    <xf numFmtId="49" fontId="18" fillId="8" borderId="0" xfId="0" applyNumberFormat="1" applyFont="1" applyFill="1" applyBorder="1" applyAlignment="1">
      <alignment horizontal="center" vertical="center" wrapText="1"/>
    </xf>
    <xf numFmtId="0" fontId="18" fillId="8" borderId="0" xfId="0" applyFont="1" applyFill="1" applyBorder="1" applyAlignment="1">
      <alignment horizontal="left" vertical="top" wrapText="1"/>
    </xf>
    <xf numFmtId="0" fontId="18" fillId="8" borderId="0" xfId="0" applyFont="1" applyFill="1" applyBorder="1" applyAlignment="1">
      <alignment vertical="center" wrapText="1"/>
    </xf>
    <xf numFmtId="0" fontId="18" fillId="8" borderId="0" xfId="0" applyFont="1" applyFill="1" applyBorder="1" applyAlignment="1">
      <alignment horizontal="center" vertical="center" wrapText="1"/>
    </xf>
    <xf numFmtId="0" fontId="18" fillId="8" borderId="0" xfId="0" applyFont="1" applyFill="1" applyAlignment="1">
      <alignment vertical="center" wrapText="1"/>
    </xf>
    <xf numFmtId="0" fontId="18" fillId="8" borderId="21" xfId="0" applyFont="1" applyFill="1" applyBorder="1" applyAlignment="1">
      <alignment vertical="center" wrapText="1"/>
    </xf>
    <xf numFmtId="0" fontId="18" fillId="8" borderId="20" xfId="0" applyFont="1" applyFill="1" applyBorder="1" applyAlignment="1">
      <alignment horizontal="left" vertical="top" wrapText="1"/>
    </xf>
    <xf numFmtId="49" fontId="15" fillId="9" borderId="18" xfId="0" applyNumberFormat="1" applyFont="1" applyFill="1" applyBorder="1" applyAlignment="1">
      <alignment horizontal="center" wrapText="1"/>
    </xf>
    <xf numFmtId="49" fontId="15" fillId="9" borderId="0" xfId="0" applyNumberFormat="1" applyFont="1" applyFill="1" applyBorder="1" applyAlignment="1">
      <alignment horizontal="center" wrapText="1"/>
    </xf>
    <xf numFmtId="0" fontId="5" fillId="0" borderId="0" xfId="1" applyBorder="1" applyAlignment="1" applyProtection="1">
      <alignment wrapText="1"/>
    </xf>
    <xf numFmtId="0" fontId="5" fillId="0" borderId="0" xfId="1" applyBorder="1" applyAlignment="1" applyProtection="1"/>
    <xf numFmtId="0" fontId="19" fillId="0" borderId="21" xfId="0" applyFont="1" applyBorder="1" applyAlignment="1">
      <alignment horizontal="left" vertical="top" wrapText="1"/>
    </xf>
    <xf numFmtId="0" fontId="20" fillId="0" borderId="0" xfId="0" applyFont="1" applyAlignment="1">
      <alignment horizontal="left" vertical="top" wrapText="1"/>
    </xf>
    <xf numFmtId="0" fontId="17" fillId="0" borderId="0" xfId="0" applyFont="1" applyBorder="1" applyAlignment="1">
      <alignment wrapText="1"/>
    </xf>
    <xf numFmtId="0" fontId="5" fillId="0" borderId="0" xfId="1" applyBorder="1" applyAlignment="1" applyProtection="1">
      <alignment vertical="center"/>
    </xf>
    <xf numFmtId="0" fontId="18" fillId="8" borderId="21" xfId="0" applyFont="1" applyFill="1" applyBorder="1" applyAlignment="1">
      <alignment horizontal="left" vertical="top" wrapText="1"/>
    </xf>
    <xf numFmtId="0" fontId="17" fillId="0" borderId="0" xfId="0" applyFont="1" applyBorder="1" applyAlignment="1">
      <alignment horizontal="left" vertical="top" wrapText="1"/>
    </xf>
    <xf numFmtId="0" fontId="21" fillId="0" borderId="0" xfId="1" applyFont="1" applyBorder="1" applyAlignment="1" applyProtection="1">
      <alignment horizontal="left" wrapText="1"/>
    </xf>
    <xf numFmtId="0" fontId="21" fillId="0" borderId="20" xfId="1" applyFont="1" applyBorder="1" applyAlignment="1" applyProtection="1">
      <alignment horizontal="left" vertical="top" wrapText="1"/>
    </xf>
    <xf numFmtId="0" fontId="5" fillId="0" borderId="0" xfId="1" applyBorder="1" applyAlignment="1" applyProtection="1">
      <alignment horizontal="left" wrapText="1"/>
    </xf>
    <xf numFmtId="0" fontId="5" fillId="0" borderId="21" xfId="1" applyBorder="1" applyAlignment="1" applyProtection="1">
      <alignment horizontal="left" vertical="top" wrapText="1"/>
    </xf>
    <xf numFmtId="0" fontId="22" fillId="0" borderId="21" xfId="0" applyFont="1" applyBorder="1" applyAlignment="1">
      <alignment horizontal="left" vertical="top" wrapText="1"/>
    </xf>
    <xf numFmtId="0" fontId="22" fillId="0" borderId="0" xfId="0" applyFont="1" applyBorder="1"/>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20" fillId="0" borderId="0" xfId="0" applyNumberFormat="1" applyFont="1" applyBorder="1"/>
    <xf numFmtId="0" fontId="20" fillId="0" borderId="0" xfId="0" applyFont="1" applyBorder="1" applyAlignment="1">
      <alignment horizontal="left" vertical="top" wrapText="1"/>
    </xf>
    <xf numFmtId="0" fontId="20" fillId="0" borderId="0" xfId="0" applyFont="1" applyBorder="1"/>
    <xf numFmtId="0" fontId="20" fillId="0" borderId="0" xfId="0" applyFont="1"/>
    <xf numFmtId="49" fontId="16"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49" fontId="14" fillId="0" borderId="0" xfId="0" applyNumberFormat="1" applyFont="1" applyBorder="1"/>
    <xf numFmtId="0" fontId="15" fillId="7" borderId="6" xfId="0" applyFont="1" applyFill="1" applyBorder="1" applyAlignment="1">
      <alignment horizontal="center" vertical="center" wrapText="1"/>
    </xf>
    <xf numFmtId="0" fontId="18" fillId="8" borderId="20" xfId="0" applyFont="1" applyFill="1" applyBorder="1" applyAlignment="1">
      <alignment vertical="center" wrapText="1"/>
    </xf>
    <xf numFmtId="0" fontId="17" fillId="12" borderId="0" xfId="0" applyFont="1" applyFill="1" applyBorder="1" applyAlignment="1">
      <alignment horizontal="center" vertical="center" wrapText="1"/>
    </xf>
    <xf numFmtId="0" fontId="17" fillId="0" borderId="20" xfId="0" applyFont="1" applyBorder="1" applyAlignment="1">
      <alignment horizontal="left" vertical="top" wrapText="1"/>
    </xf>
    <xf numFmtId="0" fontId="23" fillId="5" borderId="20" xfId="1" applyFont="1" applyFill="1" applyBorder="1" applyAlignment="1" applyProtection="1">
      <alignment horizontal="center" wrapText="1"/>
    </xf>
    <xf numFmtId="0" fontId="23"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14" fillId="0" borderId="0" xfId="0" applyNumberFormat="1" applyFont="1"/>
    <xf numFmtId="0" fontId="0" fillId="0" borderId="0" xfId="0" applyFont="1" applyAlignment="1">
      <alignment horizontal="left" vertical="top" wrapText="1"/>
    </xf>
    <xf numFmtId="49" fontId="0" fillId="0" borderId="0" xfId="0" applyNumberFormat="1" applyFont="1"/>
    <xf numFmtId="0" fontId="5" fillId="0" borderId="20" xfId="1" applyBorder="1" applyAlignment="1" applyProtection="1"/>
    <xf numFmtId="0" fontId="0" fillId="0" borderId="0" xfId="0" applyAlignment="1">
      <alignment wrapText="1"/>
    </xf>
    <xf numFmtId="0" fontId="5" fillId="0" borderId="19" xfId="1" applyBorder="1" applyAlignment="1" applyProtection="1"/>
    <xf numFmtId="0" fontId="21" fillId="0" borderId="19" xfId="1" applyFont="1" applyBorder="1" applyAlignment="1" applyProtection="1">
      <alignment horizontal="left" wrapText="1"/>
    </xf>
    <xf numFmtId="0" fontId="15" fillId="7" borderId="21" xfId="0" applyFont="1" applyFill="1" applyBorder="1" applyAlignment="1">
      <alignment horizontal="center" vertical="center" wrapText="1"/>
    </xf>
    <xf numFmtId="0" fontId="15" fillId="7" borderId="21" xfId="0" applyFont="1" applyFill="1" applyBorder="1" applyAlignment="1">
      <alignment horizontal="left" vertical="top" wrapText="1"/>
    </xf>
    <xf numFmtId="49" fontId="20" fillId="0" borderId="0" xfId="0" applyNumberFormat="1" applyFont="1"/>
    <xf numFmtId="49" fontId="16" fillId="0" borderId="0" xfId="0" applyNumberFormat="1" applyFont="1" applyAlignment="1">
      <alignment horizontal="left"/>
    </xf>
    <xf numFmtId="0" fontId="24" fillId="0" borderId="20" xfId="0" applyFont="1" applyBorder="1" applyAlignment="1">
      <alignment horizontal="center"/>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5" fillId="0" borderId="0" xfId="1" applyBorder="1" applyProtection="1"/>
    <xf numFmtId="0" fontId="5" fillId="0" borderId="20" xfId="1" applyBorder="1" applyProtection="1"/>
    <xf numFmtId="0" fontId="17" fillId="0" borderId="0" xfId="2" applyFont="1" applyBorder="1" applyAlignment="1">
      <alignment horizontal="left" vertical="center" wrapText="1"/>
    </xf>
    <xf numFmtId="0" fontId="0" fillId="0" borderId="0" xfId="0" applyAlignment="1">
      <alignment vertical="center"/>
    </xf>
    <xf numFmtId="0" fontId="17" fillId="0" borderId="0" xfId="0" applyFont="1" applyBorder="1" applyAlignment="1">
      <alignment horizontal="left" vertical="center" wrapText="1"/>
    </xf>
    <xf numFmtId="0" fontId="5" fillId="0" borderId="20" xfId="1" applyBorder="1" applyAlignment="1" applyProtection="1">
      <alignment vertical="center"/>
    </xf>
    <xf numFmtId="0" fontId="15" fillId="7" borderId="17" xfId="0" applyFont="1" applyFill="1" applyBorder="1" applyAlignment="1">
      <alignment horizontal="center" vertical="top"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7" xfId="0" applyFont="1" applyFill="1" applyBorder="1" applyAlignment="1">
      <alignment horizontal="center" vertical="top" wrapText="1"/>
    </xf>
    <xf numFmtId="0" fontId="24" fillId="0" borderId="23" xfId="0" applyFont="1" applyBorder="1" applyAlignment="1">
      <alignment horizontal="left"/>
    </xf>
    <xf numFmtId="0" fontId="27" fillId="6" borderId="14" xfId="1" applyFont="1" applyFill="1" applyBorder="1" applyAlignment="1" applyProtection="1">
      <alignment vertical="center"/>
    </xf>
    <xf numFmtId="0" fontId="15" fillId="7" borderId="16" xfId="0" applyFont="1" applyFill="1" applyBorder="1" applyAlignment="1">
      <alignment horizontal="center" wrapText="1"/>
    </xf>
    <xf numFmtId="0" fontId="20" fillId="0" borderId="0" xfId="0" applyFont="1" applyAlignment="1">
      <alignment horizontal="left" vertical="center" wrapText="1"/>
    </xf>
    <xf numFmtId="0" fontId="5" fillId="0" borderId="0" xfId="1" applyBorder="1" applyAlignment="1" applyProtection="1">
      <alignment vertical="center" wrapText="1"/>
    </xf>
    <xf numFmtId="0" fontId="17" fillId="0" borderId="26" xfId="0" applyFont="1" applyBorder="1" applyAlignment="1">
      <alignment horizontal="left" vertical="top" wrapText="1"/>
    </xf>
    <xf numFmtId="0" fontId="17" fillId="0" borderId="27" xfId="0" applyFont="1" applyBorder="1" applyAlignment="1">
      <alignment vertical="center" wrapText="1"/>
    </xf>
    <xf numFmtId="0" fontId="28" fillId="0" borderId="0" xfId="1" applyFont="1" applyBorder="1" applyAlignment="1" applyProtection="1">
      <alignment wrapText="1"/>
    </xf>
    <xf numFmtId="0" fontId="28" fillId="0" borderId="0" xfId="1" applyFont="1" applyBorder="1" applyAlignment="1" applyProtection="1">
      <alignment vertical="center" wrapText="1"/>
    </xf>
    <xf numFmtId="0" fontId="21" fillId="0" borderId="0" xfId="1" applyFont="1" applyBorder="1" applyAlignment="1" applyProtection="1">
      <alignment vertical="center" wrapText="1"/>
    </xf>
    <xf numFmtId="0" fontId="29" fillId="0" borderId="0" xfId="1" applyFont="1" applyBorder="1" applyAlignment="1" applyProtection="1">
      <alignment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46" zoomScale="150" zoomScaleNormal="150" workbookViewId="0">
      <selection activeCell="C72" sqref="C72"/>
    </sheetView>
  </sheetViews>
  <sheetFormatPr defaultColWidth="8.875" defaultRowHeight="15.75" x14ac:dyDescent="0.25"/>
  <cols>
    <col min="1" max="1" width="2.375" customWidth="1"/>
    <col min="2" max="2" width="8.875" customWidth="1"/>
    <col min="3" max="3" width="17.125" customWidth="1"/>
    <col min="4" max="4" width="92.5" customWidth="1"/>
    <col min="5" max="1025" width="8.875" customWidth="1"/>
  </cols>
  <sheetData>
    <row r="1" spans="2:4" ht="8.1" customHeight="1" x14ac:dyDescent="0.25"/>
    <row r="2" spans="2:4" ht="15.6" customHeight="1" x14ac:dyDescent="0.25">
      <c r="B2" s="147" t="s">
        <v>386</v>
      </c>
      <c r="C2" s="147"/>
      <c r="D2" s="147"/>
    </row>
    <row r="3" spans="2:4" x14ac:dyDescent="0.25">
      <c r="B3" s="147"/>
      <c r="C3" s="147"/>
      <c r="D3" s="147"/>
    </row>
    <row r="4" spans="2:4" x14ac:dyDescent="0.25">
      <c r="B4" s="147"/>
      <c r="C4" s="147"/>
      <c r="D4" s="147"/>
    </row>
    <row r="5" spans="2:4" x14ac:dyDescent="0.25">
      <c r="B5" s="147"/>
      <c r="C5" s="147"/>
      <c r="D5" s="147"/>
    </row>
    <row r="6" spans="2:4" x14ac:dyDescent="0.25">
      <c r="B6" s="147"/>
      <c r="C6" s="147"/>
      <c r="D6" s="147"/>
    </row>
    <row r="7" spans="2:4" x14ac:dyDescent="0.25">
      <c r="B7" s="147"/>
      <c r="C7" s="147"/>
      <c r="D7" s="147"/>
    </row>
    <row r="8" spans="2:4" hidden="1" x14ac:dyDescent="0.25">
      <c r="B8" s="147"/>
      <c r="C8" s="147"/>
      <c r="D8" s="147"/>
    </row>
    <row r="9" spans="2:4" ht="18" x14ac:dyDescent="0.35">
      <c r="B9" s="144"/>
      <c r="C9" s="144"/>
      <c r="D9" s="144"/>
    </row>
    <row r="10" spans="2:4" x14ac:dyDescent="0.25">
      <c r="B10" s="1" t="s">
        <v>231</v>
      </c>
      <c r="C10" s="2"/>
      <c r="D10" s="3"/>
    </row>
    <row r="11" spans="2:4" x14ac:dyDescent="0.25">
      <c r="B11" s="148" t="s">
        <v>232</v>
      </c>
      <c r="C11" s="148"/>
      <c r="D11" s="4" t="s">
        <v>0</v>
      </c>
    </row>
    <row r="12" spans="2:4" x14ac:dyDescent="0.25">
      <c r="B12" s="145" t="s">
        <v>233</v>
      </c>
      <c r="C12" s="145"/>
      <c r="D12" s="5" t="str">
        <f>HYPERLINK(CONCATENATE( "https://github.com/OWASP/owasp-masvs/blob/", MASVS_VERSION, "/Document/"))</f>
        <v>https://github.com/OWASP/owasp-masvs/blob/1.1.4/Document/</v>
      </c>
    </row>
    <row r="13" spans="2:4" x14ac:dyDescent="0.25">
      <c r="B13" s="149" t="s">
        <v>245</v>
      </c>
      <c r="C13" s="149"/>
      <c r="D13" s="6" t="s">
        <v>1</v>
      </c>
    </row>
    <row r="14" spans="2:4" x14ac:dyDescent="0.25">
      <c r="B14" s="145" t="s">
        <v>234</v>
      </c>
      <c r="C14" s="145"/>
      <c r="D14" s="7" t="str">
        <f>HYPERLINK(CONCATENATE( "https://github.com/OWASP/owasp-mstg/blob/", MSTG_VERSION, "/Document/"))</f>
        <v>https://github.com/OWASP/owasp-mstg/blob/1.1.3/Document/</v>
      </c>
    </row>
    <row r="15" spans="2:4" ht="32.1" customHeight="1" x14ac:dyDescent="0.25">
      <c r="B15" s="146" t="s">
        <v>235</v>
      </c>
      <c r="C15" s="146"/>
      <c r="D15" s="146"/>
    </row>
    <row r="16" spans="2:4" x14ac:dyDescent="0.25">
      <c r="B16" s="142" t="s">
        <v>236</v>
      </c>
      <c r="C16" s="142"/>
      <c r="D16" s="6"/>
    </row>
    <row r="17" spans="2:4" x14ac:dyDescent="0.25">
      <c r="B17" s="145" t="s">
        <v>237</v>
      </c>
      <c r="C17" s="145"/>
      <c r="D17" s="6"/>
    </row>
    <row r="18" spans="2:4" x14ac:dyDescent="0.25">
      <c r="B18" s="142" t="s">
        <v>238</v>
      </c>
      <c r="C18" s="142"/>
      <c r="D18" s="6"/>
    </row>
    <row r="19" spans="2:4" x14ac:dyDescent="0.25">
      <c r="B19" s="142" t="s">
        <v>239</v>
      </c>
      <c r="C19" s="142"/>
      <c r="D19" s="6"/>
    </row>
    <row r="20" spans="2:4" x14ac:dyDescent="0.25">
      <c r="B20" s="142" t="s">
        <v>240</v>
      </c>
      <c r="C20" s="142"/>
      <c r="D20" s="6"/>
    </row>
    <row r="21" spans="2:4" x14ac:dyDescent="0.25">
      <c r="B21" s="142" t="s">
        <v>241</v>
      </c>
      <c r="C21" s="142"/>
      <c r="D21" s="6" t="s">
        <v>242</v>
      </c>
    </row>
    <row r="22" spans="2:4" ht="70.5" customHeight="1" x14ac:dyDescent="0.25">
      <c r="B22" s="142" t="s">
        <v>243</v>
      </c>
      <c r="C22" s="142"/>
      <c r="D22" s="6" t="s">
        <v>244</v>
      </c>
    </row>
    <row r="23" spans="2:4" ht="18" x14ac:dyDescent="0.35">
      <c r="B23" s="144"/>
      <c r="C23" s="144"/>
      <c r="D23" s="144"/>
    </row>
    <row r="24" spans="2:4" x14ac:dyDescent="0.25">
      <c r="B24" s="8" t="s">
        <v>246</v>
      </c>
      <c r="C24" s="9"/>
      <c r="D24" s="10"/>
    </row>
    <row r="25" spans="2:4" x14ac:dyDescent="0.25">
      <c r="B25" s="11" t="s">
        <v>247</v>
      </c>
      <c r="C25" s="12"/>
      <c r="D25" s="6"/>
    </row>
    <row r="26" spans="2:4" x14ac:dyDescent="0.25">
      <c r="B26" s="142" t="s">
        <v>248</v>
      </c>
      <c r="C26" s="142"/>
      <c r="D26" s="6"/>
    </row>
    <row r="27" spans="2:4" x14ac:dyDescent="0.25">
      <c r="B27" s="142" t="s">
        <v>249</v>
      </c>
      <c r="C27" s="142"/>
      <c r="D27" s="6"/>
    </row>
    <row r="28" spans="2:4" x14ac:dyDescent="0.25">
      <c r="B28" s="142" t="s">
        <v>250</v>
      </c>
      <c r="C28" s="142"/>
      <c r="D28" s="6"/>
    </row>
    <row r="29" spans="2:4" ht="66" customHeight="1" x14ac:dyDescent="0.25">
      <c r="B29" s="143" t="s">
        <v>251</v>
      </c>
      <c r="C29" s="143"/>
      <c r="D29" s="6"/>
    </row>
    <row r="30" spans="2:4" ht="18" x14ac:dyDescent="0.35">
      <c r="B30" s="144"/>
      <c r="C30" s="144"/>
      <c r="D30" s="144"/>
    </row>
    <row r="31" spans="2:4" x14ac:dyDescent="0.25">
      <c r="B31" s="8" t="s">
        <v>252</v>
      </c>
      <c r="C31" s="9"/>
      <c r="D31" s="10"/>
    </row>
    <row r="32" spans="2:4" x14ac:dyDescent="0.25">
      <c r="B32" s="11" t="s">
        <v>253</v>
      </c>
      <c r="C32" s="12"/>
      <c r="D32" s="6"/>
    </row>
    <row r="33" spans="2:4" x14ac:dyDescent="0.25">
      <c r="B33" s="142" t="s">
        <v>254</v>
      </c>
      <c r="C33" s="142"/>
      <c r="D33" s="6"/>
    </row>
    <row r="34" spans="2:4" x14ac:dyDescent="0.25">
      <c r="B34" s="142" t="s">
        <v>255</v>
      </c>
      <c r="C34" s="142"/>
      <c r="D34" s="6"/>
    </row>
    <row r="35" spans="2:4" x14ac:dyDescent="0.25">
      <c r="B35" s="142" t="s">
        <v>250</v>
      </c>
      <c r="C35" s="142"/>
      <c r="D35" s="6"/>
    </row>
    <row r="36" spans="2:4" ht="63" customHeight="1" x14ac:dyDescent="0.25">
      <c r="B36" s="143" t="s">
        <v>256</v>
      </c>
      <c r="C36" s="143"/>
      <c r="D36" s="6"/>
    </row>
    <row r="37" spans="2:4" ht="18" x14ac:dyDescent="0.35">
      <c r="B37" s="144"/>
      <c r="C37" s="144"/>
      <c r="D37" s="144"/>
    </row>
    <row r="38" spans="2:4" x14ac:dyDescent="0.25">
      <c r="B38" s="8" t="s">
        <v>257</v>
      </c>
      <c r="C38" s="9"/>
      <c r="D38" s="10"/>
    </row>
    <row r="39" spans="2:4" ht="18" x14ac:dyDescent="0.25">
      <c r="B39" s="141"/>
      <c r="C39" s="141"/>
      <c r="D39" s="141"/>
    </row>
    <row r="40" spans="2:4" x14ac:dyDescent="0.25">
      <c r="B40" s="140" t="s">
        <v>262</v>
      </c>
      <c r="C40" s="140"/>
      <c r="D40" s="13"/>
    </row>
    <row r="41" spans="2:4" x14ac:dyDescent="0.25">
      <c r="B41" s="140" t="s">
        <v>258</v>
      </c>
      <c r="C41" s="140"/>
      <c r="D41" s="13"/>
    </row>
    <row r="42" spans="2:4" x14ac:dyDescent="0.25">
      <c r="B42" s="140" t="s">
        <v>259</v>
      </c>
      <c r="C42" s="140"/>
      <c r="D42" s="13"/>
    </row>
    <row r="43" spans="2:4" x14ac:dyDescent="0.25">
      <c r="B43" s="140" t="s">
        <v>260</v>
      </c>
      <c r="C43" s="140"/>
      <c r="D43" s="14"/>
    </row>
    <row r="44" spans="2:4" x14ac:dyDescent="0.25">
      <c r="B44" s="140" t="s">
        <v>261</v>
      </c>
      <c r="C44" s="140"/>
      <c r="D44" s="13"/>
    </row>
    <row r="45" spans="2:4" ht="18" x14ac:dyDescent="0.25">
      <c r="B45" s="141"/>
      <c r="C45" s="141"/>
      <c r="D45" s="141"/>
    </row>
    <row r="46" spans="2:4" x14ac:dyDescent="0.25">
      <c r="B46" s="140" t="s">
        <v>262</v>
      </c>
      <c r="C46" s="140"/>
      <c r="D46" s="13"/>
    </row>
    <row r="47" spans="2:4" x14ac:dyDescent="0.25">
      <c r="B47" s="140" t="s">
        <v>258</v>
      </c>
      <c r="C47" s="140"/>
      <c r="D47" s="13"/>
    </row>
    <row r="48" spans="2:4" x14ac:dyDescent="0.25">
      <c r="B48" s="140" t="s">
        <v>259</v>
      </c>
      <c r="C48" s="140"/>
      <c r="D48" s="13"/>
    </row>
    <row r="49" spans="2:4" x14ac:dyDescent="0.25">
      <c r="B49" s="140" t="s">
        <v>260</v>
      </c>
      <c r="C49" s="140"/>
      <c r="D49" s="14"/>
    </row>
    <row r="50" spans="2:4" x14ac:dyDescent="0.25">
      <c r="B50" s="140" t="s">
        <v>261</v>
      </c>
      <c r="C50" s="140"/>
      <c r="D50" s="1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28" zoomScale="94" zoomScaleNormal="94" workbookViewId="0">
      <selection activeCell="D43" sqref="D43"/>
    </sheetView>
  </sheetViews>
  <sheetFormatPr defaultColWidth="8.875" defaultRowHeight="15.75" x14ac:dyDescent="0.25"/>
  <cols>
    <col min="1" max="1" width="1.875" style="15" customWidth="1"/>
    <col min="2" max="2" width="9.5" style="15" customWidth="1"/>
    <col min="3" max="3" width="61.125" style="15" bestFit="1" customWidth="1"/>
    <col min="4" max="4" width="8.625" style="15" customWidth="1"/>
    <col min="5" max="5" width="6.25" style="15" customWidth="1"/>
    <col min="6" max="7" width="8.625" style="15" customWidth="1"/>
    <col min="8" max="1025" width="8.875" style="15" customWidth="1"/>
  </cols>
  <sheetData>
    <row r="2" spans="2:24" ht="16.5" x14ac:dyDescent="0.3">
      <c r="B2" s="16"/>
      <c r="C2" s="17" t="s">
        <v>387</v>
      </c>
      <c r="D2" s="18"/>
      <c r="E2" s="18"/>
      <c r="F2" s="18"/>
    </row>
    <row r="3" spans="2:24" ht="16.5" x14ac:dyDescent="0.3">
      <c r="B3" s="18"/>
      <c r="C3" s="18"/>
      <c r="D3" s="18"/>
      <c r="E3" s="18"/>
      <c r="F3" s="18"/>
    </row>
    <row r="4" spans="2:24" ht="16.5" x14ac:dyDescent="0.3">
      <c r="B4" s="151"/>
      <c r="C4" s="151"/>
      <c r="D4" s="151"/>
      <c r="E4" s="151"/>
      <c r="F4" s="151"/>
    </row>
    <row r="5" spans="2:24" ht="15.95" customHeight="1" x14ac:dyDescent="0.25">
      <c r="B5" s="19"/>
      <c r="C5" s="19"/>
      <c r="D5" s="19"/>
      <c r="E5" s="19"/>
      <c r="F5" s="19"/>
    </row>
    <row r="6" spans="2:24" ht="18.95" customHeight="1" x14ac:dyDescent="0.3">
      <c r="B6" s="20"/>
      <c r="C6" s="20"/>
      <c r="D6" s="20"/>
      <c r="E6" s="20"/>
      <c r="F6" s="20"/>
      <c r="G6" s="152" t="s">
        <v>263</v>
      </c>
      <c r="H6" s="152"/>
      <c r="I6" s="152"/>
      <c r="V6" s="152" t="s">
        <v>263</v>
      </c>
      <c r="W6" s="152"/>
      <c r="X6" s="152"/>
    </row>
    <row r="7" spans="2:24" ht="16.5" x14ac:dyDescent="0.3">
      <c r="B7" s="21"/>
      <c r="C7" s="21"/>
      <c r="D7" s="21"/>
      <c r="E7" s="21"/>
      <c r="F7" s="21"/>
    </row>
    <row r="8" spans="2:24" ht="15.95" customHeight="1" x14ac:dyDescent="0.25">
      <c r="B8" s="19"/>
      <c r="C8" s="19"/>
      <c r="D8" s="19"/>
      <c r="E8" s="19"/>
      <c r="F8" s="19"/>
      <c r="G8" s="153">
        <f>AVERAGE(G43:G50)*5</f>
        <v>0.625</v>
      </c>
      <c r="H8" s="153"/>
      <c r="I8" s="153"/>
      <c r="V8" s="153">
        <f>AVERAGE(K43:K50)*5</f>
        <v>0.625</v>
      </c>
      <c r="W8" s="153"/>
      <c r="X8" s="153"/>
    </row>
    <row r="9" spans="2:24" ht="90.95" customHeight="1" x14ac:dyDescent="0.3">
      <c r="B9" s="20"/>
      <c r="C9" s="20"/>
      <c r="D9" s="20"/>
      <c r="E9" s="20"/>
      <c r="F9" s="20"/>
      <c r="G9" s="153"/>
      <c r="H9" s="153"/>
      <c r="I9" s="153"/>
      <c r="V9" s="153"/>
      <c r="W9" s="153"/>
      <c r="X9" s="153"/>
    </row>
    <row r="10" spans="2:24" ht="16.5" customHeight="1" x14ac:dyDescent="0.3">
      <c r="B10" s="21"/>
      <c r="C10" s="21"/>
      <c r="D10" s="21"/>
      <c r="E10" s="21"/>
      <c r="F10" s="21"/>
      <c r="G10" s="153"/>
      <c r="H10" s="153"/>
      <c r="I10" s="153"/>
      <c r="V10" s="153"/>
      <c r="W10" s="153"/>
      <c r="X10" s="153"/>
    </row>
    <row r="11" spans="2:24" ht="17.25" customHeight="1" x14ac:dyDescent="0.3">
      <c r="B11" s="21"/>
      <c r="C11" s="21"/>
      <c r="D11" s="21"/>
      <c r="E11" s="21"/>
      <c r="F11" s="21"/>
      <c r="G11" s="153"/>
      <c r="H11" s="153"/>
      <c r="I11" s="153"/>
      <c r="V11" s="153"/>
      <c r="W11" s="153"/>
      <c r="X11" s="153"/>
    </row>
    <row r="12" spans="2:24" ht="15.95" customHeight="1" x14ac:dyDescent="0.25">
      <c r="B12" s="154"/>
      <c r="C12" s="154"/>
      <c r="D12" s="154"/>
      <c r="E12" s="154"/>
      <c r="F12" s="154"/>
    </row>
    <row r="13" spans="2:24" x14ac:dyDescent="0.25">
      <c r="B13" s="22"/>
      <c r="C13" s="22"/>
      <c r="D13" s="22"/>
      <c r="E13" s="22"/>
      <c r="F13" s="22"/>
    </row>
    <row r="14" spans="2:24" x14ac:dyDescent="0.25">
      <c r="B14" s="23"/>
      <c r="C14" s="23"/>
      <c r="D14" s="23"/>
      <c r="E14" s="23"/>
      <c r="F14" s="24"/>
    </row>
    <row r="15" spans="2:24" ht="16.5" x14ac:dyDescent="0.3">
      <c r="B15" s="21"/>
      <c r="C15" s="21"/>
      <c r="D15" s="21"/>
      <c r="E15" s="21"/>
      <c r="F15" s="21"/>
    </row>
    <row r="16" spans="2:24" ht="15.95" customHeight="1" x14ac:dyDescent="0.25">
      <c r="B16" s="154"/>
      <c r="C16" s="154"/>
      <c r="D16" s="154"/>
      <c r="E16" s="154"/>
      <c r="F16" s="154"/>
    </row>
    <row r="17" spans="2:6" x14ac:dyDescent="0.25">
      <c r="B17" s="22"/>
      <c r="C17" s="22"/>
      <c r="D17" s="22"/>
      <c r="E17" s="22"/>
      <c r="F17" s="22"/>
    </row>
    <row r="18" spans="2:6" x14ac:dyDescent="0.25">
      <c r="B18" s="23"/>
      <c r="C18" s="23"/>
      <c r="D18" s="23"/>
      <c r="E18" s="23"/>
      <c r="F18" s="24"/>
    </row>
    <row r="20" spans="2:6" x14ac:dyDescent="0.25">
      <c r="B20" s="15" t="s">
        <v>3</v>
      </c>
    </row>
    <row r="23" spans="2:6" x14ac:dyDescent="0.25">
      <c r="C23" s="25"/>
    </row>
    <row r="24" spans="2:6" x14ac:dyDescent="0.25">
      <c r="C24" s="25"/>
    </row>
    <row r="25" spans="2:6" x14ac:dyDescent="0.25">
      <c r="C25" s="25"/>
    </row>
    <row r="26" spans="2:6" x14ac:dyDescent="0.25">
      <c r="C26" s="25"/>
    </row>
    <row r="27" spans="2:6" x14ac:dyDescent="0.25">
      <c r="C27" s="25"/>
    </row>
    <row r="28" spans="2:6" x14ac:dyDescent="0.25">
      <c r="C28" s="25"/>
    </row>
    <row r="29" spans="2:6" x14ac:dyDescent="0.25">
      <c r="C29" s="25"/>
    </row>
    <row r="30" spans="2:6" x14ac:dyDescent="0.25">
      <c r="C30" s="25"/>
    </row>
    <row r="31" spans="2:6" x14ac:dyDescent="0.25">
      <c r="C31" s="25"/>
    </row>
    <row r="32" spans="2:6" x14ac:dyDescent="0.25">
      <c r="C32" s="25"/>
    </row>
    <row r="35" spans="3:11" ht="15.75" customHeight="1" x14ac:dyDescent="0.25"/>
    <row r="41" spans="3:11" ht="16.5" x14ac:dyDescent="0.25">
      <c r="D41" s="150" t="s">
        <v>4</v>
      </c>
      <c r="E41" s="150"/>
      <c r="F41" s="150"/>
      <c r="G41" s="150"/>
      <c r="H41" s="150" t="s">
        <v>5</v>
      </c>
      <c r="I41" s="150"/>
      <c r="J41" s="150"/>
      <c r="K41" s="150"/>
    </row>
    <row r="42" spans="3:11" x14ac:dyDescent="0.25">
      <c r="D42" s="26" t="s">
        <v>421</v>
      </c>
      <c r="E42" s="26" t="s">
        <v>422</v>
      </c>
      <c r="F42" s="26" t="s">
        <v>6</v>
      </c>
      <c r="G42" s="26" t="s">
        <v>7</v>
      </c>
      <c r="H42" s="26" t="s">
        <v>421</v>
      </c>
      <c r="I42" s="26" t="s">
        <v>422</v>
      </c>
      <c r="J42" s="26" t="s">
        <v>6</v>
      </c>
      <c r="K42" s="26" t="s">
        <v>7</v>
      </c>
    </row>
    <row r="43" spans="3:11" ht="16.5" x14ac:dyDescent="0.25">
      <c r="C43" s="158" t="s">
        <v>388</v>
      </c>
      <c r="D43" s="27">
        <f>COUNTIFS('SR - Android'!G5:G16,'SR - Android'!B81)</f>
        <v>1</v>
      </c>
      <c r="E43" s="27">
        <f>COUNTIFS('SR - Android'!G5:G16,'SR - Android'!B82)</f>
        <v>0</v>
      </c>
      <c r="F43" s="28">
        <f>COUNTIFS('SR - Android'!G5:G16,'SR - Android'!B83)</f>
        <v>11</v>
      </c>
      <c r="G43" s="29">
        <f t="shared" ref="G43:G50" si="0">IF(D43+E43=0, 0, D43/(E43+D43))</f>
        <v>1</v>
      </c>
      <c r="H43" s="27">
        <f>COUNTIFS('SR - iOS'!G5:G16,'SR - Android'!B81)</f>
        <v>1</v>
      </c>
      <c r="I43" s="27">
        <f>COUNTIFS('SR - iOS'!G5:G16,'SR - Android'!B82)</f>
        <v>0</v>
      </c>
      <c r="J43" s="28">
        <f>COUNTIFS('SR - iOS'!G5:G16,'SR - Android'!B83)</f>
        <v>8</v>
      </c>
      <c r="K43" s="29">
        <f t="shared" ref="K43:K50" si="1">IF(H43+I43=0, 0, H43/(H43+I43))</f>
        <v>1</v>
      </c>
    </row>
    <row r="44" spans="3:11" ht="16.5" x14ac:dyDescent="0.25">
      <c r="C44" s="158" t="s">
        <v>389</v>
      </c>
      <c r="D44" s="27">
        <f>COUNTIFS('SR - Android'!G18:G29,'SR - Android'!B81)</f>
        <v>0</v>
      </c>
      <c r="E44" s="27">
        <f>COUNTIFS('SR - Android'!G18:G29,'SR - Android'!B82)</f>
        <v>0</v>
      </c>
      <c r="F44" s="27">
        <f>COUNTIFS('SR - Android'!G18:G29,'SR - Android'!B83)</f>
        <v>5</v>
      </c>
      <c r="G44" s="29">
        <f t="shared" si="0"/>
        <v>0</v>
      </c>
      <c r="H44" s="27">
        <f>COUNTIFS('SR - iOS'!G18:G29,'SR - Android'!B81)</f>
        <v>0</v>
      </c>
      <c r="I44" s="27">
        <f>COUNTIFS('SR - iOS'!G18:G29,'SR - Android'!B82)</f>
        <v>0</v>
      </c>
      <c r="J44" s="27">
        <f>COUNTIFS('SR - iOS'!G18:G29,'SR - Android'!B83)</f>
        <v>5</v>
      </c>
      <c r="K44" s="29">
        <f t="shared" si="1"/>
        <v>0</v>
      </c>
    </row>
    <row r="45" spans="3:11" ht="16.5" x14ac:dyDescent="0.25">
      <c r="C45" s="158" t="s">
        <v>390</v>
      </c>
      <c r="D45" s="27">
        <f>COUNTIFS('SR - Android'!G31:G36,'SR - Android'!B81)</f>
        <v>0</v>
      </c>
      <c r="E45" s="27">
        <f>COUNTIFS('SR - Android'!G31:G36,'SR - Android'!B82)</f>
        <v>0</v>
      </c>
      <c r="F45" s="27">
        <f>COUNTIFS('SR - Android'!G31:G36,'SR - Android'!B83)</f>
        <v>0</v>
      </c>
      <c r="G45" s="29">
        <f t="shared" si="0"/>
        <v>0</v>
      </c>
      <c r="H45" s="27">
        <f>COUNTIFS('SR - iOS'!G31:G36,'SR - Android'!B81)</f>
        <v>0</v>
      </c>
      <c r="I45" s="27">
        <f>COUNTIFS('SR - iOS'!G31:G36,'SR - Android'!B82)</f>
        <v>0</v>
      </c>
      <c r="J45" s="27">
        <f>COUNTIFS('SR - iOS'!G31:G36,'SR - Android'!B83)</f>
        <v>0</v>
      </c>
      <c r="K45" s="29">
        <f t="shared" si="1"/>
        <v>0</v>
      </c>
    </row>
    <row r="46" spans="3:11" ht="16.5" x14ac:dyDescent="0.25">
      <c r="C46" s="158" t="s">
        <v>391</v>
      </c>
      <c r="D46" s="27">
        <f>COUNTIFS('SR - Android'!G38:G48,'SR - Android'!B81)</f>
        <v>0</v>
      </c>
      <c r="E46" s="27">
        <f>COUNTIFS('SR - Android'!G38:G48,'SR - Android'!B82)</f>
        <v>0</v>
      </c>
      <c r="F46" s="27">
        <f>COUNTIFS('SR - Android'!G38:G48,'SR - Android'!B83)</f>
        <v>4</v>
      </c>
      <c r="G46" s="29">
        <f t="shared" si="0"/>
        <v>0</v>
      </c>
      <c r="H46" s="27">
        <f>COUNTIFS('SR - iOS'!G38:G48,'SR - Android'!B81)</f>
        <v>0</v>
      </c>
      <c r="I46" s="27">
        <f>COUNTIFS('SR - iOS'!G38:G48,'SR - Android'!B82)</f>
        <v>0</v>
      </c>
      <c r="J46" s="27">
        <f>COUNTIFS('SR - iOS'!G38:G48,'SR - Android'!B83)</f>
        <v>4</v>
      </c>
      <c r="K46" s="29">
        <f t="shared" si="1"/>
        <v>0</v>
      </c>
    </row>
    <row r="47" spans="3:11" ht="16.5" x14ac:dyDescent="0.25">
      <c r="C47" s="158" t="s">
        <v>392</v>
      </c>
      <c r="D47" s="27">
        <f>COUNTIFS('SR - Android'!G50:G55,'SR - Android'!B81)</f>
        <v>0</v>
      </c>
      <c r="E47" s="27">
        <f>COUNTIFS('SR - Android'!G50:G55,'SR - Android'!B82)</f>
        <v>0</v>
      </c>
      <c r="F47" s="27">
        <f>COUNTIFS('SR - Android'!G50:G55,'SR - Android'!B83)</f>
        <v>3</v>
      </c>
      <c r="G47" s="29">
        <f t="shared" si="0"/>
        <v>0</v>
      </c>
      <c r="H47" s="27">
        <f>COUNTIFS('SR - iOS'!G50:G55,'SR - Android'!B81)</f>
        <v>0</v>
      </c>
      <c r="I47" s="27">
        <f>COUNTIFS('SR - iOS'!G50:G55,'SR - Android'!B82)</f>
        <v>0</v>
      </c>
      <c r="J47" s="27">
        <f>COUNTIFS('SR - iOS'!G50:G55,'SR - Android'!B83)</f>
        <v>3</v>
      </c>
      <c r="K47" s="29">
        <f t="shared" si="1"/>
        <v>0</v>
      </c>
    </row>
    <row r="48" spans="3:11" ht="16.5" x14ac:dyDescent="0.25">
      <c r="C48" s="158" t="s">
        <v>393</v>
      </c>
      <c r="D48" s="27">
        <f>COUNTIFS('SR - Android'!G57:G64,'SR - Android'!B81)</f>
        <v>0</v>
      </c>
      <c r="E48" s="27">
        <f>COUNTIFS('SR - Android'!G57:G64,'SR - Android'!B82)</f>
        <v>0</v>
      </c>
      <c r="F48" s="27">
        <f>COUNTIFS('SR - Android'!G57:G64,'SR - Android'!B83)</f>
        <v>0</v>
      </c>
      <c r="G48" s="29">
        <f t="shared" si="0"/>
        <v>0</v>
      </c>
      <c r="H48" s="27">
        <f>COUNTIFS('SR - iOS'!G57:G64,'SR - Android'!B81)</f>
        <v>0</v>
      </c>
      <c r="I48" s="27">
        <f>COUNTIFS('SR - iOS'!G57:G64,'SR - Android'!B82)</f>
        <v>0</v>
      </c>
      <c r="J48" s="27">
        <f>COUNTIFS('SR - iOS'!G57:G64,'SR - Android'!B83)</f>
        <v>0</v>
      </c>
      <c r="K48" s="29">
        <f t="shared" si="1"/>
        <v>0</v>
      </c>
    </row>
    <row r="49" spans="3:11" ht="16.5" x14ac:dyDescent="0.25">
      <c r="C49" s="158" t="s">
        <v>394</v>
      </c>
      <c r="D49" s="27">
        <f>COUNTIFS('SR - Android'!G66:G74,'SR - Android'!B81)</f>
        <v>0</v>
      </c>
      <c r="E49" s="27">
        <f>COUNTIFS('SR - Android'!G66:G74,'SR - Android'!B82)</f>
        <v>0</v>
      </c>
      <c r="F49" s="27">
        <f>COUNTIFS('SR - Android'!G66:G74,'SR - Android'!B83)</f>
        <v>0</v>
      </c>
      <c r="G49" s="29">
        <f t="shared" si="0"/>
        <v>0</v>
      </c>
      <c r="H49" s="27">
        <f>COUNTIFS('SR - iOS'!G66:G74,'SR - Android'!B81)</f>
        <v>0</v>
      </c>
      <c r="I49" s="27">
        <f>COUNTIFS('SR - iOS'!G66:G74,'SR - Android'!B82)</f>
        <v>0</v>
      </c>
      <c r="J49" s="27">
        <f>COUNTIFS('SR - iOS'!G66:G74,'SR - Android'!B83)</f>
        <v>0</v>
      </c>
      <c r="K49" s="29">
        <f t="shared" si="1"/>
        <v>0</v>
      </c>
    </row>
    <row r="50" spans="3:11" ht="16.5" x14ac:dyDescent="0.25">
      <c r="C50" s="158" t="s">
        <v>395</v>
      </c>
      <c r="D50" s="27">
        <f>COUNTIFS('RE - Android'!F4:F18,'SR - Android'!B81)</f>
        <v>0</v>
      </c>
      <c r="E50" s="27">
        <f>COUNTIFS('RE - Android'!F4:F18,'SR - Android'!B82)</f>
        <v>0</v>
      </c>
      <c r="F50" s="27">
        <f>COUNTIFS('RE - Android'!F4:F18,'SR - Android'!B83)</f>
        <v>12</v>
      </c>
      <c r="G50" s="29">
        <f t="shared" si="0"/>
        <v>0</v>
      </c>
      <c r="H50" s="27">
        <f>COUNTIFS('RE - iOS'!F4:F18,'SR - Android'!B81)</f>
        <v>0</v>
      </c>
      <c r="I50" s="27">
        <f>COUNTIFS('RE - iOS'!F4:F18,'SR - Android'!B82)</f>
        <v>0</v>
      </c>
      <c r="J50" s="27">
        <f>COUNTIFS('RE - iOS'!F4:F18,'SR - Android'!B83)</f>
        <v>12</v>
      </c>
      <c r="K50" s="29">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87"/>
  <sheetViews>
    <sheetView tabSelected="1" topLeftCell="A13" zoomScaleNormal="100" workbookViewId="0">
      <selection activeCell="D21" sqref="D21"/>
    </sheetView>
  </sheetViews>
  <sheetFormatPr defaultColWidth="8.875" defaultRowHeight="15.75" x14ac:dyDescent="0.25"/>
  <cols>
    <col min="1" max="1" width="1.875" style="30" customWidth="1"/>
    <col min="2" max="2" width="8" style="31" customWidth="1"/>
    <col min="3" max="3" width="17.875" style="31" customWidth="1"/>
    <col min="4" max="4" width="97.375" style="32" customWidth="1"/>
    <col min="5" max="6" width="6.625" style="30" customWidth="1"/>
    <col min="7" max="7" width="5.875" style="30" customWidth="1"/>
    <col min="8" max="8" width="35.375" customWidth="1"/>
    <col min="9" max="10" width="29.5" customWidth="1"/>
    <col min="11" max="11" width="28.75" customWidth="1"/>
    <col min="12" max="12" width="30.875" style="32" customWidth="1"/>
    <col min="13" max="13" width="11" style="30" customWidth="1"/>
    <col min="14" max="15" width="10.875" style="30" customWidth="1"/>
    <col min="16" max="1026" width="11" style="30" customWidth="1"/>
  </cols>
  <sheetData>
    <row r="1" spans="2:12" ht="18.75" x14ac:dyDescent="0.25">
      <c r="B1" s="155" t="s">
        <v>385</v>
      </c>
      <c r="C1" s="155"/>
      <c r="D1" s="155"/>
      <c r="E1" s="155"/>
      <c r="F1" s="155"/>
      <c r="G1" s="155"/>
      <c r="H1" s="155"/>
      <c r="I1" s="155"/>
      <c r="J1" s="155"/>
      <c r="K1" s="155"/>
      <c r="L1" s="155"/>
    </row>
    <row r="2" spans="2:12" x14ac:dyDescent="0.25">
      <c r="B2" s="33"/>
      <c r="C2" s="33"/>
      <c r="D2" s="34"/>
      <c r="E2" s="35"/>
      <c r="F2" s="35"/>
      <c r="G2" s="35"/>
      <c r="H2" s="36"/>
      <c r="I2" s="36"/>
      <c r="J2" s="36"/>
      <c r="K2" s="36"/>
      <c r="L2" s="34"/>
    </row>
    <row r="3" spans="2:12" ht="15.6" customHeight="1" x14ac:dyDescent="0.25">
      <c r="B3" s="37" t="s">
        <v>8</v>
      </c>
      <c r="C3" s="38" t="s">
        <v>9</v>
      </c>
      <c r="D3" s="39" t="s">
        <v>400</v>
      </c>
      <c r="E3" s="40" t="s">
        <v>402</v>
      </c>
      <c r="F3" s="40" t="s">
        <v>403</v>
      </c>
      <c r="G3" s="40" t="s">
        <v>404</v>
      </c>
      <c r="H3" s="159" t="s">
        <v>418</v>
      </c>
      <c r="I3" s="159"/>
      <c r="J3" s="159"/>
      <c r="K3" s="41" t="s">
        <v>419</v>
      </c>
      <c r="L3" s="139" t="s">
        <v>420</v>
      </c>
    </row>
    <row r="4" spans="2:12" x14ac:dyDescent="0.25">
      <c r="B4" s="43" t="s">
        <v>15</v>
      </c>
      <c r="C4" s="44"/>
      <c r="D4" s="45" t="s">
        <v>401</v>
      </c>
      <c r="E4" s="46"/>
      <c r="F4" s="46"/>
      <c r="G4" s="46"/>
      <c r="H4" s="45"/>
      <c r="I4" s="45"/>
      <c r="J4" s="45"/>
      <c r="K4" s="47"/>
      <c r="L4" s="48"/>
    </row>
    <row r="5" spans="2:12" ht="31.5" x14ac:dyDescent="0.25">
      <c r="B5" s="49" t="s">
        <v>16</v>
      </c>
      <c r="C5" s="50" t="s">
        <v>17</v>
      </c>
      <c r="D5" s="135" t="s">
        <v>398</v>
      </c>
      <c r="E5" s="52" t="s">
        <v>18</v>
      </c>
      <c r="F5" s="53" t="s">
        <v>18</v>
      </c>
      <c r="G5" s="54" t="s">
        <v>149</v>
      </c>
      <c r="H5" s="161" t="str">
        <f>HYPERLINK(CONCATENATE( BASE_URL, "0x04b-Mobile-App-Security-Testing.md#architectural-information"), "架构信息")</f>
        <v>架构信息</v>
      </c>
      <c r="I5" s="161" t="str">
        <f>HYPERLINK(CONCATENATE( BASE_URL, "0x05h-Testing-Platform-Interaction.md#testing-for-insecure-configuration-of-instant-apps-mstg-arch-1-mstg-arch-7"), "测试即时应用程序的不安全配置 (MSTG-ARCH-1, MSTG-ARCH-7)")</f>
        <v>测试即时应用程序的不安全配置 (MSTG-ARCH-1, MSTG-ARCH-7)</v>
      </c>
      <c r="J5" s="161"/>
      <c r="K5" s="164"/>
      <c r="L5" s="56"/>
    </row>
    <row r="6" spans="2:12" ht="47.25" x14ac:dyDescent="0.25">
      <c r="B6" s="49" t="s">
        <v>19</v>
      </c>
      <c r="C6" s="50" t="s">
        <v>20</v>
      </c>
      <c r="D6" s="135" t="s">
        <v>396</v>
      </c>
      <c r="E6" s="52" t="s">
        <v>18</v>
      </c>
      <c r="F6" s="53" t="s">
        <v>18</v>
      </c>
      <c r="G6" s="54" t="s">
        <v>27</v>
      </c>
      <c r="H6" s="161" t="str">
        <f>HYPERLINK(CONCATENATE( BASE_URL, "0x04h-Testing-Code-Quality.md#injection-flaws-mstg-arch-2-and-mstg-platform-2"), "注入缺陷 (MSTG-ARCH-2 and MSTG-PLATFORM-2)")</f>
        <v>注入缺陷 (MSTG-ARCH-2 and MSTG-PLATFORM-2)</v>
      </c>
      <c r="I6" s="16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61"/>
      <c r="K6" s="164"/>
      <c r="L6" s="56"/>
    </row>
    <row r="7" spans="2:12" ht="45" x14ac:dyDescent="0.25">
      <c r="B7" s="49" t="s">
        <v>21</v>
      </c>
      <c r="C7" s="50" t="s">
        <v>22</v>
      </c>
      <c r="D7" s="135" t="s">
        <v>397</v>
      </c>
      <c r="E7" s="52" t="s">
        <v>18</v>
      </c>
      <c r="F7" s="53" t="s">
        <v>18</v>
      </c>
      <c r="G7" s="54" t="s">
        <v>27</v>
      </c>
      <c r="H7" s="161" t="str">
        <f>HYPERLINK(CONCATENATE( BASE_URL, "0x04b-Mobile-App-Security-Testing.md#architectural-information"), "架构信息")</f>
        <v>架构信息</v>
      </c>
      <c r="I7" s="161"/>
      <c r="J7" s="161"/>
      <c r="K7" s="164"/>
      <c r="L7" s="56"/>
    </row>
    <row r="8" spans="2:12" ht="30" x14ac:dyDescent="0.25">
      <c r="B8" s="49" t="s">
        <v>23</v>
      </c>
      <c r="C8" s="50" t="s">
        <v>24</v>
      </c>
      <c r="D8" s="135" t="s">
        <v>399</v>
      </c>
      <c r="E8" s="52" t="s">
        <v>18</v>
      </c>
      <c r="F8" s="53" t="s">
        <v>18</v>
      </c>
      <c r="G8" s="54" t="s">
        <v>27</v>
      </c>
      <c r="H8" s="161" t="str">
        <f>HYPERLINK(CONCATENATE( BASE_URL, "0x04b-Mobile-App-Security-Testing.md#identifying-sensitive-data"), "识别敏感信息")</f>
        <v>识别敏感信息</v>
      </c>
      <c r="I8" s="161"/>
      <c r="J8" s="161"/>
      <c r="K8" s="164"/>
      <c r="L8" s="56"/>
    </row>
    <row r="9" spans="2:12" ht="30" x14ac:dyDescent="0.25">
      <c r="B9" s="49" t="s">
        <v>25</v>
      </c>
      <c r="C9" s="50" t="s">
        <v>26</v>
      </c>
      <c r="D9" s="135" t="s">
        <v>405</v>
      </c>
      <c r="E9" s="59"/>
      <c r="F9" s="53" t="s">
        <v>18</v>
      </c>
      <c r="G9" s="54" t="s">
        <v>27</v>
      </c>
      <c r="H9" s="161" t="str">
        <f>HYPERLINK(CONCATENATE( BASE_URL, "0x04b-Mobile-App-Security-Testing.md#environmental-information"), "运行环境信息")</f>
        <v>运行环境信息</v>
      </c>
      <c r="I9" s="161"/>
      <c r="J9" s="161"/>
      <c r="K9" s="164"/>
      <c r="L9" s="56"/>
    </row>
    <row r="10" spans="2:12" ht="45" x14ac:dyDescent="0.25">
      <c r="B10" s="49" t="s">
        <v>28</v>
      </c>
      <c r="C10" s="50" t="s">
        <v>29</v>
      </c>
      <c r="D10" s="135" t="s">
        <v>406</v>
      </c>
      <c r="E10" s="59"/>
      <c r="F10" s="53" t="s">
        <v>18</v>
      </c>
      <c r="G10" s="54" t="s">
        <v>27</v>
      </c>
      <c r="H10" s="161" t="str">
        <f>HYPERLINK(CONCATENATE( BASE_URL, "0x04b-Mobile-App-Security-Testing.md#mapping-the-application"), "应用关联")</f>
        <v>应用关联</v>
      </c>
      <c r="I10" s="161"/>
      <c r="J10" s="161"/>
      <c r="K10" s="164"/>
      <c r="L10" s="56"/>
    </row>
    <row r="11" spans="2:12" ht="31.5" x14ac:dyDescent="0.25">
      <c r="B11" s="49" t="s">
        <v>30</v>
      </c>
      <c r="C11" s="50" t="s">
        <v>31</v>
      </c>
      <c r="D11" s="135" t="s">
        <v>407</v>
      </c>
      <c r="E11" s="59"/>
      <c r="F11" s="53" t="s">
        <v>18</v>
      </c>
      <c r="G11" s="54" t="s">
        <v>27</v>
      </c>
      <c r="H11" s="161" t="str">
        <f>HYPERLINK(CONCATENATE(BASE_URL,"0x05h-Testing-Platform-Interaction.md#testing-for-insecure-configuration-of-instant-apps-mstg-arch-1-mstg-arch-7"),"测试即时应用程序的不安全配置 (MSTG-ARCH-1, MSTG-ARCH-7)")</f>
        <v>测试即时应用程序的不安全配置 (MSTG-ARCH-1, MSTG-ARCH-7)</v>
      </c>
      <c r="I11" s="161" t="str">
        <f>HYPERLINK(CONCATENATE( BASE_URL, "0x04b-Mobile-App-Security-Testing.md#principles-of-testing"), "测试原则")</f>
        <v>测试原则</v>
      </c>
      <c r="J11" s="75" t="str">
        <f>HYPERLINK(CONCATENATE( BASE_URL, "0x04b-Mobile-App-Security-Testing.md#penetration-testing-aka-pentesting"), "渗透测试 (a.k.a. Pentesting)")</f>
        <v>渗透测试 (a.k.a. Pentesting)</v>
      </c>
      <c r="K11" s="164"/>
      <c r="L11" s="56"/>
    </row>
    <row r="12" spans="2:12" ht="45" x14ac:dyDescent="0.25">
      <c r="B12" s="49" t="s">
        <v>32</v>
      </c>
      <c r="C12" s="50" t="s">
        <v>33</v>
      </c>
      <c r="D12" s="135" t="s">
        <v>408</v>
      </c>
      <c r="E12" s="59"/>
      <c r="F12" s="53" t="s">
        <v>18</v>
      </c>
      <c r="G12" s="54" t="s">
        <v>27</v>
      </c>
      <c r="H12" s="161" t="str">
        <f>HYPERLINK(CONCATENATE( BASE_URL, "0x04g-Testing-Cryptography.md#cryptographic-policy"), "加密策略")</f>
        <v>加密策略</v>
      </c>
      <c r="I12" s="161"/>
      <c r="J12" s="161"/>
      <c r="K12" s="164"/>
      <c r="L12" s="56"/>
    </row>
    <row r="13" spans="2:12" x14ac:dyDescent="0.25">
      <c r="B13" s="49" t="s">
        <v>34</v>
      </c>
      <c r="C13" s="50" t="s">
        <v>35</v>
      </c>
      <c r="D13" s="135" t="s">
        <v>409</v>
      </c>
      <c r="E13" s="59"/>
      <c r="F13" s="53" t="s">
        <v>18</v>
      </c>
      <c r="G13" s="54" t="s">
        <v>27</v>
      </c>
      <c r="H13" s="161" t="str">
        <f>HYPERLINK(CONCATENATE( BASE_URL, "0x05h-Testing-Platform-Interaction.md#testing-enforced-updating-mstg-arch-9"), "强制更新测试 (MSTG-ARCH-9)")</f>
        <v>强制更新测试 (MSTG-ARCH-9)</v>
      </c>
      <c r="I13" s="161"/>
      <c r="J13" s="161"/>
      <c r="K13" s="164"/>
      <c r="L13" s="56"/>
    </row>
    <row r="14" spans="2:12" ht="30" x14ac:dyDescent="0.25">
      <c r="B14" s="49" t="s">
        <v>36</v>
      </c>
      <c r="C14" s="50" t="s">
        <v>37</v>
      </c>
      <c r="D14" s="135" t="s">
        <v>410</v>
      </c>
      <c r="E14" s="59"/>
      <c r="F14" s="53" t="s">
        <v>18</v>
      </c>
      <c r="G14" s="54" t="s">
        <v>27</v>
      </c>
      <c r="H14" s="161" t="str">
        <f>HYPERLINK(CONCATENATE( BASE_URL, "0x04b-Mobile-App-Security-Testing.md#security-testing-and-the-sdlc"), "安全测试 和 软件开发生命周期")</f>
        <v>安全测试 和 软件开发生命周期</v>
      </c>
      <c r="I14" s="161"/>
      <c r="J14" s="161"/>
      <c r="K14" s="164"/>
      <c r="L14" s="56"/>
    </row>
    <row r="15" spans="2:12" x14ac:dyDescent="0.25">
      <c r="B15" s="49" t="s">
        <v>411</v>
      </c>
      <c r="C15" s="50" t="s">
        <v>413</v>
      </c>
      <c r="D15" s="135" t="s">
        <v>415</v>
      </c>
      <c r="E15" s="59"/>
      <c r="F15" s="53" t="s">
        <v>18</v>
      </c>
      <c r="G15" s="54" t="s">
        <v>27</v>
      </c>
      <c r="H15" s="161"/>
      <c r="I15" s="161"/>
      <c r="J15" s="161"/>
      <c r="K15" s="164"/>
      <c r="L15" s="77"/>
    </row>
    <row r="16" spans="2:12" x14ac:dyDescent="0.25">
      <c r="B16" s="49" t="s">
        <v>412</v>
      </c>
      <c r="C16" s="50" t="s">
        <v>414</v>
      </c>
      <c r="D16" s="135" t="s">
        <v>416</v>
      </c>
      <c r="E16" s="59"/>
      <c r="F16" s="53" t="s">
        <v>18</v>
      </c>
      <c r="G16" s="54" t="s">
        <v>27</v>
      </c>
      <c r="H16" s="161"/>
      <c r="I16" s="161"/>
      <c r="J16" s="161"/>
      <c r="K16" s="164" t="s">
        <v>417</v>
      </c>
      <c r="L16" s="77"/>
    </row>
    <row r="17" spans="2:12" x14ac:dyDescent="0.25">
      <c r="B17" s="60" t="s">
        <v>38</v>
      </c>
      <c r="C17" s="61"/>
      <c r="D17" s="62" t="s">
        <v>423</v>
      </c>
      <c r="E17" s="63"/>
      <c r="F17" s="64"/>
      <c r="G17" s="63"/>
      <c r="H17" s="65"/>
      <c r="I17" s="63"/>
      <c r="J17" s="63"/>
      <c r="K17" s="63"/>
      <c r="L17" s="76"/>
    </row>
    <row r="18" spans="2:12" ht="47.25" x14ac:dyDescent="0.25">
      <c r="B18" s="49" t="s">
        <v>39</v>
      </c>
      <c r="C18" s="50" t="s">
        <v>40</v>
      </c>
      <c r="D18" s="135" t="s">
        <v>424</v>
      </c>
      <c r="E18" s="52" t="s">
        <v>18</v>
      </c>
      <c r="F18" s="53" t="s">
        <v>18</v>
      </c>
      <c r="G18" s="54"/>
      <c r="H18" s="161" t="str">
        <f>HYPERLINK(CONCATENATE(BASE_URL,"0x05d-Testing-Data-Storage.md#testing-local-storage-for-sensitive-data-mstg-storage-1-and-mstg-storage-2"),"本地存储中的敏感数据测试 (MSTG-STORAGE-1 and MSTG-STORAGE-2)")</f>
        <v>本地存储中的敏感数据测试 (MSTG-STORAGE-1 and MSTG-STORAGE-2)</v>
      </c>
      <c r="I18" s="161" t="str">
        <f>HYPERLINK(CONCATENATE(BASE_URL,"0x05e-Testing-Cryptography.md#testing-key-management-mstg-storage-1-mstg-crypto-1-and-mstg-crypto-5"),"测试密钥管理 (MSTG-STORAGE-1, MSTG-CRYPTO-1 and MSTG-CRYPTO-5)")</f>
        <v>测试密钥管理 (MSTG-STORAGE-1, MSTG-CRYPTO-1 and MSTG-CRYPTO-5)</v>
      </c>
      <c r="J18" s="161"/>
      <c r="K18" s="164"/>
      <c r="L18" s="56"/>
    </row>
    <row r="19" spans="2:12" ht="31.5" x14ac:dyDescent="0.25">
      <c r="B19" s="49" t="s">
        <v>41</v>
      </c>
      <c r="C19" s="50" t="s">
        <v>42</v>
      </c>
      <c r="D19" s="135" t="s">
        <v>425</v>
      </c>
      <c r="E19" s="52"/>
      <c r="F19" s="53"/>
      <c r="G19" s="54"/>
      <c r="H19" s="161" t="str">
        <f>HYPERLINK(CONCATENATE(BASE_URL,"0x05d-Testing-Data-Storage.md#testing-local-storage-for-sensitive-data-mstg-storage-1-and-mstg-storage-2"),"本地存储中的敏感数据测试 (MSTG-STORAGE-1 and MSTG-STORAGE-2)")</f>
        <v>本地存储中的敏感数据测试 (MSTG-STORAGE-1 and MSTG-STORAGE-2)</v>
      </c>
      <c r="I19" s="161"/>
      <c r="J19" s="161"/>
      <c r="K19" s="164"/>
      <c r="L19" s="72"/>
    </row>
    <row r="20" spans="2:12" ht="31.5" x14ac:dyDescent="0.25">
      <c r="B20" s="49" t="s">
        <v>43</v>
      </c>
      <c r="C20" s="50" t="s">
        <v>44</v>
      </c>
      <c r="D20" s="135" t="s">
        <v>426</v>
      </c>
      <c r="E20" s="52" t="s">
        <v>18</v>
      </c>
      <c r="F20" s="53" t="s">
        <v>18</v>
      </c>
      <c r="G20" s="54"/>
      <c r="H20" s="161" t="str">
        <f>HYPERLINK(CONCATENATE(BASE_URL,"0x05d-Testing-Data-Storage.md#testing-logs-for-sensitive-data-mstg-storage-3"),"日志中获取敏感数据测试 (MSTG-STORAGE-3)")</f>
        <v>日志中获取敏感数据测试 (MSTG-STORAGE-3)</v>
      </c>
      <c r="I20" s="161"/>
      <c r="J20" s="161"/>
      <c r="K20" s="164"/>
      <c r="L20" s="56"/>
    </row>
    <row r="21" spans="2:12" ht="31.5" x14ac:dyDescent="0.25">
      <c r="B21" s="49" t="s">
        <v>45</v>
      </c>
      <c r="C21" s="50" t="s">
        <v>46</v>
      </c>
      <c r="D21" s="135" t="s">
        <v>266</v>
      </c>
      <c r="E21" s="52" t="s">
        <v>18</v>
      </c>
      <c r="F21" s="53" t="s">
        <v>18</v>
      </c>
      <c r="G21" s="54"/>
      <c r="H21" s="161" t="str">
        <f>HYPERLINK(CONCATENATE(BASE_URL,"0x05d-Testing-Data-Storage.md#determining-whether-sensitive-data-is-sent-to-third-parties-mstg-storage-4"),"确定是否将敏感数据发送给第三方 (MSTG-STORAGE-4)")</f>
        <v>确定是否将敏感数据发送给第三方 (MSTG-STORAGE-4)</v>
      </c>
      <c r="I21" s="161"/>
      <c r="J21" s="161"/>
      <c r="K21" s="164"/>
      <c r="L21" s="56"/>
    </row>
    <row r="22" spans="2:12" ht="31.5" x14ac:dyDescent="0.25">
      <c r="B22" s="49" t="s">
        <v>47</v>
      </c>
      <c r="C22" s="50" t="s">
        <v>48</v>
      </c>
      <c r="D22" s="160" t="s">
        <v>267</v>
      </c>
      <c r="E22" s="52" t="s">
        <v>18</v>
      </c>
      <c r="F22" s="53" t="s">
        <v>18</v>
      </c>
      <c r="G22" s="54"/>
      <c r="H22" s="161"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61"/>
      <c r="J22" s="161"/>
      <c r="K22" s="164"/>
      <c r="L22" s="56"/>
    </row>
    <row r="23" spans="2:12" ht="31.5" x14ac:dyDescent="0.25">
      <c r="B23" s="49" t="s">
        <v>49</v>
      </c>
      <c r="C23" s="50" t="s">
        <v>50</v>
      </c>
      <c r="D23" s="160" t="s">
        <v>268</v>
      </c>
      <c r="E23" s="52" t="s">
        <v>18</v>
      </c>
      <c r="F23" s="53" t="s">
        <v>18</v>
      </c>
      <c r="G23" s="54"/>
      <c r="H23" s="161"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61"/>
      <c r="J23" s="161"/>
      <c r="K23" s="164"/>
      <c r="L23" s="56"/>
    </row>
    <row r="24" spans="2:12" ht="31.5" x14ac:dyDescent="0.25">
      <c r="B24" s="49" t="s">
        <v>51</v>
      </c>
      <c r="C24" s="50" t="s">
        <v>52</v>
      </c>
      <c r="D24" s="160" t="s">
        <v>269</v>
      </c>
      <c r="E24" s="52" t="s">
        <v>18</v>
      </c>
      <c r="F24" s="53" t="s">
        <v>18</v>
      </c>
      <c r="G24" s="54"/>
      <c r="H24" s="161" t="str">
        <f>HYPERLINK(CONCATENATE(BASE_URL,"0x05d-Testing-Data-Storage.md#checking-for-sensitive-data-disclosure-through-the-user-interface-mstg-storage-7"),"通过用户界面检查敏感数据披露 (MSTG-STORAGE-7)")</f>
        <v>通过用户界面检查敏感数据披露 (MSTG-STORAGE-7)</v>
      </c>
      <c r="I24" s="161"/>
      <c r="J24" s="161"/>
      <c r="K24" s="164"/>
      <c r="L24" s="56"/>
    </row>
    <row r="25" spans="2:12" ht="31.5" x14ac:dyDescent="0.25">
      <c r="B25" s="49" t="s">
        <v>53</v>
      </c>
      <c r="C25" s="50" t="s">
        <v>54</v>
      </c>
      <c r="D25" s="160" t="s">
        <v>270</v>
      </c>
      <c r="E25" s="74"/>
      <c r="F25" s="53" t="s">
        <v>18</v>
      </c>
      <c r="G25" s="54" t="s">
        <v>27</v>
      </c>
      <c r="H25" s="161" t="str">
        <f>HYPERLINK(CONCATENATE(BASE_URL,"0x05d-Testing-Data-Storage.md#testing-backups-for-sensitive-data-mstg-storage-8"),"备份中获取敏感数据测试 (MSTG-STORAGE-8)")</f>
        <v>备份中获取敏感数据测试 (MSTG-STORAGE-8)</v>
      </c>
      <c r="I25" s="161"/>
      <c r="J25" s="161"/>
      <c r="K25" s="164"/>
      <c r="L25" s="56"/>
    </row>
    <row r="26" spans="2:12" ht="31.5" x14ac:dyDescent="0.25">
      <c r="B26" s="49" t="s">
        <v>55</v>
      </c>
      <c r="C26" s="50" t="s">
        <v>56</v>
      </c>
      <c r="D26" s="160" t="s">
        <v>271</v>
      </c>
      <c r="E26" s="74"/>
      <c r="F26" s="53" t="s">
        <v>18</v>
      </c>
      <c r="G26" s="54" t="s">
        <v>27</v>
      </c>
      <c r="H26" s="161" t="str">
        <f>HYPERLINK(CONCATENATE(BASE_URL,"0x05d-Testing-Data-Storage.md#finding-sensitive-information-in-auto-generated-screenshots-mstg-storage-9"),"在自动生成的屏幕截图中查找敏感信息 (MSTG-STORAGE-9)")</f>
        <v>在自动生成的屏幕截图中查找敏感信息 (MSTG-STORAGE-9)</v>
      </c>
      <c r="I26" s="161"/>
      <c r="J26" s="161"/>
      <c r="K26" s="164"/>
      <c r="L26" s="56"/>
    </row>
    <row r="27" spans="2:12" ht="31.5" x14ac:dyDescent="0.25">
      <c r="B27" s="49" t="s">
        <v>57</v>
      </c>
      <c r="C27" s="50" t="s">
        <v>58</v>
      </c>
      <c r="D27" s="160" t="s">
        <v>272</v>
      </c>
      <c r="E27" s="74"/>
      <c r="F27" s="53" t="s">
        <v>18</v>
      </c>
      <c r="G27" s="54" t="s">
        <v>27</v>
      </c>
      <c r="H27" s="161" t="str">
        <f>HYPERLINK(CONCATENATE(BASE_URL,"0x05d-Testing-Data-Storage.md#checking-memory-for-sensitive-data-mstg-storage-10"),"检查内存中的敏感数据 (MSTG-STORAGE-10)")</f>
        <v>检查内存中的敏感数据 (MSTG-STORAGE-10)</v>
      </c>
      <c r="I27" s="161"/>
      <c r="J27" s="161"/>
      <c r="K27" s="164"/>
      <c r="L27" s="56"/>
    </row>
    <row r="28" spans="2:12" ht="31.5" x14ac:dyDescent="0.25">
      <c r="B28" s="49" t="s">
        <v>59</v>
      </c>
      <c r="C28" s="50" t="s">
        <v>60</v>
      </c>
      <c r="D28" s="160" t="s">
        <v>273</v>
      </c>
      <c r="E28" s="74"/>
      <c r="F28" s="53" t="s">
        <v>18</v>
      </c>
      <c r="G28" s="54" t="s">
        <v>27</v>
      </c>
      <c r="H28" s="161" t="str">
        <f>HYPERLINK(CONCATENATE(BASE_URL,"0x05d-Testing-Data-Storage.md#testing-the-device-access-security-policy-mstg-storage-11"),"设备访问安全策略测试 (MSTG-STORAGE-11)")</f>
        <v>设备访问安全策略测试 (MSTG-STORAGE-11)</v>
      </c>
      <c r="I28" s="161" t="str">
        <f>HYPERLINK(CONCATENATE(BASE_URL,"0x05f-Testing-Local-Authentication.md#testing-confirm-credentials-mstg-auth-1-and-mstg-storage-11"),"测试确认凭证 (MSTG-AUTH-1 and MSTG-STORAGE-11)")</f>
        <v>测试确认凭证 (MSTG-AUTH-1 and MSTG-STORAGE-11)</v>
      </c>
      <c r="J28" s="161"/>
      <c r="K28" s="164"/>
      <c r="L28" s="56"/>
    </row>
    <row r="29" spans="2:12" ht="30" x14ac:dyDescent="0.25">
      <c r="B29" s="49" t="s">
        <v>61</v>
      </c>
      <c r="C29" s="50" t="s">
        <v>62</v>
      </c>
      <c r="D29" s="135" t="s">
        <v>274</v>
      </c>
      <c r="E29" s="74"/>
      <c r="F29" s="53" t="s">
        <v>18</v>
      </c>
      <c r="G29" s="54" t="s">
        <v>27</v>
      </c>
      <c r="H29" s="161" t="str">
        <f>HYPERLINK(CONCATENATE(BASE_URL,"0x04i-Testing-user-interaction.md#testing-user-education-mstg-storage-12"),"用户教育测试 (MSTG-STORAGE-12)")</f>
        <v>用户教育测试 (MSTG-STORAGE-12)</v>
      </c>
      <c r="I29" s="161"/>
      <c r="J29" s="161"/>
      <c r="K29" s="164"/>
      <c r="L29" s="56"/>
    </row>
    <row r="30" spans="2:12" x14ac:dyDescent="0.25">
      <c r="B30" s="60" t="s">
        <v>63</v>
      </c>
      <c r="C30" s="61"/>
      <c r="D30" s="62" t="s">
        <v>275</v>
      </c>
      <c r="E30" s="63"/>
      <c r="F30" s="64"/>
      <c r="G30" s="63"/>
      <c r="H30" s="65"/>
      <c r="I30" s="63"/>
      <c r="J30" s="63"/>
      <c r="K30" s="63"/>
      <c r="L30" s="76"/>
    </row>
    <row r="31" spans="2:12" ht="47.25" x14ac:dyDescent="0.25">
      <c r="B31" s="49" t="s">
        <v>64</v>
      </c>
      <c r="C31" s="50" t="s">
        <v>65</v>
      </c>
      <c r="D31" s="160" t="s">
        <v>276</v>
      </c>
      <c r="E31" s="52" t="s">
        <v>18</v>
      </c>
      <c r="F31" s="53" t="s">
        <v>18</v>
      </c>
      <c r="G31" s="54"/>
      <c r="H31" s="161" t="str">
        <f>HYPERLINK(CONCATENATE(BASE_URL,"0x05e-Testing-Cryptography.md#testing-key-management-mstg-storage-1-mstg-crypto-1-and-mstg-crypto-5"),"测试密钥管理 (MSTG-STORAGE-1, MSTG-CRYPTO-1 and MSTG-CRYPTO-5)")</f>
        <v>测试密钥管理 (MSTG-STORAGE-1, MSTG-CRYPTO-1 and MSTG-CRYPTO-5)</v>
      </c>
      <c r="I31" s="161" t="str">
        <f>HYPERLINK(CONCATENATE(BASE_URL,"0x04g-Testing-Cryptography.md#common-configuration-issues-mstg-crypto-1-mstg-crypto-2-and-mstg-crypto-3"),"常见配置问题 (MSTG-CRYPTO-1, MSTG-CRYPTO-2 and MSTG-CRYPTO-3)")</f>
        <v>常见配置问题 (MSTG-CRYPTO-1, MSTG-CRYPTO-2 and MSTG-CRYPTO-3)</v>
      </c>
      <c r="J31" s="161"/>
      <c r="K31" s="164"/>
      <c r="L31" s="56"/>
    </row>
    <row r="32" spans="2:12" ht="47.25" x14ac:dyDescent="0.25">
      <c r="B32" s="49" t="s">
        <v>66</v>
      </c>
      <c r="C32" s="50" t="s">
        <v>67</v>
      </c>
      <c r="D32" s="160" t="s">
        <v>277</v>
      </c>
      <c r="E32" s="52" t="s">
        <v>18</v>
      </c>
      <c r="F32" s="53" t="s">
        <v>18</v>
      </c>
      <c r="G32" s="54"/>
      <c r="H32" s="161" t="str">
        <f>HYPERLINK(CONCATENATE(BASE_URL,"0x04g-Testing-Cryptography.md#common-configuration-issues-mstg-crypto-1-mstg-crypto-2-and-mstg-crypto-3"),"常见配置问题 (MSTG-CRYPTO-1, MSTG-CRYPTO-2 and MSTG-CRYPTO-3)")</f>
        <v>常见配置问题 (MSTG-CRYPTO-1, MSTG-CRYPTO-2 and MSTG-CRYPTO-3)</v>
      </c>
      <c r="I32"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2" s="161"/>
      <c r="K32" s="164"/>
      <c r="L32" s="56"/>
    </row>
    <row r="33" spans="2:14" ht="47.25" x14ac:dyDescent="0.25">
      <c r="B33" s="49" t="s">
        <v>68</v>
      </c>
      <c r="C33" s="50" t="s">
        <v>69</v>
      </c>
      <c r="D33" s="135" t="s">
        <v>278</v>
      </c>
      <c r="E33" s="52" t="s">
        <v>18</v>
      </c>
      <c r="F33" s="53" t="s">
        <v>18</v>
      </c>
      <c r="G33" s="54"/>
      <c r="H33"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3" s="161" t="str">
        <f>HYPERLINK(CONCATENATE(BASE_URL,"0x04g-Testing-Cryptography.md#common-configuration-issues-mstg-crypto-1-mstg-crypto-2-and-mstg-crypto-3"),"常见配置问题 (MSTG-CRYPTO-1, MSTG-CRYPTO-2 and MSTG-CRYPTO-3)")</f>
        <v>常见配置问题 (MSTG-CRYPTO-1, MSTG-CRYPTO-2 and MSTG-CRYPTO-3)</v>
      </c>
      <c r="J33" s="161"/>
      <c r="K33" s="164"/>
      <c r="L33" s="56"/>
    </row>
    <row r="34" spans="2:14" ht="47.25" x14ac:dyDescent="0.25">
      <c r="B34" s="49" t="s">
        <v>70</v>
      </c>
      <c r="C34" s="50" t="s">
        <v>71</v>
      </c>
      <c r="D34" s="160" t="s">
        <v>279</v>
      </c>
      <c r="E34" s="52" t="s">
        <v>18</v>
      </c>
      <c r="F34" s="53" t="s">
        <v>18</v>
      </c>
      <c r="G34" s="54"/>
      <c r="H34" s="161" t="str">
        <f>HYPERLINK(CONCATENATE(BASE_URL,"0x04g-Testing-Cryptography.md#identifying-insecure-andor-deprecated-cryptographic-algorithms-mstg-crypto-4"),"识别不安全和/或不建议使用的加密算法 (MSTG-CRYPTO-4)")</f>
        <v>识别不安全和/或不建议使用的加密算法 (MSTG-CRYPTO-4)</v>
      </c>
      <c r="I34"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4" s="161"/>
      <c r="K34" s="164"/>
      <c r="L34" s="56"/>
    </row>
    <row r="35" spans="2:14" ht="31.5" x14ac:dyDescent="0.25">
      <c r="B35" s="49" t="s">
        <v>72</v>
      </c>
      <c r="C35" s="50" t="s">
        <v>73</v>
      </c>
      <c r="D35" s="160" t="s">
        <v>280</v>
      </c>
      <c r="E35" s="52" t="s">
        <v>18</v>
      </c>
      <c r="F35" s="53" t="s">
        <v>18</v>
      </c>
      <c r="G35" s="54"/>
      <c r="H35" s="161" t="str">
        <f>HYPERLINK(CONCATENATE(BASE_URL,"0x05e-Testing-Cryptography.md#testing-key-management-mstg-storage-1-mstg-crypto-1-and-mstg-crypto-5"),"测试密钥管理 (MSTG-STORAGE-1, MSTG-CRYPTO-1 and MSTG-CRYPTO-5)")</f>
        <v>测试密钥管理 (MSTG-STORAGE-1, MSTG-CRYPTO-1 and MSTG-CRYPTO-5)</v>
      </c>
      <c r="I35" s="161"/>
      <c r="J35" s="161"/>
      <c r="K35" s="164"/>
      <c r="L35" s="56"/>
    </row>
    <row r="36" spans="2:14" x14ac:dyDescent="0.25">
      <c r="B36" s="68" t="s">
        <v>74</v>
      </c>
      <c r="C36" s="69" t="s">
        <v>75</v>
      </c>
      <c r="D36" s="160" t="s">
        <v>281</v>
      </c>
      <c r="E36" s="52" t="s">
        <v>18</v>
      </c>
      <c r="F36" s="53" t="s">
        <v>18</v>
      </c>
      <c r="G36" s="54"/>
      <c r="H36" s="161" t="str">
        <f>HYPERLINK(CONCATENATE(BASE_URL,"0x05e-Testing-Cryptography.md#testing-random-number-generation-mstg-crypto-6"),"测试随机数生成 (MSTG-CRYPTO-6)")</f>
        <v>测试随机数生成 (MSTG-CRYPTO-6)</v>
      </c>
      <c r="I36" s="161"/>
      <c r="J36" s="161"/>
      <c r="K36" s="164"/>
      <c r="L36" s="56"/>
    </row>
    <row r="37" spans="2:14" x14ac:dyDescent="0.25">
      <c r="B37" s="60" t="s">
        <v>76</v>
      </c>
      <c r="C37" s="61"/>
      <c r="D37" s="62" t="s">
        <v>282</v>
      </c>
      <c r="E37" s="63"/>
      <c r="F37" s="64"/>
      <c r="G37" s="63"/>
      <c r="H37" s="65"/>
      <c r="I37" s="63"/>
      <c r="J37" s="63"/>
      <c r="K37" s="63"/>
      <c r="L37" s="76"/>
    </row>
    <row r="38" spans="2:14" ht="47.25" x14ac:dyDescent="0.25">
      <c r="B38" s="49" t="s">
        <v>77</v>
      </c>
      <c r="C38" s="50" t="s">
        <v>78</v>
      </c>
      <c r="D38" s="137" t="s">
        <v>288</v>
      </c>
      <c r="E38" s="52" t="s">
        <v>18</v>
      </c>
      <c r="F38" s="53" t="s">
        <v>18</v>
      </c>
      <c r="G38" s="54"/>
      <c r="H38" s="161" t="str">
        <f>HYPERLINK(CONCATENATE(BASE_URL,"0x05f-Testing-Local-Authentication.md#testing-confirm-credentials-mstg-auth-1-and-mstg-storage-11"),"测试确认凭证 (MSTG-AUTH-1 and MSTG-STORAGE-11)")</f>
        <v>测试确认凭证 (MSTG-AUTH-1 and MSTG-STORAGE-11)</v>
      </c>
      <c r="I38" s="16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38" s="161" t="str">
        <f>HYPERLINK(CONCATENATE(BASE_URL,"0x04e-Testing-Authentication-and-Session-Management.md#testing-oauth-20-flows-mstg-auth-1-and-mstg-auth-3"),"测试OAuth 2.0流程 (MSTG-AUTH-1 and MSTG-AUTH-3)")</f>
        <v>测试OAuth 2.0流程 (MSTG-AUTH-1 and MSTG-AUTH-3)</v>
      </c>
      <c r="K38" s="164"/>
      <c r="L38" s="56"/>
    </row>
    <row r="39" spans="2:14" x14ac:dyDescent="0.25">
      <c r="B39" s="49" t="s">
        <v>79</v>
      </c>
      <c r="C39" s="50" t="s">
        <v>80</v>
      </c>
      <c r="D39" s="137" t="s">
        <v>289</v>
      </c>
      <c r="E39" s="52" t="s">
        <v>18</v>
      </c>
      <c r="F39" s="53" t="s">
        <v>18</v>
      </c>
      <c r="G39" s="54"/>
      <c r="H39" s="161" t="str">
        <f>HYPERLINK(CONCATENATE(BASE_URL,"0x04e-Testing-Authentication-and-Session-Management.md#testing-stateful-session-management-mstg-auth-2"),"测试状态会话管理 (MSTG-AUTH-2)")</f>
        <v>测试状态会话管理 (MSTG-AUTH-2)</v>
      </c>
      <c r="I39" s="161"/>
      <c r="J39" s="161"/>
      <c r="K39" s="164"/>
      <c r="L39" s="56"/>
    </row>
    <row r="40" spans="2:14" ht="31.5" x14ac:dyDescent="0.25">
      <c r="B40" s="49" t="s">
        <v>81</v>
      </c>
      <c r="C40" s="50" t="s">
        <v>82</v>
      </c>
      <c r="D40" s="137" t="s">
        <v>290</v>
      </c>
      <c r="E40" s="52" t="s">
        <v>18</v>
      </c>
      <c r="F40" s="53" t="s">
        <v>18</v>
      </c>
      <c r="G40" s="54"/>
      <c r="H40" s="161" t="str">
        <f>HYPERLINK(CONCATENATE(BASE_URL,"0x04e-Testing-Authentication-and-Session-Management.md#testing-stateless-token-based-authentication-mstg-auth-3"),"测试无状态（基于令牌）身份验证 (MSTG-AUTH-3)")</f>
        <v>测试无状态（基于令牌）身份验证 (MSTG-AUTH-3)</v>
      </c>
      <c r="I40" s="161" t="str">
        <f>HYPERLINK(CONCATENATE(BASE_URL,"0x04e-Testing-Authentication-and-Session-Management.md#testing-oauth-20-flows-mstg-auth-1-and-mstg-auth-3"),"测试OAuth 2.0流程 (MSTG-AUTH-1 and MSTG-AUTH-3)")</f>
        <v>测试OAuth 2.0流程 (MSTG-AUTH-1 and MSTG-AUTH-3)</v>
      </c>
      <c r="J40" s="161"/>
      <c r="K40" s="164"/>
      <c r="L40" s="56"/>
      <c r="N40" s="78"/>
    </row>
    <row r="41" spans="2:14" x14ac:dyDescent="0.25">
      <c r="B41" s="49" t="s">
        <v>83</v>
      </c>
      <c r="C41" s="50" t="s">
        <v>84</v>
      </c>
      <c r="D41" s="137" t="s">
        <v>291</v>
      </c>
      <c r="E41" s="52"/>
      <c r="F41" s="53"/>
      <c r="G41" s="54"/>
      <c r="H41" s="161" t="str">
        <f>HYPERLINK(CONCATENATE(BASE_URL,"0x04e-Testing-Authentication-and-Session-Management.md#testing-user-logout-mstg-auth-4"),"测试用户注销 (MSTG-AUTH-4)")</f>
        <v>测试用户注销 (MSTG-AUTH-4)</v>
      </c>
      <c r="I41" s="161"/>
      <c r="J41" s="161"/>
      <c r="K41" s="164"/>
      <c r="L41" s="56"/>
      <c r="N41" s="78"/>
    </row>
    <row r="42" spans="2:14" ht="31.5" x14ac:dyDescent="0.25">
      <c r="B42" s="49" t="s">
        <v>85</v>
      </c>
      <c r="C42" s="50" t="s">
        <v>86</v>
      </c>
      <c r="D42" s="137" t="s">
        <v>292</v>
      </c>
      <c r="E42" s="52" t="s">
        <v>18</v>
      </c>
      <c r="F42" s="53" t="s">
        <v>18</v>
      </c>
      <c r="G42" s="54"/>
      <c r="H42" s="161" t="str">
        <f>HYPERLINK(CONCATENATE(BASE_URL,"0x04e-Testing-Authentication-and-Session-Management.md#testing-best-practices-for-passwords-mstg-auth-5-and-mstg-auth-6"),"测试密码最佳做法 (MSTG-AUTH-5 and MSTG-AUTH-6)")</f>
        <v>测试密码最佳做法 (MSTG-AUTH-5 and MSTG-AUTH-6)</v>
      </c>
      <c r="I42" s="161"/>
      <c r="J42" s="161"/>
      <c r="K42" s="164"/>
      <c r="L42" s="56"/>
    </row>
    <row r="43" spans="2:14" ht="31.5" x14ac:dyDescent="0.25">
      <c r="B43" s="49" t="s">
        <v>87</v>
      </c>
      <c r="C43" s="50" t="s">
        <v>88</v>
      </c>
      <c r="D43" s="137" t="s">
        <v>293</v>
      </c>
      <c r="E43" s="52" t="s">
        <v>18</v>
      </c>
      <c r="F43" s="53" t="s">
        <v>18</v>
      </c>
      <c r="G43" s="54"/>
      <c r="H43" s="161" t="str">
        <f>HYPERLINK(CONCATENATE(BASE_URL,"0x04e-Testing-Authentication-and-Session-Management.md#testing-best-practices-for-passwords-mstg-auth-5-and-mstg-auth-6"),"测试密码最佳做法 (MSTG-AUTH-5 and MSTG-AUTH-6)")</f>
        <v>测试密码最佳做法 (MSTG-AUTH-5 and MSTG-AUTH-6)</v>
      </c>
      <c r="I43" s="161" t="str">
        <f>HYPERLINK(CONCATENATE(BASE_URL,"0x04e-Testing-Authentication-and-Session-Management.md#dynamic-testing-mstg-auth-6"),"动态测试 (MSTG-AUTH-6)")</f>
        <v>动态测试 (MSTG-AUTH-6)</v>
      </c>
      <c r="J43" s="161"/>
      <c r="K43" s="164"/>
      <c r="L43" s="56"/>
    </row>
    <row r="44" spans="2:14" x14ac:dyDescent="0.25">
      <c r="B44" s="49" t="s">
        <v>89</v>
      </c>
      <c r="C44" s="50" t="s">
        <v>90</v>
      </c>
      <c r="D44" s="137" t="s">
        <v>294</v>
      </c>
      <c r="E44" s="52" t="s">
        <v>18</v>
      </c>
      <c r="F44" s="53" t="s">
        <v>18</v>
      </c>
      <c r="G44" s="54"/>
      <c r="H44" s="161" t="str">
        <f>HYPERLINK(CONCATENATE(BASE_URL,"0x04e-Testing-Authentication-and-Session-Management.md#testing-session-timeout-mstg-auth-7"),"测试会话超时 (MSTG-AUTH-7)")</f>
        <v>测试会话超时 (MSTG-AUTH-7)</v>
      </c>
      <c r="I44" s="161"/>
      <c r="J44" s="161"/>
      <c r="K44" s="164"/>
      <c r="L44" s="79"/>
    </row>
    <row r="45" spans="2:14" ht="30" x14ac:dyDescent="0.25">
      <c r="B45" s="49" t="s">
        <v>91</v>
      </c>
      <c r="C45" s="50" t="s">
        <v>92</v>
      </c>
      <c r="D45" s="137" t="s">
        <v>295</v>
      </c>
      <c r="E45" s="74"/>
      <c r="F45" s="53" t="s">
        <v>18</v>
      </c>
      <c r="G45" s="54" t="s">
        <v>27</v>
      </c>
      <c r="H45" s="161" t="str">
        <f>HYPERLINK(CONCATENATE(BASE_URL,"0x05f-Testing-Local-Authentication.md#testing-biometric-authentication-mstg-auth-8"),"测试生物特征认证 (MSTG-AUTH-8)")</f>
        <v>测试生物特征认证 (MSTG-AUTH-8)</v>
      </c>
      <c r="I45" s="161"/>
      <c r="J45" s="161"/>
      <c r="K45" s="164"/>
      <c r="L45" s="56"/>
    </row>
    <row r="46" spans="2:14" ht="31.5" x14ac:dyDescent="0.25">
      <c r="B46" s="49" t="s">
        <v>93</v>
      </c>
      <c r="C46" s="50" t="s">
        <v>94</v>
      </c>
      <c r="D46" s="137" t="s">
        <v>296</v>
      </c>
      <c r="E46" s="74"/>
      <c r="F46" s="53" t="s">
        <v>18</v>
      </c>
      <c r="G46" s="54" t="s">
        <v>27</v>
      </c>
      <c r="H46" s="16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6" s="161"/>
      <c r="J46" s="161"/>
      <c r="K46" s="164"/>
      <c r="L46" s="56"/>
    </row>
    <row r="47" spans="2:14" ht="31.5" x14ac:dyDescent="0.25">
      <c r="B47" s="49" t="s">
        <v>95</v>
      </c>
      <c r="C47" s="50" t="s">
        <v>96</v>
      </c>
      <c r="D47" s="137" t="s">
        <v>297</v>
      </c>
      <c r="E47" s="74"/>
      <c r="F47" s="53" t="s">
        <v>18</v>
      </c>
      <c r="G47" s="54" t="s">
        <v>27</v>
      </c>
      <c r="H47" s="16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7" s="161"/>
      <c r="J47" s="161"/>
      <c r="K47" s="164"/>
      <c r="L47" s="56"/>
    </row>
    <row r="48" spans="2:14" ht="31.5" x14ac:dyDescent="0.25">
      <c r="B48" s="49" t="s">
        <v>97</v>
      </c>
      <c r="C48" s="50" t="s">
        <v>98</v>
      </c>
      <c r="D48" s="137" t="s">
        <v>298</v>
      </c>
      <c r="E48" s="74"/>
      <c r="F48" s="53" t="s">
        <v>18</v>
      </c>
      <c r="G48" s="54" t="s">
        <v>27</v>
      </c>
      <c r="H48" s="161" t="str">
        <f>HYPERLINK(CONCATENATE(BASE_URL,"0x04e-Testing-Authentication-and-Session-Management.md#testing-login-activity-and-device-blocking-mstg-auth-11"),"测试登录活动和设备阻止 (MSTG-AUTH-11)")</f>
        <v>测试登录活动和设备阻止 (MSTG-AUTH-11)</v>
      </c>
      <c r="I48" s="161"/>
      <c r="J48" s="161"/>
      <c r="K48" s="164"/>
      <c r="L48" s="56"/>
    </row>
    <row r="49" spans="2:12" x14ac:dyDescent="0.25">
      <c r="B49" s="60" t="s">
        <v>99</v>
      </c>
      <c r="C49" s="61"/>
      <c r="D49" s="62" t="s">
        <v>283</v>
      </c>
      <c r="E49" s="63"/>
      <c r="F49" s="64"/>
      <c r="G49" s="63"/>
      <c r="H49" s="65"/>
      <c r="I49" s="63"/>
      <c r="J49" s="63"/>
      <c r="K49" s="63"/>
      <c r="L49" s="76"/>
    </row>
    <row r="50" spans="2:12" ht="31.5" x14ac:dyDescent="0.25">
      <c r="B50" s="49" t="s">
        <v>100</v>
      </c>
      <c r="C50" s="50" t="s">
        <v>101</v>
      </c>
      <c r="D50" s="160" t="s">
        <v>299</v>
      </c>
      <c r="E50" s="52" t="s">
        <v>18</v>
      </c>
      <c r="F50" s="53" t="s">
        <v>18</v>
      </c>
      <c r="G50" s="54"/>
      <c r="H50" s="161" t="str">
        <f>HYPERLINK(CONCATENATE(BASE_URL,"0x04f-Testing-Network-Communication.md#verifying-data-encryption-on-the-network-mstg-network-1-and-mstg-network-2"),"验证网络上的数据加密 (MSTG-NETWORK-1 and MSTG-NETWORK-2)")</f>
        <v>验证网络上的数据加密 (MSTG-NETWORK-1 and MSTG-NETWORK-2)</v>
      </c>
      <c r="I50" s="161"/>
      <c r="J50" s="161"/>
      <c r="K50" s="165"/>
      <c r="L50" s="56"/>
    </row>
    <row r="51" spans="2:12" ht="31.5" x14ac:dyDescent="0.25">
      <c r="B51" s="49" t="s">
        <v>102</v>
      </c>
      <c r="C51" s="50" t="s">
        <v>103</v>
      </c>
      <c r="D51" s="137" t="s">
        <v>300</v>
      </c>
      <c r="E51" s="52" t="s">
        <v>18</v>
      </c>
      <c r="F51" s="53" t="s">
        <v>18</v>
      </c>
      <c r="G51" s="54"/>
      <c r="H51" s="161" t="str">
        <f>HYPERLINK(CONCATENATE(BASE_URL,"0x04f-Testing-Network-Communication.md#verifying-data-encryption-on-the-network-mstg-network-1-and-mstg-network-2"),"验证网络上的数据加密 (MSTG-NETWORK-1 and MSTG-NETWORK-2)")</f>
        <v>验证网络上的数据加密 (MSTG-NETWORK-1 and MSTG-NETWORK-2)</v>
      </c>
      <c r="I51" s="161"/>
      <c r="J51" s="161"/>
      <c r="K51" s="165"/>
      <c r="L51" s="56"/>
    </row>
    <row r="52" spans="2:12" x14ac:dyDescent="0.25">
      <c r="B52" s="49" t="s">
        <v>104</v>
      </c>
      <c r="C52" s="50" t="s">
        <v>105</v>
      </c>
      <c r="D52" s="137" t="s">
        <v>301</v>
      </c>
      <c r="E52" s="52" t="s">
        <v>18</v>
      </c>
      <c r="F52" s="53" t="s">
        <v>18</v>
      </c>
      <c r="G52" s="54"/>
      <c r="H52" s="161" t="str">
        <f>HYPERLINK(CONCATENATE(BASE_URL,"0x05g-Testing-Network-Communication.md#testing-endpoint-identify-verification-mstg-network-3"),"测试端点身份验证 (MSTG-NETWORK-3)")</f>
        <v>测试端点身份验证 (MSTG-NETWORK-3)</v>
      </c>
      <c r="I52" s="161"/>
      <c r="J52" s="161"/>
      <c r="K52" s="165"/>
      <c r="L52" s="81"/>
    </row>
    <row r="53" spans="2:12" ht="31.5" x14ac:dyDescent="0.25">
      <c r="B53" s="49" t="s">
        <v>106</v>
      </c>
      <c r="C53" s="50" t="s">
        <v>107</v>
      </c>
      <c r="D53" s="137" t="s">
        <v>302</v>
      </c>
      <c r="E53" s="74"/>
      <c r="F53" s="53" t="s">
        <v>18</v>
      </c>
      <c r="G53" s="54" t="s">
        <v>27</v>
      </c>
      <c r="H53" s="161" t="str">
        <f>HYPERLINK(CONCATENATE(BASE_URL,"0x05g-Testing-Network-Communication.md#testing-custom-certificate-stores-and-certificate-pinning-mstg-network-4"),"测试自定义证书存储和证书固定 (MSTG-NETWORK-4)")</f>
        <v>测试自定义证书存储和证书固定 (MSTG-NETWORK-4)</v>
      </c>
      <c r="I53" s="161" t="str">
        <f>HYPERLINK(CONCATENATE(BASE_URL,"0x05g-Testing-Network-Communication.md#testing-the-network-security-configuration-settings-mstg-network-4"),"测试网络安全配置设置 (MSTG-NETWORK-4)")</f>
        <v>测试网络安全配置设置 (MSTG-NETWORK-4)</v>
      </c>
      <c r="J53" s="161"/>
      <c r="K53" s="165"/>
      <c r="L53" s="56"/>
    </row>
    <row r="54" spans="2:12" ht="31.5" x14ac:dyDescent="0.25">
      <c r="B54" s="49" t="s">
        <v>108</v>
      </c>
      <c r="C54" s="50" t="s">
        <v>109</v>
      </c>
      <c r="D54" s="137" t="s">
        <v>303</v>
      </c>
      <c r="E54" s="74"/>
      <c r="F54" s="53" t="s">
        <v>18</v>
      </c>
      <c r="G54" s="54" t="s">
        <v>27</v>
      </c>
      <c r="H54" s="161" t="str">
        <f>HYPERLINK(CONCATENATE(BASE_URL,"0x04f-Testing-Network-Communication.md#making-sure-that-critical-operations-use-secure-communication-channels-mstg-network-5"),"确保关键操作使用安全的通信通道 (MSTG-NETWORK-5)")</f>
        <v>确保关键操作使用安全的通信通道 (MSTG-NETWORK-5)</v>
      </c>
      <c r="I54" s="161"/>
      <c r="J54" s="161"/>
      <c r="K54" s="165"/>
      <c r="L54" s="56"/>
    </row>
    <row r="55" spans="2:12" x14ac:dyDescent="0.25">
      <c r="B55" s="49" t="s">
        <v>110</v>
      </c>
      <c r="C55" s="50" t="s">
        <v>111</v>
      </c>
      <c r="D55" s="137" t="s">
        <v>304</v>
      </c>
      <c r="E55" s="74"/>
      <c r="F55" s="53" t="s">
        <v>18</v>
      </c>
      <c r="G55" s="54" t="s">
        <v>27</v>
      </c>
      <c r="H55" s="161" t="str">
        <f>HYPERLINK(CONCATENATE(BASE_URL,"0x05g-Testing-Network-Communication.md#testing-the-security-provider-mstg-network-6"),"测试安全提供者 (MSTG-NETWORK-6)")</f>
        <v>测试安全提供者 (MSTG-NETWORK-6)</v>
      </c>
      <c r="I55" s="161"/>
      <c r="J55" s="161"/>
      <c r="K55" s="165"/>
      <c r="L55" s="56"/>
    </row>
    <row r="56" spans="2:12" x14ac:dyDescent="0.25">
      <c r="B56" s="60" t="s">
        <v>112</v>
      </c>
      <c r="C56" s="61"/>
      <c r="D56" s="62" t="s">
        <v>284</v>
      </c>
      <c r="E56" s="63"/>
      <c r="F56" s="64"/>
      <c r="G56" s="63"/>
      <c r="H56" s="65"/>
      <c r="I56" s="63"/>
      <c r="J56" s="63"/>
      <c r="K56" s="63"/>
      <c r="L56" s="76"/>
    </row>
    <row r="57" spans="2:12" x14ac:dyDescent="0.25">
      <c r="B57" s="49" t="s">
        <v>113</v>
      </c>
      <c r="C57" s="50" t="s">
        <v>114</v>
      </c>
      <c r="D57" s="160" t="s">
        <v>308</v>
      </c>
      <c r="E57" s="52" t="s">
        <v>18</v>
      </c>
      <c r="F57" s="53" t="s">
        <v>18</v>
      </c>
      <c r="G57" s="54"/>
      <c r="H57" s="161" t="str">
        <f>HYPERLINK(CONCATENATE(BASE_URL,"0x05h-Testing-Platform-Interaction.md#testing-app-permissions-mstg-platform-1"),"测试应用权限 (MSTG-PLATFORM-1)")</f>
        <v>测试应用权限 (MSTG-PLATFORM-1)</v>
      </c>
      <c r="I57" s="161"/>
      <c r="J57" s="161"/>
      <c r="K57" s="59"/>
      <c r="L57" s="162"/>
    </row>
    <row r="58" spans="2:12" ht="31.5" x14ac:dyDescent="0.25">
      <c r="B58" s="49" t="s">
        <v>115</v>
      </c>
      <c r="C58" s="50" t="s">
        <v>116</v>
      </c>
      <c r="D58" s="137" t="s">
        <v>309</v>
      </c>
      <c r="E58" s="52" t="s">
        <v>18</v>
      </c>
      <c r="F58" s="53" t="s">
        <v>18</v>
      </c>
      <c r="G58" s="54"/>
      <c r="H58" s="161" t="str">
        <f>HYPERLINK(CONCATENATE(BASE_URL,"0x04h-Testing-Code-Quality.md#testing-for-injection-flaws-mstg-platform-2"),"测试注入缺陷 (MSTG-PLATFORM-2)")</f>
        <v>测试注入缺陷 (MSTG-PLATFORM-2)</v>
      </c>
      <c r="I58" s="161" t="str">
        <f>HYPERLINK(CONCATENATE(BASE_URL,"0x04h-Testing-Code-Quality.md#testing-for-fragment-injection-mstg-platform-2"),"测试片段注入 (MSTG-PLATFORM-2)")</f>
        <v>测试片段注入 (MSTG-PLATFORM-2)</v>
      </c>
      <c r="J58" s="161"/>
      <c r="K58" s="163"/>
      <c r="L58" s="162"/>
    </row>
    <row r="59" spans="2:12" x14ac:dyDescent="0.25">
      <c r="B59" s="49" t="s">
        <v>117</v>
      </c>
      <c r="C59" s="50" t="s">
        <v>118</v>
      </c>
      <c r="D59" s="160" t="s">
        <v>310</v>
      </c>
      <c r="E59" s="52" t="s">
        <v>18</v>
      </c>
      <c r="F59" s="53" t="s">
        <v>18</v>
      </c>
      <c r="G59" s="54"/>
      <c r="H59" s="161" t="str">
        <f>HYPERLINK(CONCATENATE(BASE_URL,"0x05h-Testing-Platform-Interaction.md#testing-custom-url-schemes-mstg-platform-3"),"测试自定义连接 (MSTG-PLATFORM-3)")</f>
        <v>测试自定义连接 (MSTG-PLATFORM-3)</v>
      </c>
      <c r="I59" s="161"/>
      <c r="J59" s="161"/>
      <c r="K59" s="59"/>
      <c r="L59" s="162"/>
    </row>
    <row r="60" spans="2:12" ht="31.5" x14ac:dyDescent="0.25">
      <c r="B60" s="49" t="s">
        <v>119</v>
      </c>
      <c r="C60" s="50" t="s">
        <v>120</v>
      </c>
      <c r="D60" s="160" t="s">
        <v>311</v>
      </c>
      <c r="E60" s="52" t="s">
        <v>18</v>
      </c>
      <c r="F60" s="53" t="s">
        <v>18</v>
      </c>
      <c r="G60" s="54"/>
      <c r="H60" s="161" t="str">
        <f>HYPERLINK(CONCATENATE(BASE_URL,"0x05h-Testing-Platform-Interaction.md#testing-for-sensitive-functionality-exposure-through-ipc-mstg-platform-4"),"测试铭感功能通过IPC 暴露 (MSTG-PLATFORM-4)")</f>
        <v>测试铭感功能通过IPC 暴露 (MSTG-PLATFORM-4)</v>
      </c>
      <c r="I60" s="161"/>
      <c r="J60" s="161"/>
      <c r="K60" s="59"/>
      <c r="L60" s="162"/>
    </row>
    <row r="61" spans="2:12" ht="31.5" x14ac:dyDescent="0.25">
      <c r="B61" s="49" t="s">
        <v>121</v>
      </c>
      <c r="C61" s="50" t="s">
        <v>122</v>
      </c>
      <c r="D61" s="160" t="s">
        <v>312</v>
      </c>
      <c r="E61" s="52" t="s">
        <v>18</v>
      </c>
      <c r="F61" s="53" t="s">
        <v>18</v>
      </c>
      <c r="G61" s="54"/>
      <c r="H61" s="161" t="str">
        <f>HYPERLINK(CONCATENATE(BASE_URL,"0x05h-Testing-Platform-Interaction.md#testing-javascript-execution-in-webviews-mstg-platform-5"),"测试在网页浏览模式中的JAVASCRIPT (MSTG-PLATFORM-5)")</f>
        <v>测试在网页浏览模式中的JAVASCRIPT (MSTG-PLATFORM-5)</v>
      </c>
      <c r="I61" s="161"/>
      <c r="J61" s="161"/>
      <c r="K61" s="59"/>
      <c r="L61" s="162"/>
    </row>
    <row r="62" spans="2:12" ht="31.5" x14ac:dyDescent="0.25">
      <c r="B62" s="49" t="s">
        <v>123</v>
      </c>
      <c r="C62" s="50" t="s">
        <v>124</v>
      </c>
      <c r="D62" s="137" t="s">
        <v>313</v>
      </c>
      <c r="E62" s="52" t="s">
        <v>18</v>
      </c>
      <c r="F62" s="53" t="s">
        <v>18</v>
      </c>
      <c r="G62" s="54"/>
      <c r="H62" s="161" t="str">
        <f>HYPERLINK(CONCATENATE(BASE_URL,"0x05h-Testing-Platform-Interaction.md#testing-webview-protocol-handlers-mstg-platform-6"),"测试网页模式中的协议处理 (MSTG-PLATFORM-6)")</f>
        <v>测试网页模式中的协议处理 (MSTG-PLATFORM-6)</v>
      </c>
      <c r="I62" s="161"/>
      <c r="J62" s="161"/>
      <c r="K62" s="59"/>
      <c r="L62" s="162"/>
    </row>
    <row r="63" spans="2:12" ht="47.25" x14ac:dyDescent="0.25">
      <c r="B63" s="49" t="s">
        <v>125</v>
      </c>
      <c r="C63" s="50" t="s">
        <v>126</v>
      </c>
      <c r="D63" s="137" t="s">
        <v>314</v>
      </c>
      <c r="E63" s="52" t="s">
        <v>18</v>
      </c>
      <c r="F63" s="53" t="s">
        <v>18</v>
      </c>
      <c r="G63" s="54"/>
      <c r="H63" s="161"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3" s="161"/>
      <c r="J63" s="161"/>
      <c r="K63" s="59"/>
      <c r="L63" s="162"/>
    </row>
    <row r="64" spans="2:12" x14ac:dyDescent="0.25">
      <c r="B64" s="49" t="s">
        <v>127</v>
      </c>
      <c r="C64" s="50" t="s">
        <v>128</v>
      </c>
      <c r="D64" s="160" t="s">
        <v>315</v>
      </c>
      <c r="E64" s="52" t="s">
        <v>18</v>
      </c>
      <c r="F64" s="53" t="s">
        <v>18</v>
      </c>
      <c r="G64" s="54"/>
      <c r="H64" s="161" t="str">
        <f>HYPERLINK(CONCATENATE(BASE_URL,"0x05h-Testing-Platform-Interaction.md#testing-object-persistence-mstg-platform-8"),"测试对象持久性(MSTG-PLATFORM-8)")</f>
        <v>测试对象持久性(MSTG-PLATFORM-8)</v>
      </c>
      <c r="I64" s="161"/>
      <c r="J64" s="161"/>
      <c r="K64" s="59"/>
      <c r="L64" s="162"/>
    </row>
    <row r="65" spans="2:13" x14ac:dyDescent="0.25">
      <c r="B65" s="60" t="s">
        <v>129</v>
      </c>
      <c r="C65" s="61"/>
      <c r="D65" s="62" t="s">
        <v>285</v>
      </c>
      <c r="E65" s="63"/>
      <c r="F65" s="64"/>
      <c r="G65" s="63"/>
      <c r="H65" s="65"/>
      <c r="I65" s="63"/>
      <c r="J65" s="63"/>
      <c r="K65" s="63"/>
      <c r="L65" s="76"/>
    </row>
    <row r="66" spans="2:13" ht="31.5" x14ac:dyDescent="0.25">
      <c r="B66" s="49" t="s">
        <v>130</v>
      </c>
      <c r="C66" s="50" t="s">
        <v>131</v>
      </c>
      <c r="D66" s="160" t="s">
        <v>316</v>
      </c>
      <c r="E66" s="52" t="s">
        <v>18</v>
      </c>
      <c r="F66" s="53" t="s">
        <v>18</v>
      </c>
      <c r="G66" s="54"/>
      <c r="H66" s="161" t="str">
        <f>HYPERLINK(CONCATENATE(BASE_URL,"0x05i-Testing-Code-Quality-and-Build-Settings.md#making-sure-that-the-app-is-properly-signed-mstg-code-1"),"确保应用程序已正确签名 (MSTG-CODE-1)")</f>
        <v>确保应用程序已正确签名 (MSTG-CODE-1)</v>
      </c>
      <c r="I66" s="161"/>
      <c r="J66" s="161"/>
      <c r="K66" s="165"/>
      <c r="L66" s="56"/>
    </row>
    <row r="67" spans="2:13" ht="31.5" x14ac:dyDescent="0.25">
      <c r="B67" s="49" t="s">
        <v>132</v>
      </c>
      <c r="C67" s="50" t="s">
        <v>133</v>
      </c>
      <c r="D67" s="160" t="s">
        <v>317</v>
      </c>
      <c r="E67" s="52" t="s">
        <v>18</v>
      </c>
      <c r="F67" s="53" t="s">
        <v>18</v>
      </c>
      <c r="G67" s="54"/>
      <c r="H67" s="161" t="str">
        <f>HYPERLINK(CONCATENATE(BASE_URL,"0x05i-Testing-Code-Quality-and-Build-Settings.md#testing-whether-the-app-is-debuggable-mstg-code-2"),"测试应用程序是否可调试 (MSTG-CODE-2)")</f>
        <v>测试应用程序是否可调试 (MSTG-CODE-2)</v>
      </c>
      <c r="I67" s="161"/>
      <c r="J67" s="161"/>
      <c r="K67" s="165"/>
      <c r="L67" s="56"/>
    </row>
    <row r="68" spans="2:13" x14ac:dyDescent="0.25">
      <c r="B68" s="49" t="s">
        <v>134</v>
      </c>
      <c r="C68" s="50" t="s">
        <v>135</v>
      </c>
      <c r="D68" s="160" t="s">
        <v>318</v>
      </c>
      <c r="E68" s="52" t="s">
        <v>18</v>
      </c>
      <c r="F68" s="53" t="s">
        <v>18</v>
      </c>
      <c r="G68" s="54"/>
      <c r="H68" s="161" t="str">
        <f>HYPERLINK(CONCATENATE(BASE_URL,"0x05i-Testing-Code-Quality-and-Build-Settings.md#testing-for-debugging-symbols-mstg-code-3"),"测试调试符号 (MSTG-CODE-3)")</f>
        <v>测试调试符号 (MSTG-CODE-3)</v>
      </c>
      <c r="I68" s="161"/>
      <c r="J68" s="161"/>
      <c r="K68" s="165"/>
      <c r="L68" s="56"/>
    </row>
    <row r="69" spans="2:13" ht="31.5" x14ac:dyDescent="0.25">
      <c r="B69" s="49" t="s">
        <v>136</v>
      </c>
      <c r="C69" s="50" t="s">
        <v>137</v>
      </c>
      <c r="D69" s="160" t="s">
        <v>319</v>
      </c>
      <c r="E69" s="52" t="s">
        <v>18</v>
      </c>
      <c r="F69" s="53" t="s">
        <v>18</v>
      </c>
      <c r="G69" s="54"/>
      <c r="H69" s="161" t="str">
        <f>HYPERLINK(CONCATENATE(BASE_URL,"0x05i-Testing-Code-Quality-and-Build-Settings.md#testing-for-debugging-code-and-verbose-error-logging-mstg-code-4"),"调试代码和详细错误日志的测试 (MSTG-CODE-4)")</f>
        <v>调试代码和详细错误日志的测试 (MSTG-CODE-4)</v>
      </c>
      <c r="I69" s="161"/>
      <c r="J69" s="161"/>
      <c r="K69" s="165"/>
      <c r="L69" s="56"/>
    </row>
    <row r="70" spans="2:13" x14ac:dyDescent="0.25">
      <c r="B70" s="49" t="s">
        <v>138</v>
      </c>
      <c r="C70" s="50" t="s">
        <v>139</v>
      </c>
      <c r="D70" s="135" t="s">
        <v>320</v>
      </c>
      <c r="E70" s="52" t="s">
        <v>18</v>
      </c>
      <c r="F70" s="53" t="s">
        <v>18</v>
      </c>
      <c r="G70" s="54"/>
      <c r="H70" s="161" t="str">
        <f>HYPERLINK(CONCATENATE(BASE_URL,"0x05i-Testing-Code-Quality-and-Build-Settings.md#checking-for-weaknesses-in-third-party-libraries-mstg-code-5"),"检查第三方库中的弱点 (MSTG-CODE-5)")</f>
        <v>检查第三方库中的弱点 (MSTG-CODE-5)</v>
      </c>
      <c r="I70" s="161"/>
      <c r="J70" s="161"/>
      <c r="K70" s="165"/>
      <c r="L70" s="56"/>
    </row>
    <row r="71" spans="2:13" ht="31.5" x14ac:dyDescent="0.25">
      <c r="B71" s="49" t="s">
        <v>140</v>
      </c>
      <c r="C71" s="50" t="s">
        <v>141</v>
      </c>
      <c r="D71" s="160" t="s">
        <v>321</v>
      </c>
      <c r="E71" s="52" t="s">
        <v>18</v>
      </c>
      <c r="F71" s="53" t="s">
        <v>18</v>
      </c>
      <c r="G71" s="54"/>
      <c r="H71" s="161" t="str">
        <f>HYPERLINK(CONCATENATE(BASE_URL,"0x05i-Testing-Code-Quality-and-Build-Settings.md#testing-exception-handling-mstg-code-6-and-mstg-code-7"),"测试异常处理 (MSTG-CODE-6 and MSTG-CODE-7)")</f>
        <v>测试异常处理 (MSTG-CODE-6 and MSTG-CODE-7)</v>
      </c>
      <c r="I71" s="161"/>
      <c r="J71" s="161"/>
      <c r="K71" s="165"/>
      <c r="L71" s="56"/>
    </row>
    <row r="72" spans="2:13" ht="31.5" x14ac:dyDescent="0.25">
      <c r="B72" s="49" t="s">
        <v>142</v>
      </c>
      <c r="C72" s="50" t="s">
        <v>143</v>
      </c>
      <c r="D72" s="160" t="s">
        <v>322</v>
      </c>
      <c r="E72" s="52" t="s">
        <v>18</v>
      </c>
      <c r="F72" s="53" t="s">
        <v>18</v>
      </c>
      <c r="G72" s="54"/>
      <c r="H72" s="161" t="str">
        <f>HYPERLINK(CONCATENATE(BASE_URL,"0x05i-Testing-Code-Quality-and-Build-Settings.md#testing-exception-handling-mstg-code-6-and-mstg-code-7"),"测试异常处理 (MSTG-CODE-6 and MSTG-CODE-7)")</f>
        <v>测试异常处理 (MSTG-CODE-6 and MSTG-CODE-7)</v>
      </c>
      <c r="I72" s="161"/>
      <c r="J72" s="161"/>
      <c r="K72" s="165"/>
      <c r="L72" s="56"/>
    </row>
    <row r="73" spans="2:13" x14ac:dyDescent="0.25">
      <c r="B73" s="49" t="s">
        <v>144</v>
      </c>
      <c r="C73" s="50" t="s">
        <v>145</v>
      </c>
      <c r="D73" s="160" t="s">
        <v>323</v>
      </c>
      <c r="E73" s="52" t="s">
        <v>18</v>
      </c>
      <c r="F73" s="53" t="s">
        <v>18</v>
      </c>
      <c r="G73" s="54"/>
      <c r="H73" s="161" t="str">
        <f>HYPERLINK(CONCATENATE(BASE_URL,"0x04h-Testing-Code-Quality.md#memory-corruption-bugs-mstg-code-8"),"内存泄露错误 (MSTG-CODE-8)")</f>
        <v>内存泄露错误 (MSTG-CODE-8)</v>
      </c>
      <c r="I73" s="161"/>
      <c r="J73" s="161"/>
      <c r="K73" s="165"/>
      <c r="L73" s="82"/>
      <c r="M73" s="83"/>
    </row>
    <row r="74" spans="2:13" ht="31.5" x14ac:dyDescent="0.25">
      <c r="B74" s="49" t="s">
        <v>146</v>
      </c>
      <c r="C74" s="50" t="s">
        <v>147</v>
      </c>
      <c r="D74" s="135" t="s">
        <v>324</v>
      </c>
      <c r="E74" s="52" t="s">
        <v>18</v>
      </c>
      <c r="F74" s="53" t="s">
        <v>18</v>
      </c>
      <c r="G74" s="54"/>
      <c r="H74" s="161" t="str">
        <f>HYPERLINK(CONCATENATE(BASE_URL,"0x05i-Testing-Code-Quality-and-Build-Settings.md#make-sure-that-free-security-features-are-activated-mstg-code-9"),"确保激活了免费的安全功能 (MSTG-CODE-9)")</f>
        <v>确保激活了免费的安全功能 (MSTG-CODE-9)</v>
      </c>
      <c r="I74" s="161"/>
      <c r="J74" s="161"/>
      <c r="K74" s="165"/>
      <c r="L74" s="56"/>
    </row>
    <row r="75" spans="2:13" x14ac:dyDescent="0.25">
      <c r="B75" s="84"/>
      <c r="C75" s="85"/>
      <c r="D75" s="86"/>
      <c r="E75" s="87"/>
      <c r="F75" s="87"/>
      <c r="G75" s="87"/>
      <c r="H75" s="87"/>
      <c r="I75" s="88"/>
      <c r="J75" s="88"/>
      <c r="K75" s="88"/>
      <c r="L75" s="89"/>
    </row>
    <row r="76" spans="2:13" x14ac:dyDescent="0.25">
      <c r="B76" s="90"/>
      <c r="C76" s="90"/>
      <c r="D76" s="91"/>
      <c r="E76" s="92"/>
      <c r="F76" s="92"/>
      <c r="G76" s="92"/>
      <c r="H76" s="93"/>
      <c r="I76" s="93"/>
      <c r="J76" s="93"/>
      <c r="K76" s="93"/>
      <c r="L76" s="91"/>
    </row>
    <row r="77" spans="2:13" x14ac:dyDescent="0.25">
      <c r="B77" s="90"/>
      <c r="C77" s="90"/>
      <c r="D77" s="77"/>
      <c r="E77" s="92"/>
      <c r="F77" s="92"/>
      <c r="G77" s="92"/>
      <c r="H77" s="93"/>
      <c r="I77" s="93"/>
      <c r="J77" s="93"/>
      <c r="K77" s="93"/>
      <c r="L77" s="91"/>
    </row>
    <row r="78" spans="2:13" x14ac:dyDescent="0.25">
      <c r="B78" s="90"/>
      <c r="C78" s="90"/>
      <c r="D78" s="91"/>
      <c r="E78" s="92"/>
      <c r="F78" s="92"/>
      <c r="G78" s="92"/>
      <c r="H78" s="93"/>
      <c r="I78" s="93"/>
      <c r="J78" s="93"/>
      <c r="K78" s="93"/>
      <c r="L78" s="91"/>
    </row>
    <row r="79" spans="2:13" x14ac:dyDescent="0.25">
      <c r="B79" s="94" t="s">
        <v>148</v>
      </c>
      <c r="C79" s="94"/>
      <c r="D79" s="91"/>
      <c r="E79" s="92"/>
      <c r="F79" s="92"/>
      <c r="G79" s="92"/>
      <c r="H79" s="93"/>
      <c r="I79" s="93"/>
      <c r="J79" s="93"/>
      <c r="K79" s="93"/>
      <c r="L79" s="91"/>
    </row>
    <row r="80" spans="2:13" x14ac:dyDescent="0.25">
      <c r="B80" s="95" t="s">
        <v>286</v>
      </c>
      <c r="C80" s="95"/>
      <c r="D80" s="96" t="s">
        <v>287</v>
      </c>
      <c r="E80" s="92"/>
      <c r="F80" s="92"/>
      <c r="G80" s="92"/>
      <c r="H80" s="93"/>
      <c r="I80" s="93"/>
      <c r="J80" s="93"/>
      <c r="K80" s="93"/>
      <c r="L80" s="91"/>
    </row>
    <row r="81" spans="2:12" x14ac:dyDescent="0.25">
      <c r="B81" s="97" t="s">
        <v>149</v>
      </c>
      <c r="C81" s="97"/>
      <c r="D81" s="98" t="s">
        <v>305</v>
      </c>
      <c r="E81" s="92"/>
      <c r="F81" s="92"/>
      <c r="G81" s="92"/>
      <c r="H81" s="93"/>
      <c r="I81" s="93"/>
      <c r="J81" s="93"/>
      <c r="K81" s="93"/>
      <c r="L81" s="91"/>
    </row>
    <row r="82" spans="2:12" x14ac:dyDescent="0.25">
      <c r="B82" s="97" t="s">
        <v>150</v>
      </c>
      <c r="C82" s="97"/>
      <c r="D82" s="98" t="s">
        <v>306</v>
      </c>
      <c r="E82" s="92"/>
      <c r="F82" s="92"/>
      <c r="G82" s="92"/>
      <c r="H82" s="93"/>
      <c r="I82" s="93"/>
      <c r="J82" s="93"/>
      <c r="K82" s="93"/>
      <c r="L82" s="91"/>
    </row>
    <row r="83" spans="2:12" x14ac:dyDescent="0.25">
      <c r="B83" s="97" t="s">
        <v>27</v>
      </c>
      <c r="C83" s="97"/>
      <c r="D83" s="98" t="s">
        <v>307</v>
      </c>
      <c r="E83" s="92"/>
      <c r="F83" s="92"/>
      <c r="G83" s="92"/>
      <c r="H83" s="93"/>
      <c r="I83" s="93"/>
      <c r="J83" s="93"/>
      <c r="K83" s="93"/>
      <c r="L83" s="91"/>
    </row>
    <row r="84" spans="2:12" x14ac:dyDescent="0.25">
      <c r="B84" s="90"/>
      <c r="C84" s="90"/>
      <c r="D84" s="91"/>
      <c r="E84" s="92"/>
      <c r="F84" s="92"/>
      <c r="G84" s="92"/>
      <c r="H84" s="93"/>
      <c r="I84" s="93"/>
      <c r="J84" s="93"/>
      <c r="K84" s="93"/>
      <c r="L84" s="91"/>
    </row>
    <row r="85" spans="2:12" x14ac:dyDescent="0.25">
      <c r="B85" s="90"/>
      <c r="C85" s="90"/>
      <c r="D85" s="91"/>
      <c r="E85" s="92"/>
      <c r="F85" s="92"/>
      <c r="G85" s="92"/>
      <c r="H85" s="93"/>
      <c r="I85" s="93"/>
      <c r="J85" s="93"/>
      <c r="K85" s="93"/>
      <c r="L85" s="91"/>
    </row>
    <row r="86" spans="2:12" x14ac:dyDescent="0.25">
      <c r="B86" s="90"/>
      <c r="C86" s="90"/>
      <c r="D86" s="91"/>
      <c r="E86" s="92"/>
      <c r="F86" s="92"/>
      <c r="G86" s="92"/>
      <c r="H86" s="93"/>
      <c r="I86" s="93"/>
      <c r="J86" s="93"/>
      <c r="K86" s="93"/>
      <c r="L86" s="91"/>
    </row>
    <row r="87" spans="2:12" x14ac:dyDescent="0.25">
      <c r="B87" s="90"/>
      <c r="C87" s="90"/>
      <c r="D87" s="91"/>
      <c r="E87" s="92"/>
      <c r="F87" s="92"/>
      <c r="G87" s="92"/>
      <c r="H87" s="93"/>
      <c r="I87" s="93"/>
      <c r="J87" s="93"/>
      <c r="K87" s="93"/>
      <c r="L87" s="91"/>
    </row>
  </sheetData>
  <mergeCells count="2">
    <mergeCell ref="B1:L1"/>
    <mergeCell ref="H3:J3"/>
  </mergeCells>
  <dataValidations count="2">
    <dataValidation type="list" allowBlank="1" showInputMessage="1" showErrorMessage="1" sqref="G76:G1083 I76:L1083" xr:uid="{00000000-0002-0000-0200-000000000000}">
      <formula1>"Yes,No,N/A"</formula1>
      <formula2>0</formula2>
    </dataValidation>
    <dataValidation type="list" allowBlank="1" showInputMessage="1" showErrorMessage="1" sqref="G18:G29 G31:G36 G38:G48 G50:G55 G57:G64 G66:G74 G5:G16"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Normal="100" workbookViewId="0">
      <selection activeCell="D42" sqref="D42"/>
    </sheetView>
  </sheetViews>
  <sheetFormatPr defaultColWidth="8.875" defaultRowHeight="15.75" x14ac:dyDescent="0.25"/>
  <cols>
    <col min="1" max="1" width="1.875" style="30" customWidth="1"/>
    <col min="2" max="2" width="7.375" style="31" customWidth="1"/>
    <col min="3" max="3" width="16.875" style="31" customWidth="1"/>
    <col min="4" max="4" width="97.375" style="32" customWidth="1"/>
    <col min="5" max="5" width="3" style="30" customWidth="1"/>
    <col min="6" max="6" width="5.875" style="30" customWidth="1"/>
    <col min="7" max="7" width="69.125" customWidth="1"/>
    <col min="8" max="8" width="30.625" style="32" customWidth="1"/>
    <col min="9" max="1025" width="11" style="30" customWidth="1"/>
  </cols>
  <sheetData>
    <row r="1" spans="2:8" ht="18.75" x14ac:dyDescent="0.3">
      <c r="B1" s="99" t="s">
        <v>230</v>
      </c>
      <c r="C1" s="99"/>
      <c r="D1" s="91"/>
      <c r="E1" s="92"/>
      <c r="F1" s="92"/>
      <c r="G1" s="93"/>
      <c r="H1" s="91"/>
    </row>
    <row r="2" spans="2:8" x14ac:dyDescent="0.25">
      <c r="B2" s="90"/>
      <c r="C2" s="90"/>
      <c r="D2" s="91"/>
      <c r="E2" s="92"/>
      <c r="F2" s="92"/>
      <c r="G2" s="93"/>
      <c r="H2" s="91"/>
    </row>
    <row r="3" spans="2:8" x14ac:dyDescent="0.25">
      <c r="B3" s="37" t="s">
        <v>8</v>
      </c>
      <c r="C3" s="38" t="s">
        <v>9</v>
      </c>
      <c r="D3" s="39" t="s">
        <v>325</v>
      </c>
      <c r="E3" s="40" t="s">
        <v>151</v>
      </c>
      <c r="F3" s="40" t="s">
        <v>265</v>
      </c>
      <c r="G3" s="100" t="s">
        <v>326</v>
      </c>
      <c r="H3" s="42" t="s">
        <v>264</v>
      </c>
    </row>
    <row r="4" spans="2:8" x14ac:dyDescent="0.25">
      <c r="B4" s="60"/>
      <c r="C4" s="61"/>
      <c r="D4" s="62" t="s">
        <v>327</v>
      </c>
      <c r="E4" s="63"/>
      <c r="F4" s="63"/>
      <c r="G4" s="101"/>
      <c r="H4" s="67"/>
    </row>
    <row r="5" spans="2:8" x14ac:dyDescent="0.25">
      <c r="B5" s="49" t="s">
        <v>152</v>
      </c>
      <c r="C5" s="50" t="s">
        <v>153</v>
      </c>
      <c r="D5" s="77" t="s">
        <v>328</v>
      </c>
      <c r="E5" s="102" t="s">
        <v>18</v>
      </c>
      <c r="F5" s="54" t="s">
        <v>27</v>
      </c>
      <c r="G5" s="134" t="str">
        <f>HYPERLINK(CONCATENATE(BASE_URL,"0x05j-Testing-Resiliency-Against-Reverse-Engineering.md#testing-root-detection-mstg-resilience-1"),"越狱察觉测试 (MSTG-RESILIENCE-1)")</f>
        <v>越狱察觉测试 (MSTG-RESILIENCE-1)</v>
      </c>
      <c r="H5" s="103"/>
    </row>
    <row r="6" spans="2:8" x14ac:dyDescent="0.25">
      <c r="B6" s="49" t="s">
        <v>154</v>
      </c>
      <c r="C6" s="50" t="s">
        <v>155</v>
      </c>
      <c r="D6" s="77" t="s">
        <v>329</v>
      </c>
      <c r="E6" s="102" t="s">
        <v>18</v>
      </c>
      <c r="F6" s="54" t="s">
        <v>27</v>
      </c>
      <c r="G6" s="134" t="str">
        <f>HYPERLINK(CONCATENATE(BASE_URL,"0x05j-Testing-Resiliency-Against-Reverse-Engineering.md#testing-anti-debugging-detection-mstg-resilience-2"),"反调试察觉测试 (MSTG-RESILIENCE-2)")</f>
        <v>反调试察觉测试 (MSTG-RESILIENCE-2)</v>
      </c>
      <c r="H6" s="103"/>
    </row>
    <row r="7" spans="2:8" x14ac:dyDescent="0.25">
      <c r="B7" s="49" t="s">
        <v>156</v>
      </c>
      <c r="C7" s="50" t="s">
        <v>157</v>
      </c>
      <c r="D7" s="73" t="s">
        <v>330</v>
      </c>
      <c r="E7" s="102" t="s">
        <v>18</v>
      </c>
      <c r="F7" s="54" t="s">
        <v>27</v>
      </c>
      <c r="G7" s="134" t="str">
        <f>HYPERLINK(CONCATENATE(BASE_URL,"0x05j-Testing-Resiliency-Against-Reverse-Engineering.md#testing-file-integrity-checks-mstg-resilience-3"),"文件完整性检查测试 (MSTG-RESILIENCE-3)")</f>
        <v>文件完整性检查测试 (MSTG-RESILIENCE-3)</v>
      </c>
      <c r="H7" s="103"/>
    </row>
    <row r="8" spans="2:8" x14ac:dyDescent="0.25">
      <c r="B8" s="49" t="s">
        <v>158</v>
      </c>
      <c r="C8" s="50" t="s">
        <v>159</v>
      </c>
      <c r="D8" s="73" t="s">
        <v>331</v>
      </c>
      <c r="E8" s="102" t="s">
        <v>18</v>
      </c>
      <c r="F8" s="54" t="s">
        <v>27</v>
      </c>
      <c r="G8" s="134" t="str">
        <f>HYPERLINK(CONCATENATE(BASE_URL,"0x05j-Testing-Resiliency-Against-Reverse-Engineering.md#testing-reverse-engineering-tools-detection-mstg-resilience-4"),"逆向工程工具察觉测试 (MSTG-RESILIENCE-4)")</f>
        <v>逆向工程工具察觉测试 (MSTG-RESILIENCE-4)</v>
      </c>
      <c r="H8" s="103"/>
    </row>
    <row r="9" spans="2:8" x14ac:dyDescent="0.25">
      <c r="B9" s="49" t="s">
        <v>160</v>
      </c>
      <c r="C9" s="50" t="s">
        <v>161</v>
      </c>
      <c r="D9" s="73" t="s">
        <v>332</v>
      </c>
      <c r="E9" s="102" t="s">
        <v>18</v>
      </c>
      <c r="F9" s="54" t="s">
        <v>27</v>
      </c>
      <c r="G9" s="134" t="str">
        <f>HYPERLINK(CONCATENATE(BASE_URL,"0x05j-Testing-Resiliency-Against-Reverse-Engineering.md#testing-emulator-detection-mstg-resilience-5"),"模拟器察觉测试 (MSTG-RESILIENCE-5)")</f>
        <v>模拟器察觉测试 (MSTG-RESILIENCE-5)</v>
      </c>
      <c r="H9" s="103"/>
    </row>
    <row r="10" spans="2:8" x14ac:dyDescent="0.25">
      <c r="B10" s="49" t="s">
        <v>162</v>
      </c>
      <c r="C10" s="50" t="s">
        <v>163</v>
      </c>
      <c r="D10" s="73" t="s">
        <v>333</v>
      </c>
      <c r="E10" s="102" t="s">
        <v>18</v>
      </c>
      <c r="F10" s="54" t="s">
        <v>27</v>
      </c>
      <c r="G10" s="134" t="str">
        <f>HYPERLINK(CONCATENATE(BASE_URL,"0x05j-Testing-Resiliency-Against-Reverse-Engineering.md#testing-run-time-integrity-checks-mstg-resilience-6"),"运行时完整性检测测试 (MSTG-RESILIENCE-6)")</f>
        <v>运行时完整性检测测试 (MSTG-RESILIENCE-6)</v>
      </c>
      <c r="H10" s="103"/>
    </row>
    <row r="11" spans="2:8" x14ac:dyDescent="0.25">
      <c r="B11" s="49" t="s">
        <v>164</v>
      </c>
      <c r="C11" s="50" t="s">
        <v>165</v>
      </c>
      <c r="D11" s="77" t="s">
        <v>334</v>
      </c>
      <c r="E11" s="102" t="s">
        <v>18</v>
      </c>
      <c r="F11" s="54" t="s">
        <v>27</v>
      </c>
      <c r="G11" s="104" t="s">
        <v>166</v>
      </c>
      <c r="H11" s="103"/>
    </row>
    <row r="12" spans="2:8" x14ac:dyDescent="0.25">
      <c r="B12" s="49" t="s">
        <v>167</v>
      </c>
      <c r="C12" s="50" t="s">
        <v>168</v>
      </c>
      <c r="D12" s="73" t="s">
        <v>335</v>
      </c>
      <c r="E12" s="102" t="s">
        <v>18</v>
      </c>
      <c r="F12" s="54" t="s">
        <v>27</v>
      </c>
      <c r="G12" s="105" t="s">
        <v>169</v>
      </c>
      <c r="H12" s="103"/>
    </row>
    <row r="13" spans="2:8" x14ac:dyDescent="0.25">
      <c r="B13" s="49" t="s">
        <v>170</v>
      </c>
      <c r="C13" s="50" t="s">
        <v>171</v>
      </c>
      <c r="D13" s="73" t="s">
        <v>336</v>
      </c>
      <c r="E13" s="102" t="s">
        <v>18</v>
      </c>
      <c r="F13" s="54" t="s">
        <v>27</v>
      </c>
      <c r="G13" s="134" t="str">
        <f>HYPERLINK(CONCATENATE(BASE_URL,"0x05j-Testing-Resiliency-Against-Reverse-Engineering.md#testing-obfuscation-mstg-resilience-9"),"混淆测试 (MSTG-RESILIENCE-9)")</f>
        <v>混淆测试 (MSTG-RESILIENCE-9)</v>
      </c>
      <c r="H13" s="103"/>
    </row>
    <row r="14" spans="2:8" x14ac:dyDescent="0.25">
      <c r="B14" s="60"/>
      <c r="C14" s="61"/>
      <c r="D14" s="62" t="s">
        <v>337</v>
      </c>
      <c r="E14" s="63"/>
      <c r="F14" s="63"/>
      <c r="G14" s="101"/>
      <c r="H14" s="67"/>
    </row>
    <row r="15" spans="2:8" ht="30" x14ac:dyDescent="0.25">
      <c r="B15" s="49" t="s">
        <v>172</v>
      </c>
      <c r="C15" s="50" t="s">
        <v>173</v>
      </c>
      <c r="D15" s="77" t="s">
        <v>338</v>
      </c>
      <c r="E15" s="102" t="s">
        <v>18</v>
      </c>
      <c r="F15" s="54" t="s">
        <v>27</v>
      </c>
      <c r="G15" s="134" t="str">
        <f>HYPERLINK(CONCATENATE(BASE_URL,"0x05j-Testing-Resiliency-Against-Reverse-Engineering.md#testing-device-binding-mstg-resilience-10"),"设备绑定测试 (MSTG-RESILIENCE-10)")</f>
        <v>设备绑定测试 (MSTG-RESILIENCE-10)</v>
      </c>
      <c r="H15" s="103"/>
    </row>
    <row r="16" spans="2:8" x14ac:dyDescent="0.25">
      <c r="B16" s="60"/>
      <c r="C16" s="61"/>
      <c r="D16" s="62" t="s">
        <v>339</v>
      </c>
      <c r="E16" s="63"/>
      <c r="F16" s="63"/>
      <c r="G16" s="101"/>
      <c r="H16" s="67"/>
    </row>
    <row r="17" spans="2:8" ht="30" x14ac:dyDescent="0.25">
      <c r="B17" s="49" t="s">
        <v>174</v>
      </c>
      <c r="C17" s="50" t="s">
        <v>175</v>
      </c>
      <c r="D17" s="77" t="s">
        <v>340</v>
      </c>
      <c r="E17" s="102" t="s">
        <v>18</v>
      </c>
      <c r="F17" s="54" t="s">
        <v>27</v>
      </c>
      <c r="G17" s="134" t="str">
        <f>HYPERLINK(CONCATENATE(BASE_URL,"0x05j-Testing-Resiliency-Against-Reverse-Engineering.md#testing-obfuscation-mstg-resilience-9"),"混淆测试 (MSTG-RESILIENCE-9)")</f>
        <v>混淆测试 (MSTG-RESILIENCE-9)</v>
      </c>
      <c r="H17" s="103"/>
    </row>
    <row r="18" spans="2:8" ht="45" x14ac:dyDescent="0.25">
      <c r="B18" s="49" t="s">
        <v>176</v>
      </c>
      <c r="C18" s="50" t="s">
        <v>177</v>
      </c>
      <c r="D18" s="77" t="s">
        <v>341</v>
      </c>
      <c r="E18" s="102" t="s">
        <v>18</v>
      </c>
      <c r="F18" s="54" t="s">
        <v>27</v>
      </c>
      <c r="G18" s="105" t="s">
        <v>166</v>
      </c>
      <c r="H18" s="103"/>
    </row>
    <row r="19" spans="2:8" x14ac:dyDescent="0.25">
      <c r="B19" s="84"/>
      <c r="C19" s="85"/>
      <c r="D19" s="86"/>
      <c r="E19" s="87"/>
      <c r="F19" s="87"/>
      <c r="G19" s="100"/>
      <c r="H19" s="89"/>
    </row>
    <row r="20" spans="2:8" x14ac:dyDescent="0.25">
      <c r="B20" s="90"/>
      <c r="C20" s="90"/>
      <c r="D20" s="91"/>
      <c r="E20" s="92"/>
      <c r="F20" s="92"/>
      <c r="G20" s="93"/>
      <c r="H20" s="91"/>
    </row>
    <row r="21" spans="2:8" x14ac:dyDescent="0.25">
      <c r="B21" s="90"/>
      <c r="C21" s="90"/>
      <c r="D21" s="91"/>
      <c r="E21" s="92"/>
      <c r="F21" s="92"/>
      <c r="G21" s="93"/>
      <c r="H21" s="91"/>
    </row>
    <row r="22" spans="2:8" x14ac:dyDescent="0.25">
      <c r="B22" s="94" t="s">
        <v>148</v>
      </c>
      <c r="C22" s="94"/>
      <c r="D22" s="91"/>
      <c r="E22" s="92"/>
      <c r="F22" s="92"/>
      <c r="G22" s="93"/>
      <c r="H22" s="91"/>
    </row>
    <row r="23" spans="2:8" x14ac:dyDescent="0.25">
      <c r="B23" s="95" t="s">
        <v>286</v>
      </c>
      <c r="C23" s="95"/>
      <c r="D23" s="96" t="s">
        <v>287</v>
      </c>
      <c r="E23" s="92"/>
      <c r="F23" s="92"/>
      <c r="G23" s="93"/>
      <c r="H23" s="91"/>
    </row>
    <row r="24" spans="2:8" x14ac:dyDescent="0.25">
      <c r="B24" s="97" t="s">
        <v>149</v>
      </c>
      <c r="C24" s="97"/>
      <c r="D24" s="98" t="s">
        <v>342</v>
      </c>
      <c r="E24" s="92"/>
      <c r="F24" s="92"/>
      <c r="G24" s="93"/>
      <c r="H24" s="91"/>
    </row>
    <row r="25" spans="2:8" x14ac:dyDescent="0.25">
      <c r="B25" s="97" t="s">
        <v>150</v>
      </c>
      <c r="C25" s="97"/>
      <c r="D25" s="98" t="s">
        <v>343</v>
      </c>
      <c r="E25" s="92"/>
      <c r="F25" s="92"/>
      <c r="G25" s="93"/>
      <c r="H25" s="91"/>
    </row>
    <row r="26" spans="2:8" x14ac:dyDescent="0.25">
      <c r="B26" s="97" t="s">
        <v>27</v>
      </c>
      <c r="C26" s="97"/>
      <c r="D26" s="98" t="s">
        <v>344</v>
      </c>
      <c r="E26" s="92"/>
      <c r="F26" s="92"/>
      <c r="G26" s="93"/>
      <c r="H26" s="91"/>
    </row>
    <row r="27" spans="2:8" x14ac:dyDescent="0.25">
      <c r="B27" s="90"/>
      <c r="C27" s="90"/>
      <c r="D27" s="91"/>
      <c r="E27" s="92"/>
      <c r="F27" s="92"/>
      <c r="G27" s="93"/>
      <c r="H27" s="91"/>
    </row>
    <row r="28" spans="2:8" x14ac:dyDescent="0.25">
      <c r="B28" s="90"/>
      <c r="C28" s="90"/>
      <c r="D28" s="91"/>
      <c r="E28" s="92"/>
      <c r="F28" s="92"/>
      <c r="G28" s="93"/>
      <c r="H28" s="91"/>
    </row>
    <row r="29" spans="2:8" x14ac:dyDescent="0.25">
      <c r="B29" s="90"/>
      <c r="C29" s="90"/>
      <c r="D29" s="91"/>
      <c r="E29" s="92"/>
      <c r="F29" s="92"/>
      <c r="G29" s="93"/>
      <c r="H29" s="91"/>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87"/>
  <sheetViews>
    <sheetView zoomScale="107" zoomScaleNormal="107" workbookViewId="0">
      <selection activeCell="D5" sqref="D5"/>
    </sheetView>
  </sheetViews>
  <sheetFormatPr defaultColWidth="8.875" defaultRowHeight="15.75" x14ac:dyDescent="0.25"/>
  <cols>
    <col min="1" max="1" width="1.875" customWidth="1"/>
    <col min="2" max="2" width="8" style="106" customWidth="1"/>
    <col min="3" max="3" width="21.5" style="106" customWidth="1"/>
    <col min="4" max="4" width="97.375" style="107" customWidth="1"/>
    <col min="5" max="6" width="6.625" customWidth="1"/>
    <col min="7" max="7" width="5.875" customWidth="1"/>
    <col min="8" max="8" width="91.625" customWidth="1"/>
    <col min="9" max="10" width="75.375" customWidth="1"/>
    <col min="11" max="11" width="30.875" style="107" customWidth="1"/>
    <col min="12" max="12" width="11" customWidth="1"/>
    <col min="13" max="14" width="10.875" customWidth="1"/>
    <col min="15" max="1025" width="11" customWidth="1"/>
  </cols>
  <sheetData>
    <row r="1" spans="1:1026" ht="18.75" x14ac:dyDescent="0.3">
      <c r="B1" s="108" t="s">
        <v>384</v>
      </c>
      <c r="C1" s="108"/>
      <c r="D1" s="109"/>
      <c r="E1" s="36"/>
      <c r="F1" s="36"/>
      <c r="G1" s="36"/>
      <c r="H1" s="109"/>
      <c r="I1" s="34"/>
      <c r="J1" s="34"/>
      <c r="K1" s="109"/>
    </row>
    <row r="2" spans="1:1026" x14ac:dyDescent="0.25">
      <c r="B2" s="110"/>
      <c r="C2" s="110"/>
      <c r="D2" s="109"/>
      <c r="E2" s="36"/>
      <c r="F2" s="36"/>
      <c r="G2" s="36"/>
      <c r="H2" s="36"/>
      <c r="I2" s="36"/>
      <c r="J2" s="36"/>
      <c r="K2" s="109"/>
    </row>
    <row r="3" spans="1:1026" ht="15.6" customHeight="1" x14ac:dyDescent="0.25">
      <c r="B3" s="37" t="s">
        <v>8</v>
      </c>
      <c r="C3" s="38" t="s">
        <v>9</v>
      </c>
      <c r="D3" s="39" t="s">
        <v>345</v>
      </c>
      <c r="E3" s="40" t="s">
        <v>10</v>
      </c>
      <c r="F3" s="40" t="s">
        <v>11</v>
      </c>
      <c r="G3" s="40" t="s">
        <v>265</v>
      </c>
      <c r="H3" s="156" t="s">
        <v>326</v>
      </c>
      <c r="I3" s="156"/>
      <c r="J3" s="156"/>
      <c r="K3" s="42" t="s">
        <v>14</v>
      </c>
    </row>
    <row r="4" spans="1:1026" x14ac:dyDescent="0.25">
      <c r="B4" s="43" t="s">
        <v>15</v>
      </c>
      <c r="C4" s="44"/>
      <c r="D4" s="45" t="s">
        <v>346</v>
      </c>
      <c r="E4" s="46"/>
      <c r="F4" s="46"/>
      <c r="G4" s="46"/>
      <c r="H4" s="45"/>
      <c r="I4" s="45"/>
      <c r="J4" s="47"/>
      <c r="K4" s="48"/>
    </row>
    <row r="5" spans="1:1026" x14ac:dyDescent="0.25">
      <c r="B5" s="49" t="s">
        <v>16</v>
      </c>
      <c r="C5" s="50" t="s">
        <v>17</v>
      </c>
      <c r="D5" s="135" t="s">
        <v>398</v>
      </c>
      <c r="E5" s="52" t="s">
        <v>18</v>
      </c>
      <c r="F5" s="53" t="s">
        <v>18</v>
      </c>
      <c r="G5" s="54" t="s">
        <v>149</v>
      </c>
      <c r="H5" s="133" t="str">
        <f>HYPERLINK(CONCATENATE( BASE_URL, "0x04b-Mobile-App-Security-Testing.md#architectural-information"), "架构信息")</f>
        <v>架构信息</v>
      </c>
      <c r="I5" s="58"/>
      <c r="J5" s="58"/>
      <c r="K5" s="56"/>
    </row>
    <row r="6" spans="1:1026" ht="30" x14ac:dyDescent="0.25">
      <c r="B6" s="49" t="s">
        <v>19</v>
      </c>
      <c r="C6" s="50" t="s">
        <v>20</v>
      </c>
      <c r="D6" s="135" t="s">
        <v>396</v>
      </c>
      <c r="E6" s="52" t="s">
        <v>18</v>
      </c>
      <c r="F6" s="53" t="s">
        <v>18</v>
      </c>
      <c r="G6" s="54"/>
      <c r="H6" s="55" t="str">
        <f>HYPERLINK(CONCATENATE( BASE_URL, "0x04h-Testing-Code-Quality.md#injection-flaws-mstg-arch-2-and-mstg-platform-2"), "Injection Flaws (MSTG-ARCH-2 and MSTG-PLATFORM-2)")</f>
        <v>Injection Flaws (MSTG-ARCH-2 and MSTG-PLATFORM-2)</v>
      </c>
      <c r="I6" s="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1"/>
      <c r="K6" s="56"/>
    </row>
    <row r="7" spans="1:1026" ht="30" x14ac:dyDescent="0.25">
      <c r="B7" s="49" t="s">
        <v>21</v>
      </c>
      <c r="C7" s="50" t="s">
        <v>22</v>
      </c>
      <c r="D7" s="135" t="s">
        <v>397</v>
      </c>
      <c r="E7" s="52" t="s">
        <v>18</v>
      </c>
      <c r="F7" s="53" t="s">
        <v>18</v>
      </c>
      <c r="G7" s="54"/>
      <c r="H7" s="55" t="str">
        <f>HYPERLINK(CONCATENATE( BASE_URL, "0x04b-Mobile-App-Security-Testing.md#architectural-information"), "Architectural Information")</f>
        <v>Architectural Information</v>
      </c>
      <c r="I7" s="58"/>
      <c r="J7" s="58"/>
      <c r="K7" s="56"/>
    </row>
    <row r="8" spans="1:1026" ht="30" x14ac:dyDescent="0.25">
      <c r="B8" s="49" t="s">
        <v>23</v>
      </c>
      <c r="C8" s="50" t="s">
        <v>24</v>
      </c>
      <c r="D8" s="135" t="s">
        <v>399</v>
      </c>
      <c r="E8" s="52" t="s">
        <v>18</v>
      </c>
      <c r="F8" s="53" t="s">
        <v>18</v>
      </c>
      <c r="G8" s="54"/>
      <c r="H8" s="55" t="str">
        <f>HYPERLINK(CONCATENATE( BASE_URL, "0x04b-Mobile-App-Security-Testing.md#identifying-sensitive-data"), "Identifying Sensitive Data")</f>
        <v>Identifying Sensitive Data</v>
      </c>
      <c r="I8" s="58"/>
      <c r="J8" s="58"/>
      <c r="K8" s="56"/>
    </row>
    <row r="9" spans="1:1026" ht="30" x14ac:dyDescent="0.25">
      <c r="B9" s="49" t="s">
        <v>25</v>
      </c>
      <c r="C9" s="50" t="s">
        <v>26</v>
      </c>
      <c r="D9" s="135" t="s">
        <v>405</v>
      </c>
      <c r="E9" s="59"/>
      <c r="F9" s="53" t="s">
        <v>18</v>
      </c>
      <c r="G9" s="54" t="s">
        <v>27</v>
      </c>
      <c r="H9" s="55" t="str">
        <f>HYPERLINK(CONCATENATE( BASE_URL, "0x04b-Mobile-App-Security-Testing.md#environmental-information"), "Environmental Information")</f>
        <v>Environmental Information</v>
      </c>
      <c r="I9" s="58"/>
      <c r="J9" s="58"/>
      <c r="K9" s="56"/>
    </row>
    <row r="10" spans="1:1026" ht="45" x14ac:dyDescent="0.25">
      <c r="B10" s="49" t="s">
        <v>28</v>
      </c>
      <c r="C10" s="50" t="s">
        <v>29</v>
      </c>
      <c r="D10" s="135" t="s">
        <v>406</v>
      </c>
      <c r="E10" s="59"/>
      <c r="F10" s="53" t="s">
        <v>18</v>
      </c>
      <c r="G10" s="54" t="s">
        <v>27</v>
      </c>
      <c r="H10" s="55" t="str">
        <f>HYPERLINK(CONCATENATE( BASE_URL, "0x04b-Mobile-App-Security-Testing.md#mapping-the-application"), "Mapping the Application")</f>
        <v>Mapping the Application</v>
      </c>
      <c r="I10" s="58"/>
      <c r="J10" s="58"/>
      <c r="K10" s="56"/>
    </row>
    <row r="11" spans="1:1026" x14ac:dyDescent="0.25">
      <c r="B11" s="49" t="s">
        <v>30</v>
      </c>
      <c r="C11" s="50" t="s">
        <v>31</v>
      </c>
      <c r="D11" s="135" t="s">
        <v>407</v>
      </c>
      <c r="E11" s="59"/>
      <c r="F11" s="53" t="s">
        <v>18</v>
      </c>
      <c r="G11" s="54" t="s">
        <v>27</v>
      </c>
      <c r="H11" s="55" t="str">
        <f>HYPERLINK(CONCATENATE( BASE_URL, "0x04b-Mobile-App-Security-Testing.md#principles-of-testing"), "Principles of Testing")</f>
        <v>Principles of Testing</v>
      </c>
      <c r="I11" s="57" t="str">
        <f>HYPERLINK(CONCATENATE( BASE_URL, "0x04b-Mobile-App-Security-Testing.md#penetration-testing-aka-pentesting"), "Penetration Testing (a.k.a. Pentesting)")</f>
        <v>Penetration Testing (a.k.a. Pentesting)</v>
      </c>
      <c r="J11" s="57"/>
      <c r="K11" s="56"/>
    </row>
    <row r="12" spans="1:1026" ht="45" x14ac:dyDescent="0.25">
      <c r="B12" s="49" t="s">
        <v>32</v>
      </c>
      <c r="C12" s="50" t="s">
        <v>33</v>
      </c>
      <c r="D12" s="135" t="s">
        <v>408</v>
      </c>
      <c r="E12" s="59"/>
      <c r="F12" s="53" t="s">
        <v>18</v>
      </c>
      <c r="G12" s="54" t="s">
        <v>27</v>
      </c>
      <c r="H12" s="55" t="str">
        <f>HYPERLINK(CONCATENATE( BASE_URL, "0x04g-Testing-Cryptography.md#cryptographic-policy"), "Cryptographic policy")</f>
        <v>Cryptographic policy</v>
      </c>
      <c r="I12" s="58"/>
      <c r="J12" s="58"/>
      <c r="K12" s="56"/>
    </row>
    <row r="13" spans="1:1026" x14ac:dyDescent="0.25">
      <c r="B13" s="49" t="s">
        <v>34</v>
      </c>
      <c r="C13" s="50" t="s">
        <v>35</v>
      </c>
      <c r="D13" s="135" t="s">
        <v>409</v>
      </c>
      <c r="E13" s="59"/>
      <c r="F13" s="53" t="s">
        <v>18</v>
      </c>
      <c r="G13" s="54" t="s">
        <v>27</v>
      </c>
      <c r="H13" s="55" t="str">
        <f>HYPERLINK(CONCATENATE( BASE_URL, "0x06h-Testing-Platform-Interaction.md#testing-enforced-updating-mstg-arch-9"), "Testing enforced updating (MSTG-ARCH-9)")</f>
        <v>Testing enforced updating (MSTG-ARCH-9)</v>
      </c>
      <c r="I13" s="58"/>
      <c r="J13" s="58"/>
      <c r="K13" s="56"/>
    </row>
    <row r="14" spans="1:1026" ht="30" x14ac:dyDescent="0.25">
      <c r="B14" s="49" t="s">
        <v>36</v>
      </c>
      <c r="C14" s="50" t="s">
        <v>37</v>
      </c>
      <c r="D14" s="135" t="s">
        <v>410</v>
      </c>
      <c r="E14" s="59"/>
      <c r="F14" s="53" t="s">
        <v>18</v>
      </c>
      <c r="G14" s="54" t="s">
        <v>27</v>
      </c>
      <c r="H14" s="55" t="str">
        <f>HYPERLINK(CONCATENATE( BASE_URL, "0x04b-Mobile-App-Security-Testing.md#security-testing-and-the-sdlc"), "Security Testing and the SDLC")</f>
        <v>Security Testing and the SDLC</v>
      </c>
      <c r="I14" s="58"/>
      <c r="J14" s="58"/>
      <c r="K14" s="56"/>
    </row>
    <row r="15" spans="1:1026" s="93" customFormat="1" ht="15" x14ac:dyDescent="0.25">
      <c r="A15" s="92"/>
      <c r="B15" s="49" t="s">
        <v>411</v>
      </c>
      <c r="C15" s="50" t="s">
        <v>413</v>
      </c>
      <c r="D15" s="135" t="s">
        <v>415</v>
      </c>
      <c r="E15" s="59"/>
      <c r="F15" s="53" t="s">
        <v>18</v>
      </c>
      <c r="G15" s="54" t="s">
        <v>27</v>
      </c>
      <c r="H15" s="166"/>
      <c r="I15" s="166"/>
      <c r="J15" s="166"/>
      <c r="K15" s="167"/>
      <c r="L15" s="77"/>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92"/>
      <c r="FC15" s="92"/>
      <c r="FD15" s="92"/>
      <c r="FE15" s="92"/>
      <c r="FF15" s="92"/>
      <c r="FG15" s="92"/>
      <c r="FH15" s="92"/>
      <c r="FI15" s="92"/>
      <c r="FJ15" s="92"/>
      <c r="FK15" s="92"/>
      <c r="FL15" s="92"/>
      <c r="FM15" s="92"/>
      <c r="FN15" s="92"/>
      <c r="FO15" s="92"/>
      <c r="FP15" s="92"/>
      <c r="FQ15" s="92"/>
      <c r="FR15" s="92"/>
      <c r="FS15" s="92"/>
      <c r="FT15" s="92"/>
      <c r="FU15" s="92"/>
      <c r="FV15" s="92"/>
      <c r="FW15" s="92"/>
      <c r="FX15" s="92"/>
      <c r="FY15" s="92"/>
      <c r="FZ15" s="92"/>
      <c r="GA15" s="92"/>
      <c r="GB15" s="92"/>
      <c r="GC15" s="92"/>
      <c r="GD15" s="92"/>
      <c r="GE15" s="92"/>
      <c r="GF15" s="92"/>
      <c r="GG15" s="92"/>
      <c r="GH15" s="92"/>
      <c r="GI15" s="92"/>
      <c r="GJ15" s="92"/>
      <c r="GK15" s="92"/>
      <c r="GL15" s="92"/>
      <c r="GM15" s="92"/>
      <c r="GN15" s="92"/>
      <c r="GO15" s="92"/>
      <c r="GP15" s="92"/>
      <c r="GQ15" s="92"/>
      <c r="GR15" s="92"/>
      <c r="GS15" s="92"/>
      <c r="GT15" s="92"/>
      <c r="GU15" s="92"/>
      <c r="GV15" s="92"/>
      <c r="GW15" s="92"/>
      <c r="GX15" s="92"/>
      <c r="GY15" s="92"/>
      <c r="GZ15" s="92"/>
      <c r="HA15" s="92"/>
      <c r="HB15" s="92"/>
      <c r="HC15" s="92"/>
      <c r="HD15" s="92"/>
      <c r="HE15" s="92"/>
      <c r="HF15" s="92"/>
      <c r="HG15" s="92"/>
      <c r="HH15" s="92"/>
      <c r="HI15" s="92"/>
      <c r="HJ15" s="92"/>
      <c r="HK15" s="92"/>
      <c r="HL15" s="92"/>
      <c r="HM15" s="92"/>
      <c r="HN15" s="92"/>
      <c r="HO15" s="92"/>
      <c r="HP15" s="92"/>
      <c r="HQ15" s="92"/>
      <c r="HR15" s="92"/>
      <c r="HS15" s="92"/>
      <c r="HT15" s="92"/>
      <c r="HU15" s="92"/>
      <c r="HV15" s="92"/>
      <c r="HW15" s="92"/>
      <c r="HX15" s="92"/>
      <c r="HY15" s="92"/>
      <c r="HZ15" s="92"/>
      <c r="IA15" s="92"/>
      <c r="IB15" s="92"/>
      <c r="IC15" s="92"/>
      <c r="ID15" s="92"/>
      <c r="IE15" s="92"/>
      <c r="IF15" s="92"/>
      <c r="IG15" s="92"/>
      <c r="IH15" s="92"/>
      <c r="II15" s="92"/>
      <c r="IJ15" s="92"/>
      <c r="IK15" s="92"/>
      <c r="IL15" s="92"/>
      <c r="IM15" s="92"/>
      <c r="IN15" s="92"/>
      <c r="IO15" s="92"/>
      <c r="IP15" s="92"/>
      <c r="IQ15" s="92"/>
      <c r="IR15" s="92"/>
      <c r="IS15" s="92"/>
      <c r="IT15" s="92"/>
      <c r="IU15" s="92"/>
      <c r="IV15" s="92"/>
      <c r="IW15" s="92"/>
      <c r="IX15" s="92"/>
      <c r="IY15" s="92"/>
      <c r="IZ15" s="92"/>
      <c r="JA15" s="92"/>
      <c r="JB15" s="92"/>
      <c r="JC15" s="92"/>
      <c r="JD15" s="92"/>
      <c r="JE15" s="92"/>
      <c r="JF15" s="92"/>
      <c r="JG15" s="92"/>
      <c r="JH15" s="92"/>
      <c r="JI15" s="92"/>
      <c r="JJ15" s="92"/>
      <c r="JK15" s="92"/>
      <c r="JL15" s="92"/>
      <c r="JM15" s="92"/>
      <c r="JN15" s="92"/>
      <c r="JO15" s="92"/>
      <c r="JP15" s="92"/>
      <c r="JQ15" s="92"/>
      <c r="JR15" s="92"/>
      <c r="JS15" s="92"/>
      <c r="JT15" s="92"/>
      <c r="JU15" s="92"/>
      <c r="JV15" s="92"/>
      <c r="JW15" s="92"/>
      <c r="JX15" s="92"/>
      <c r="JY15" s="92"/>
      <c r="JZ15" s="92"/>
      <c r="KA15" s="92"/>
      <c r="KB15" s="92"/>
      <c r="KC15" s="92"/>
      <c r="KD15" s="92"/>
      <c r="KE15" s="92"/>
      <c r="KF15" s="92"/>
      <c r="KG15" s="92"/>
      <c r="KH15" s="92"/>
      <c r="KI15" s="92"/>
      <c r="KJ15" s="92"/>
      <c r="KK15" s="92"/>
      <c r="KL15" s="92"/>
      <c r="KM15" s="92"/>
      <c r="KN15" s="92"/>
      <c r="KO15" s="92"/>
      <c r="KP15" s="92"/>
      <c r="KQ15" s="92"/>
      <c r="KR15" s="92"/>
      <c r="KS15" s="92"/>
      <c r="KT15" s="92"/>
      <c r="KU15" s="92"/>
      <c r="KV15" s="92"/>
      <c r="KW15" s="92"/>
      <c r="KX15" s="92"/>
      <c r="KY15" s="92"/>
      <c r="KZ15" s="92"/>
      <c r="LA15" s="92"/>
      <c r="LB15" s="92"/>
      <c r="LC15" s="92"/>
      <c r="LD15" s="92"/>
      <c r="LE15" s="92"/>
      <c r="LF15" s="92"/>
      <c r="LG15" s="92"/>
      <c r="LH15" s="92"/>
      <c r="LI15" s="92"/>
      <c r="LJ15" s="92"/>
      <c r="LK15" s="92"/>
      <c r="LL15" s="92"/>
      <c r="LM15" s="92"/>
      <c r="LN15" s="92"/>
      <c r="LO15" s="92"/>
      <c r="LP15" s="92"/>
      <c r="LQ15" s="92"/>
      <c r="LR15" s="92"/>
      <c r="LS15" s="92"/>
      <c r="LT15" s="92"/>
      <c r="LU15" s="92"/>
      <c r="LV15" s="92"/>
      <c r="LW15" s="92"/>
      <c r="LX15" s="92"/>
      <c r="LY15" s="92"/>
      <c r="LZ15" s="92"/>
      <c r="MA15" s="92"/>
      <c r="MB15" s="92"/>
      <c r="MC15" s="92"/>
      <c r="MD15" s="92"/>
      <c r="ME15" s="92"/>
      <c r="MF15" s="92"/>
      <c r="MG15" s="92"/>
      <c r="MH15" s="92"/>
      <c r="MI15" s="92"/>
      <c r="MJ15" s="92"/>
      <c r="MK15" s="92"/>
      <c r="ML15" s="92"/>
      <c r="MM15" s="92"/>
      <c r="MN15" s="92"/>
      <c r="MO15" s="92"/>
      <c r="MP15" s="92"/>
      <c r="MQ15" s="92"/>
      <c r="MR15" s="92"/>
      <c r="MS15" s="92"/>
      <c r="MT15" s="92"/>
      <c r="MU15" s="92"/>
      <c r="MV15" s="92"/>
      <c r="MW15" s="92"/>
      <c r="MX15" s="92"/>
      <c r="MY15" s="92"/>
      <c r="MZ15" s="92"/>
      <c r="NA15" s="92"/>
      <c r="NB15" s="92"/>
      <c r="NC15" s="92"/>
      <c r="ND15" s="92"/>
      <c r="NE15" s="92"/>
      <c r="NF15" s="92"/>
      <c r="NG15" s="92"/>
      <c r="NH15" s="92"/>
      <c r="NI15" s="92"/>
      <c r="NJ15" s="92"/>
      <c r="NK15" s="92"/>
      <c r="NL15" s="92"/>
      <c r="NM15" s="92"/>
      <c r="NN15" s="92"/>
      <c r="NO15" s="92"/>
      <c r="NP15" s="92"/>
      <c r="NQ15" s="92"/>
      <c r="NR15" s="92"/>
      <c r="NS15" s="92"/>
      <c r="NT15" s="92"/>
      <c r="NU15" s="92"/>
      <c r="NV15" s="92"/>
      <c r="NW15" s="92"/>
      <c r="NX15" s="92"/>
      <c r="NY15" s="92"/>
      <c r="NZ15" s="92"/>
      <c r="OA15" s="92"/>
      <c r="OB15" s="92"/>
      <c r="OC15" s="92"/>
      <c r="OD15" s="92"/>
      <c r="OE15" s="92"/>
      <c r="OF15" s="92"/>
      <c r="OG15" s="92"/>
      <c r="OH15" s="92"/>
      <c r="OI15" s="92"/>
      <c r="OJ15" s="92"/>
      <c r="OK15" s="92"/>
      <c r="OL15" s="92"/>
      <c r="OM15" s="92"/>
      <c r="ON15" s="92"/>
      <c r="OO15" s="92"/>
      <c r="OP15" s="92"/>
      <c r="OQ15" s="92"/>
      <c r="OR15" s="92"/>
      <c r="OS15" s="92"/>
      <c r="OT15" s="92"/>
      <c r="OU15" s="92"/>
      <c r="OV15" s="92"/>
      <c r="OW15" s="92"/>
      <c r="OX15" s="92"/>
      <c r="OY15" s="92"/>
      <c r="OZ15" s="92"/>
      <c r="PA15" s="92"/>
      <c r="PB15" s="92"/>
      <c r="PC15" s="92"/>
      <c r="PD15" s="92"/>
      <c r="PE15" s="92"/>
      <c r="PF15" s="92"/>
      <c r="PG15" s="92"/>
      <c r="PH15" s="92"/>
      <c r="PI15" s="92"/>
      <c r="PJ15" s="92"/>
      <c r="PK15" s="92"/>
      <c r="PL15" s="92"/>
      <c r="PM15" s="92"/>
      <c r="PN15" s="92"/>
      <c r="PO15" s="92"/>
      <c r="PP15" s="92"/>
      <c r="PQ15" s="92"/>
      <c r="PR15" s="92"/>
      <c r="PS15" s="92"/>
      <c r="PT15" s="92"/>
      <c r="PU15" s="92"/>
      <c r="PV15" s="92"/>
      <c r="PW15" s="92"/>
      <c r="PX15" s="92"/>
      <c r="PY15" s="92"/>
      <c r="PZ15" s="92"/>
      <c r="QA15" s="92"/>
      <c r="QB15" s="92"/>
      <c r="QC15" s="92"/>
      <c r="QD15" s="92"/>
      <c r="QE15" s="92"/>
      <c r="QF15" s="92"/>
      <c r="QG15" s="92"/>
      <c r="QH15" s="92"/>
      <c r="QI15" s="92"/>
      <c r="QJ15" s="92"/>
      <c r="QK15" s="92"/>
      <c r="QL15" s="92"/>
      <c r="QM15" s="92"/>
      <c r="QN15" s="92"/>
      <c r="QO15" s="92"/>
      <c r="QP15" s="92"/>
      <c r="QQ15" s="92"/>
      <c r="QR15" s="92"/>
      <c r="QS15" s="92"/>
      <c r="QT15" s="92"/>
      <c r="QU15" s="92"/>
      <c r="QV15" s="92"/>
      <c r="QW15" s="92"/>
      <c r="QX15" s="92"/>
      <c r="QY15" s="92"/>
      <c r="QZ15" s="92"/>
      <c r="RA15" s="92"/>
      <c r="RB15" s="92"/>
      <c r="RC15" s="92"/>
      <c r="RD15" s="92"/>
      <c r="RE15" s="92"/>
      <c r="RF15" s="92"/>
      <c r="RG15" s="92"/>
      <c r="RH15" s="92"/>
      <c r="RI15" s="92"/>
      <c r="RJ15" s="92"/>
      <c r="RK15" s="92"/>
      <c r="RL15" s="92"/>
      <c r="RM15" s="92"/>
      <c r="RN15" s="92"/>
      <c r="RO15" s="92"/>
      <c r="RP15" s="92"/>
      <c r="RQ15" s="92"/>
      <c r="RR15" s="92"/>
      <c r="RS15" s="92"/>
      <c r="RT15" s="92"/>
      <c r="RU15" s="92"/>
      <c r="RV15" s="92"/>
      <c r="RW15" s="92"/>
      <c r="RX15" s="92"/>
      <c r="RY15" s="92"/>
      <c r="RZ15" s="92"/>
      <c r="SA15" s="92"/>
      <c r="SB15" s="92"/>
      <c r="SC15" s="92"/>
      <c r="SD15" s="92"/>
      <c r="SE15" s="92"/>
      <c r="SF15" s="92"/>
      <c r="SG15" s="92"/>
      <c r="SH15" s="92"/>
      <c r="SI15" s="92"/>
      <c r="SJ15" s="92"/>
      <c r="SK15" s="92"/>
      <c r="SL15" s="92"/>
      <c r="SM15" s="92"/>
      <c r="SN15" s="92"/>
      <c r="SO15" s="92"/>
      <c r="SP15" s="92"/>
      <c r="SQ15" s="92"/>
      <c r="SR15" s="92"/>
      <c r="SS15" s="92"/>
      <c r="ST15" s="92"/>
      <c r="SU15" s="92"/>
      <c r="SV15" s="92"/>
      <c r="SW15" s="92"/>
      <c r="SX15" s="92"/>
      <c r="SY15" s="92"/>
      <c r="SZ15" s="92"/>
      <c r="TA15" s="92"/>
      <c r="TB15" s="92"/>
      <c r="TC15" s="92"/>
      <c r="TD15" s="92"/>
      <c r="TE15" s="92"/>
      <c r="TF15" s="92"/>
      <c r="TG15" s="92"/>
      <c r="TH15" s="92"/>
      <c r="TI15" s="92"/>
      <c r="TJ15" s="92"/>
      <c r="TK15" s="92"/>
      <c r="TL15" s="92"/>
      <c r="TM15" s="92"/>
      <c r="TN15" s="92"/>
      <c r="TO15" s="92"/>
      <c r="TP15" s="92"/>
      <c r="TQ15" s="92"/>
      <c r="TR15" s="92"/>
      <c r="TS15" s="92"/>
      <c r="TT15" s="92"/>
      <c r="TU15" s="92"/>
      <c r="TV15" s="92"/>
      <c r="TW15" s="92"/>
      <c r="TX15" s="92"/>
      <c r="TY15" s="92"/>
      <c r="TZ15" s="92"/>
      <c r="UA15" s="92"/>
      <c r="UB15" s="92"/>
      <c r="UC15" s="92"/>
      <c r="UD15" s="92"/>
      <c r="UE15" s="92"/>
      <c r="UF15" s="92"/>
      <c r="UG15" s="92"/>
      <c r="UH15" s="92"/>
      <c r="UI15" s="92"/>
      <c r="UJ15" s="92"/>
      <c r="UK15" s="92"/>
      <c r="UL15" s="92"/>
      <c r="UM15" s="92"/>
      <c r="UN15" s="92"/>
      <c r="UO15" s="92"/>
      <c r="UP15" s="92"/>
      <c r="UQ15" s="92"/>
      <c r="UR15" s="92"/>
      <c r="US15" s="92"/>
      <c r="UT15" s="92"/>
      <c r="UU15" s="92"/>
      <c r="UV15" s="92"/>
      <c r="UW15" s="92"/>
      <c r="UX15" s="92"/>
      <c r="UY15" s="92"/>
      <c r="UZ15" s="92"/>
      <c r="VA15" s="92"/>
      <c r="VB15" s="92"/>
      <c r="VC15" s="92"/>
      <c r="VD15" s="92"/>
      <c r="VE15" s="92"/>
      <c r="VF15" s="92"/>
      <c r="VG15" s="92"/>
      <c r="VH15" s="92"/>
      <c r="VI15" s="92"/>
      <c r="VJ15" s="92"/>
      <c r="VK15" s="92"/>
      <c r="VL15" s="92"/>
      <c r="VM15" s="92"/>
      <c r="VN15" s="92"/>
      <c r="VO15" s="92"/>
      <c r="VP15" s="92"/>
      <c r="VQ15" s="92"/>
      <c r="VR15" s="92"/>
      <c r="VS15" s="92"/>
      <c r="VT15" s="92"/>
      <c r="VU15" s="92"/>
      <c r="VV15" s="92"/>
      <c r="VW15" s="92"/>
      <c r="VX15" s="92"/>
      <c r="VY15" s="92"/>
      <c r="VZ15" s="92"/>
      <c r="WA15" s="92"/>
      <c r="WB15" s="92"/>
      <c r="WC15" s="92"/>
      <c r="WD15" s="92"/>
      <c r="WE15" s="92"/>
      <c r="WF15" s="92"/>
      <c r="WG15" s="92"/>
      <c r="WH15" s="92"/>
      <c r="WI15" s="92"/>
      <c r="WJ15" s="92"/>
      <c r="WK15" s="92"/>
      <c r="WL15" s="92"/>
      <c r="WM15" s="92"/>
      <c r="WN15" s="92"/>
      <c r="WO15" s="92"/>
      <c r="WP15" s="92"/>
      <c r="WQ15" s="92"/>
      <c r="WR15" s="92"/>
      <c r="WS15" s="92"/>
      <c r="WT15" s="92"/>
      <c r="WU15" s="92"/>
      <c r="WV15" s="92"/>
      <c r="WW15" s="92"/>
      <c r="WX15" s="92"/>
      <c r="WY15" s="92"/>
      <c r="WZ15" s="92"/>
      <c r="XA15" s="92"/>
      <c r="XB15" s="92"/>
      <c r="XC15" s="92"/>
      <c r="XD15" s="92"/>
      <c r="XE15" s="92"/>
      <c r="XF15" s="92"/>
      <c r="XG15" s="92"/>
      <c r="XH15" s="92"/>
      <c r="XI15" s="92"/>
      <c r="XJ15" s="92"/>
      <c r="XK15" s="92"/>
      <c r="XL15" s="92"/>
      <c r="XM15" s="92"/>
      <c r="XN15" s="92"/>
      <c r="XO15" s="92"/>
      <c r="XP15" s="92"/>
      <c r="XQ15" s="92"/>
      <c r="XR15" s="92"/>
      <c r="XS15" s="92"/>
      <c r="XT15" s="92"/>
      <c r="XU15" s="92"/>
      <c r="XV15" s="92"/>
      <c r="XW15" s="92"/>
      <c r="XX15" s="92"/>
      <c r="XY15" s="92"/>
      <c r="XZ15" s="92"/>
      <c r="YA15" s="92"/>
      <c r="YB15" s="92"/>
      <c r="YC15" s="92"/>
      <c r="YD15" s="92"/>
      <c r="YE15" s="92"/>
      <c r="YF15" s="92"/>
      <c r="YG15" s="92"/>
      <c r="YH15" s="92"/>
      <c r="YI15" s="92"/>
      <c r="YJ15" s="92"/>
      <c r="YK15" s="92"/>
      <c r="YL15" s="92"/>
      <c r="YM15" s="92"/>
      <c r="YN15" s="92"/>
      <c r="YO15" s="92"/>
      <c r="YP15" s="92"/>
      <c r="YQ15" s="92"/>
      <c r="YR15" s="92"/>
      <c r="YS15" s="92"/>
      <c r="YT15" s="92"/>
      <c r="YU15" s="92"/>
      <c r="YV15" s="92"/>
      <c r="YW15" s="92"/>
      <c r="YX15" s="92"/>
      <c r="YY15" s="92"/>
      <c r="YZ15" s="92"/>
      <c r="ZA15" s="92"/>
      <c r="ZB15" s="92"/>
      <c r="ZC15" s="92"/>
      <c r="ZD15" s="92"/>
      <c r="ZE15" s="92"/>
      <c r="ZF15" s="92"/>
      <c r="ZG15" s="92"/>
      <c r="ZH15" s="92"/>
      <c r="ZI15" s="92"/>
      <c r="ZJ15" s="92"/>
      <c r="ZK15" s="92"/>
      <c r="ZL15" s="92"/>
      <c r="ZM15" s="92"/>
      <c r="ZN15" s="92"/>
      <c r="ZO15" s="92"/>
      <c r="ZP15" s="92"/>
      <c r="ZQ15" s="92"/>
      <c r="ZR15" s="92"/>
      <c r="ZS15" s="92"/>
      <c r="ZT15" s="92"/>
      <c r="ZU15" s="92"/>
      <c r="ZV15" s="92"/>
      <c r="ZW15" s="92"/>
      <c r="ZX15" s="92"/>
      <c r="ZY15" s="92"/>
      <c r="ZZ15" s="92"/>
      <c r="AAA15" s="92"/>
      <c r="AAB15" s="92"/>
      <c r="AAC15" s="92"/>
      <c r="AAD15" s="92"/>
      <c r="AAE15" s="92"/>
      <c r="AAF15" s="92"/>
      <c r="AAG15" s="92"/>
      <c r="AAH15" s="92"/>
      <c r="AAI15" s="92"/>
      <c r="AAJ15" s="92"/>
      <c r="AAK15" s="92"/>
      <c r="AAL15" s="92"/>
      <c r="AAM15" s="92"/>
      <c r="AAN15" s="92"/>
      <c r="AAO15" s="92"/>
      <c r="AAP15" s="92"/>
      <c r="AAQ15" s="92"/>
      <c r="AAR15" s="92"/>
      <c r="AAS15" s="92"/>
      <c r="AAT15" s="92"/>
      <c r="AAU15" s="92"/>
      <c r="AAV15" s="92"/>
      <c r="AAW15" s="92"/>
      <c r="AAX15" s="92"/>
      <c r="AAY15" s="92"/>
      <c r="AAZ15" s="92"/>
      <c r="ABA15" s="92"/>
      <c r="ABB15" s="92"/>
      <c r="ABC15" s="92"/>
      <c r="ABD15" s="92"/>
      <c r="ABE15" s="92"/>
      <c r="ABF15" s="92"/>
      <c r="ABG15" s="92"/>
      <c r="ABH15" s="92"/>
      <c r="ABI15" s="92"/>
      <c r="ABJ15" s="92"/>
      <c r="ABK15" s="92"/>
      <c r="ABL15" s="92"/>
      <c r="ABM15" s="92"/>
      <c r="ABN15" s="92"/>
      <c r="ABO15" s="92"/>
      <c r="ABP15" s="92"/>
      <c r="ABQ15" s="92"/>
      <c r="ABR15" s="92"/>
      <c r="ABS15" s="92"/>
      <c r="ABT15" s="92"/>
      <c r="ABU15" s="92"/>
      <c r="ABV15" s="92"/>
      <c r="ABW15" s="92"/>
      <c r="ABX15" s="92"/>
      <c r="ABY15" s="92"/>
      <c r="ABZ15" s="92"/>
      <c r="ACA15" s="92"/>
      <c r="ACB15" s="92"/>
      <c r="ACC15" s="92"/>
      <c r="ACD15" s="92"/>
      <c r="ACE15" s="92"/>
      <c r="ACF15" s="92"/>
      <c r="ACG15" s="92"/>
      <c r="ACH15" s="92"/>
      <c r="ACI15" s="92"/>
      <c r="ACJ15" s="92"/>
      <c r="ACK15" s="92"/>
      <c r="ACL15" s="92"/>
      <c r="ACM15" s="92"/>
      <c r="ACN15" s="92"/>
      <c r="ACO15" s="92"/>
      <c r="ACP15" s="92"/>
      <c r="ACQ15" s="92"/>
      <c r="ACR15" s="92"/>
      <c r="ACS15" s="92"/>
      <c r="ACT15" s="92"/>
      <c r="ACU15" s="92"/>
      <c r="ACV15" s="92"/>
      <c r="ACW15" s="92"/>
      <c r="ACX15" s="92"/>
      <c r="ACY15" s="92"/>
      <c r="ACZ15" s="92"/>
      <c r="ADA15" s="92"/>
      <c r="ADB15" s="92"/>
      <c r="ADC15" s="92"/>
      <c r="ADD15" s="92"/>
      <c r="ADE15" s="92"/>
      <c r="ADF15" s="92"/>
      <c r="ADG15" s="92"/>
      <c r="ADH15" s="92"/>
      <c r="ADI15" s="92"/>
      <c r="ADJ15" s="92"/>
      <c r="ADK15" s="92"/>
      <c r="ADL15" s="92"/>
      <c r="ADM15" s="92"/>
      <c r="ADN15" s="92"/>
      <c r="ADO15" s="92"/>
      <c r="ADP15" s="92"/>
      <c r="ADQ15" s="92"/>
      <c r="ADR15" s="92"/>
      <c r="ADS15" s="92"/>
      <c r="ADT15" s="92"/>
      <c r="ADU15" s="92"/>
      <c r="ADV15" s="92"/>
      <c r="ADW15" s="92"/>
      <c r="ADX15" s="92"/>
      <c r="ADY15" s="92"/>
      <c r="ADZ15" s="92"/>
      <c r="AEA15" s="92"/>
      <c r="AEB15" s="92"/>
      <c r="AEC15" s="92"/>
      <c r="AED15" s="92"/>
      <c r="AEE15" s="92"/>
      <c r="AEF15" s="92"/>
      <c r="AEG15" s="92"/>
      <c r="AEH15" s="92"/>
      <c r="AEI15" s="92"/>
      <c r="AEJ15" s="92"/>
      <c r="AEK15" s="92"/>
      <c r="AEL15" s="92"/>
      <c r="AEM15" s="92"/>
      <c r="AEN15" s="92"/>
      <c r="AEO15" s="92"/>
      <c r="AEP15" s="92"/>
      <c r="AEQ15" s="92"/>
      <c r="AER15" s="92"/>
      <c r="AES15" s="92"/>
      <c r="AET15" s="92"/>
      <c r="AEU15" s="92"/>
      <c r="AEV15" s="92"/>
      <c r="AEW15" s="92"/>
      <c r="AEX15" s="92"/>
      <c r="AEY15" s="92"/>
      <c r="AEZ15" s="92"/>
      <c r="AFA15" s="92"/>
      <c r="AFB15" s="92"/>
      <c r="AFC15" s="92"/>
      <c r="AFD15" s="92"/>
      <c r="AFE15" s="92"/>
      <c r="AFF15" s="92"/>
      <c r="AFG15" s="92"/>
      <c r="AFH15" s="92"/>
      <c r="AFI15" s="92"/>
      <c r="AFJ15" s="92"/>
      <c r="AFK15" s="92"/>
      <c r="AFL15" s="92"/>
      <c r="AFM15" s="92"/>
      <c r="AFN15" s="92"/>
      <c r="AFO15" s="92"/>
      <c r="AFP15" s="92"/>
      <c r="AFQ15" s="92"/>
      <c r="AFR15" s="92"/>
      <c r="AFS15" s="92"/>
      <c r="AFT15" s="92"/>
      <c r="AFU15" s="92"/>
      <c r="AFV15" s="92"/>
      <c r="AFW15" s="92"/>
      <c r="AFX15" s="92"/>
      <c r="AFY15" s="92"/>
      <c r="AFZ15" s="92"/>
      <c r="AGA15" s="92"/>
      <c r="AGB15" s="92"/>
      <c r="AGC15" s="92"/>
      <c r="AGD15" s="92"/>
      <c r="AGE15" s="92"/>
      <c r="AGF15" s="92"/>
      <c r="AGG15" s="92"/>
      <c r="AGH15" s="92"/>
      <c r="AGI15" s="92"/>
      <c r="AGJ15" s="92"/>
      <c r="AGK15" s="92"/>
      <c r="AGL15" s="92"/>
      <c r="AGM15" s="92"/>
      <c r="AGN15" s="92"/>
      <c r="AGO15" s="92"/>
      <c r="AGP15" s="92"/>
      <c r="AGQ15" s="92"/>
      <c r="AGR15" s="92"/>
      <c r="AGS15" s="92"/>
      <c r="AGT15" s="92"/>
      <c r="AGU15" s="92"/>
      <c r="AGV15" s="92"/>
      <c r="AGW15" s="92"/>
      <c r="AGX15" s="92"/>
      <c r="AGY15" s="92"/>
      <c r="AGZ15" s="92"/>
      <c r="AHA15" s="92"/>
      <c r="AHB15" s="92"/>
      <c r="AHC15" s="92"/>
      <c r="AHD15" s="92"/>
      <c r="AHE15" s="92"/>
      <c r="AHF15" s="92"/>
      <c r="AHG15" s="92"/>
      <c r="AHH15" s="92"/>
      <c r="AHI15" s="92"/>
      <c r="AHJ15" s="92"/>
      <c r="AHK15" s="92"/>
      <c r="AHL15" s="92"/>
      <c r="AHM15" s="92"/>
      <c r="AHN15" s="92"/>
      <c r="AHO15" s="92"/>
      <c r="AHP15" s="92"/>
      <c r="AHQ15" s="92"/>
      <c r="AHR15" s="92"/>
      <c r="AHS15" s="92"/>
      <c r="AHT15" s="92"/>
      <c r="AHU15" s="92"/>
      <c r="AHV15" s="92"/>
      <c r="AHW15" s="92"/>
      <c r="AHX15" s="92"/>
      <c r="AHY15" s="92"/>
      <c r="AHZ15" s="92"/>
      <c r="AIA15" s="92"/>
      <c r="AIB15" s="92"/>
      <c r="AIC15" s="92"/>
      <c r="AID15" s="92"/>
      <c r="AIE15" s="92"/>
      <c r="AIF15" s="92"/>
      <c r="AIG15" s="92"/>
      <c r="AIH15" s="92"/>
      <c r="AII15" s="92"/>
      <c r="AIJ15" s="92"/>
      <c r="AIK15" s="92"/>
      <c r="AIL15" s="92"/>
      <c r="AIM15" s="92"/>
      <c r="AIN15" s="92"/>
      <c r="AIO15" s="92"/>
      <c r="AIP15" s="92"/>
      <c r="AIQ15" s="92"/>
      <c r="AIR15" s="92"/>
      <c r="AIS15" s="92"/>
      <c r="AIT15" s="92"/>
      <c r="AIU15" s="92"/>
      <c r="AIV15" s="92"/>
      <c r="AIW15" s="92"/>
      <c r="AIX15" s="92"/>
      <c r="AIY15" s="92"/>
      <c r="AIZ15" s="92"/>
      <c r="AJA15" s="92"/>
      <c r="AJB15" s="92"/>
      <c r="AJC15" s="92"/>
      <c r="AJD15" s="92"/>
      <c r="AJE15" s="92"/>
      <c r="AJF15" s="92"/>
      <c r="AJG15" s="92"/>
      <c r="AJH15" s="92"/>
      <c r="AJI15" s="92"/>
      <c r="AJJ15" s="92"/>
      <c r="AJK15" s="92"/>
      <c r="AJL15" s="92"/>
      <c r="AJM15" s="92"/>
      <c r="AJN15" s="92"/>
      <c r="AJO15" s="92"/>
      <c r="AJP15" s="92"/>
      <c r="AJQ15" s="92"/>
      <c r="AJR15" s="92"/>
      <c r="AJS15" s="92"/>
      <c r="AJT15" s="92"/>
      <c r="AJU15" s="92"/>
      <c r="AJV15" s="92"/>
      <c r="AJW15" s="92"/>
      <c r="AJX15" s="92"/>
      <c r="AJY15" s="92"/>
      <c r="AJZ15" s="92"/>
      <c r="AKA15" s="92"/>
      <c r="AKB15" s="92"/>
      <c r="AKC15" s="92"/>
      <c r="AKD15" s="92"/>
      <c r="AKE15" s="92"/>
      <c r="AKF15" s="92"/>
      <c r="AKG15" s="92"/>
      <c r="AKH15" s="92"/>
      <c r="AKI15" s="92"/>
      <c r="AKJ15" s="92"/>
      <c r="AKK15" s="92"/>
      <c r="AKL15" s="92"/>
      <c r="AKM15" s="92"/>
      <c r="AKN15" s="92"/>
      <c r="AKO15" s="92"/>
      <c r="AKP15" s="92"/>
      <c r="AKQ15" s="92"/>
      <c r="AKR15" s="92"/>
      <c r="AKS15" s="92"/>
      <c r="AKT15" s="92"/>
      <c r="AKU15" s="92"/>
      <c r="AKV15" s="92"/>
      <c r="AKW15" s="92"/>
      <c r="AKX15" s="92"/>
      <c r="AKY15" s="92"/>
      <c r="AKZ15" s="92"/>
      <c r="ALA15" s="92"/>
      <c r="ALB15" s="92"/>
      <c r="ALC15" s="92"/>
      <c r="ALD15" s="92"/>
      <c r="ALE15" s="92"/>
      <c r="ALF15" s="92"/>
      <c r="ALG15" s="92"/>
      <c r="ALH15" s="92"/>
      <c r="ALI15" s="92"/>
      <c r="ALJ15" s="92"/>
      <c r="ALK15" s="92"/>
      <c r="ALL15" s="92"/>
      <c r="ALM15" s="92"/>
      <c r="ALN15" s="92"/>
      <c r="ALO15" s="92"/>
      <c r="ALP15" s="92"/>
      <c r="ALQ15" s="92"/>
      <c r="ALR15" s="92"/>
      <c r="ALS15" s="92"/>
      <c r="ALT15" s="92"/>
      <c r="ALU15" s="92"/>
      <c r="ALV15" s="92"/>
      <c r="ALW15" s="92"/>
      <c r="ALX15" s="92"/>
      <c r="ALY15" s="92"/>
      <c r="ALZ15" s="92"/>
      <c r="AMA15" s="92"/>
      <c r="AMB15" s="92"/>
      <c r="AMC15" s="92"/>
      <c r="AMD15" s="92"/>
      <c r="AME15" s="92"/>
      <c r="AMF15" s="92"/>
      <c r="AMG15" s="92"/>
      <c r="AMH15" s="92"/>
      <c r="AMI15" s="92"/>
      <c r="AMJ15" s="92"/>
      <c r="AMK15" s="92"/>
      <c r="AML15" s="92"/>
    </row>
    <row r="16" spans="1:1026" s="93" customFormat="1" ht="15" x14ac:dyDescent="0.25">
      <c r="A16" s="92"/>
      <c r="B16" s="49" t="s">
        <v>412</v>
      </c>
      <c r="C16" s="50" t="s">
        <v>414</v>
      </c>
      <c r="D16" s="135" t="s">
        <v>416</v>
      </c>
      <c r="E16" s="59"/>
      <c r="F16" s="53" t="s">
        <v>18</v>
      </c>
      <c r="G16" s="54" t="s">
        <v>27</v>
      </c>
      <c r="H16" s="166"/>
      <c r="I16" s="166"/>
      <c r="J16" s="166"/>
      <c r="K16" s="167" t="s">
        <v>417</v>
      </c>
      <c r="L16" s="77"/>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c r="HQ16" s="92"/>
      <c r="HR16" s="92"/>
      <c r="HS16" s="92"/>
      <c r="HT16" s="92"/>
      <c r="HU16" s="92"/>
      <c r="HV16" s="92"/>
      <c r="HW16" s="92"/>
      <c r="HX16" s="92"/>
      <c r="HY16" s="92"/>
      <c r="HZ16" s="92"/>
      <c r="IA16" s="92"/>
      <c r="IB16" s="92"/>
      <c r="IC16" s="92"/>
      <c r="ID16" s="92"/>
      <c r="IE16" s="92"/>
      <c r="IF16" s="92"/>
      <c r="IG16" s="92"/>
      <c r="IH16" s="92"/>
      <c r="II16" s="92"/>
      <c r="IJ16" s="92"/>
      <c r="IK16" s="92"/>
      <c r="IL16" s="92"/>
      <c r="IM16" s="92"/>
      <c r="IN16" s="92"/>
      <c r="IO16" s="92"/>
      <c r="IP16" s="92"/>
      <c r="IQ16" s="92"/>
      <c r="IR16" s="92"/>
      <c r="IS16" s="92"/>
      <c r="IT16" s="92"/>
      <c r="IU16" s="92"/>
      <c r="IV16" s="92"/>
      <c r="IW16" s="92"/>
      <c r="IX16" s="92"/>
      <c r="IY16" s="92"/>
      <c r="IZ16" s="92"/>
      <c r="JA16" s="92"/>
      <c r="JB16" s="92"/>
      <c r="JC16" s="92"/>
      <c r="JD16" s="92"/>
      <c r="JE16" s="92"/>
      <c r="JF16" s="92"/>
      <c r="JG16" s="92"/>
      <c r="JH16" s="92"/>
      <c r="JI16" s="92"/>
      <c r="JJ16" s="92"/>
      <c r="JK16" s="92"/>
      <c r="JL16" s="92"/>
      <c r="JM16" s="92"/>
      <c r="JN16" s="92"/>
      <c r="JO16" s="92"/>
      <c r="JP16" s="92"/>
      <c r="JQ16" s="92"/>
      <c r="JR16" s="92"/>
      <c r="JS16" s="92"/>
      <c r="JT16" s="92"/>
      <c r="JU16" s="92"/>
      <c r="JV16" s="92"/>
      <c r="JW16" s="92"/>
      <c r="JX16" s="92"/>
      <c r="JY16" s="92"/>
      <c r="JZ16" s="92"/>
      <c r="KA16" s="92"/>
      <c r="KB16" s="92"/>
      <c r="KC16" s="92"/>
      <c r="KD16" s="92"/>
      <c r="KE16" s="92"/>
      <c r="KF16" s="92"/>
      <c r="KG16" s="92"/>
      <c r="KH16" s="92"/>
      <c r="KI16" s="92"/>
      <c r="KJ16" s="92"/>
      <c r="KK16" s="92"/>
      <c r="KL16" s="92"/>
      <c r="KM16" s="92"/>
      <c r="KN16" s="92"/>
      <c r="KO16" s="92"/>
      <c r="KP16" s="92"/>
      <c r="KQ16" s="92"/>
      <c r="KR16" s="92"/>
      <c r="KS16" s="92"/>
      <c r="KT16" s="92"/>
      <c r="KU16" s="92"/>
      <c r="KV16" s="92"/>
      <c r="KW16" s="92"/>
      <c r="KX16" s="92"/>
      <c r="KY16" s="92"/>
      <c r="KZ16" s="92"/>
      <c r="LA16" s="92"/>
      <c r="LB16" s="92"/>
      <c r="LC16" s="92"/>
      <c r="LD16" s="92"/>
      <c r="LE16" s="92"/>
      <c r="LF16" s="92"/>
      <c r="LG16" s="92"/>
      <c r="LH16" s="92"/>
      <c r="LI16" s="92"/>
      <c r="LJ16" s="92"/>
      <c r="LK16" s="92"/>
      <c r="LL16" s="92"/>
      <c r="LM16" s="92"/>
      <c r="LN16" s="92"/>
      <c r="LO16" s="92"/>
      <c r="LP16" s="92"/>
      <c r="LQ16" s="92"/>
      <c r="LR16" s="92"/>
      <c r="LS16" s="92"/>
      <c r="LT16" s="92"/>
      <c r="LU16" s="92"/>
      <c r="LV16" s="92"/>
      <c r="LW16" s="92"/>
      <c r="LX16" s="92"/>
      <c r="LY16" s="92"/>
      <c r="LZ16" s="92"/>
      <c r="MA16" s="92"/>
      <c r="MB16" s="92"/>
      <c r="MC16" s="92"/>
      <c r="MD16" s="92"/>
      <c r="ME16" s="92"/>
      <c r="MF16" s="92"/>
      <c r="MG16" s="92"/>
      <c r="MH16" s="92"/>
      <c r="MI16" s="92"/>
      <c r="MJ16" s="92"/>
      <c r="MK16" s="92"/>
      <c r="ML16" s="92"/>
      <c r="MM16" s="92"/>
      <c r="MN16" s="92"/>
      <c r="MO16" s="92"/>
      <c r="MP16" s="92"/>
      <c r="MQ16" s="92"/>
      <c r="MR16" s="92"/>
      <c r="MS16" s="92"/>
      <c r="MT16" s="92"/>
      <c r="MU16" s="92"/>
      <c r="MV16" s="92"/>
      <c r="MW16" s="92"/>
      <c r="MX16" s="92"/>
      <c r="MY16" s="92"/>
      <c r="MZ16" s="92"/>
      <c r="NA16" s="92"/>
      <c r="NB16" s="92"/>
      <c r="NC16" s="92"/>
      <c r="ND16" s="92"/>
      <c r="NE16" s="92"/>
      <c r="NF16" s="92"/>
      <c r="NG16" s="92"/>
      <c r="NH16" s="92"/>
      <c r="NI16" s="92"/>
      <c r="NJ16" s="92"/>
      <c r="NK16" s="92"/>
      <c r="NL16" s="92"/>
      <c r="NM16" s="92"/>
      <c r="NN16" s="92"/>
      <c r="NO16" s="92"/>
      <c r="NP16" s="92"/>
      <c r="NQ16" s="92"/>
      <c r="NR16" s="92"/>
      <c r="NS16" s="92"/>
      <c r="NT16" s="92"/>
      <c r="NU16" s="92"/>
      <c r="NV16" s="92"/>
      <c r="NW16" s="92"/>
      <c r="NX16" s="92"/>
      <c r="NY16" s="92"/>
      <c r="NZ16" s="92"/>
      <c r="OA16" s="92"/>
      <c r="OB16" s="92"/>
      <c r="OC16" s="92"/>
      <c r="OD16" s="92"/>
      <c r="OE16" s="92"/>
      <c r="OF16" s="92"/>
      <c r="OG16" s="92"/>
      <c r="OH16" s="92"/>
      <c r="OI16" s="92"/>
      <c r="OJ16" s="92"/>
      <c r="OK16" s="92"/>
      <c r="OL16" s="92"/>
      <c r="OM16" s="92"/>
      <c r="ON16" s="92"/>
      <c r="OO16" s="92"/>
      <c r="OP16" s="92"/>
      <c r="OQ16" s="92"/>
      <c r="OR16" s="92"/>
      <c r="OS16" s="92"/>
      <c r="OT16" s="92"/>
      <c r="OU16" s="92"/>
      <c r="OV16" s="92"/>
      <c r="OW16" s="92"/>
      <c r="OX16" s="92"/>
      <c r="OY16" s="92"/>
      <c r="OZ16" s="92"/>
      <c r="PA16" s="92"/>
      <c r="PB16" s="92"/>
      <c r="PC16" s="92"/>
      <c r="PD16" s="92"/>
      <c r="PE16" s="92"/>
      <c r="PF16" s="92"/>
      <c r="PG16" s="92"/>
      <c r="PH16" s="92"/>
      <c r="PI16" s="92"/>
      <c r="PJ16" s="92"/>
      <c r="PK16" s="92"/>
      <c r="PL16" s="92"/>
      <c r="PM16" s="92"/>
      <c r="PN16" s="92"/>
      <c r="PO16" s="92"/>
      <c r="PP16" s="92"/>
      <c r="PQ16" s="92"/>
      <c r="PR16" s="92"/>
      <c r="PS16" s="92"/>
      <c r="PT16" s="92"/>
      <c r="PU16" s="92"/>
      <c r="PV16" s="92"/>
      <c r="PW16" s="92"/>
      <c r="PX16" s="92"/>
      <c r="PY16" s="92"/>
      <c r="PZ16" s="92"/>
      <c r="QA16" s="92"/>
      <c r="QB16" s="92"/>
      <c r="QC16" s="92"/>
      <c r="QD16" s="92"/>
      <c r="QE16" s="92"/>
      <c r="QF16" s="92"/>
      <c r="QG16" s="92"/>
      <c r="QH16" s="92"/>
      <c r="QI16" s="92"/>
      <c r="QJ16" s="92"/>
      <c r="QK16" s="92"/>
      <c r="QL16" s="92"/>
      <c r="QM16" s="92"/>
      <c r="QN16" s="92"/>
      <c r="QO16" s="92"/>
      <c r="QP16" s="92"/>
      <c r="QQ16" s="92"/>
      <c r="QR16" s="92"/>
      <c r="QS16" s="92"/>
      <c r="QT16" s="92"/>
      <c r="QU16" s="92"/>
      <c r="QV16" s="92"/>
      <c r="QW16" s="92"/>
      <c r="QX16" s="92"/>
      <c r="QY16" s="92"/>
      <c r="QZ16" s="92"/>
      <c r="RA16" s="92"/>
      <c r="RB16" s="92"/>
      <c r="RC16" s="92"/>
      <c r="RD16" s="92"/>
      <c r="RE16" s="92"/>
      <c r="RF16" s="92"/>
      <c r="RG16" s="92"/>
      <c r="RH16" s="92"/>
      <c r="RI16" s="92"/>
      <c r="RJ16" s="92"/>
      <c r="RK16" s="92"/>
      <c r="RL16" s="92"/>
      <c r="RM16" s="92"/>
      <c r="RN16" s="92"/>
      <c r="RO16" s="92"/>
      <c r="RP16" s="92"/>
      <c r="RQ16" s="92"/>
      <c r="RR16" s="92"/>
      <c r="RS16" s="92"/>
      <c r="RT16" s="92"/>
      <c r="RU16" s="92"/>
      <c r="RV16" s="92"/>
      <c r="RW16" s="92"/>
      <c r="RX16" s="92"/>
      <c r="RY16" s="92"/>
      <c r="RZ16" s="92"/>
      <c r="SA16" s="92"/>
      <c r="SB16" s="92"/>
      <c r="SC16" s="92"/>
      <c r="SD16" s="92"/>
      <c r="SE16" s="92"/>
      <c r="SF16" s="92"/>
      <c r="SG16" s="92"/>
      <c r="SH16" s="92"/>
      <c r="SI16" s="92"/>
      <c r="SJ16" s="92"/>
      <c r="SK16" s="92"/>
      <c r="SL16" s="92"/>
      <c r="SM16" s="92"/>
      <c r="SN16" s="92"/>
      <c r="SO16" s="92"/>
      <c r="SP16" s="92"/>
      <c r="SQ16" s="92"/>
      <c r="SR16" s="92"/>
      <c r="SS16" s="92"/>
      <c r="ST16" s="92"/>
      <c r="SU16" s="92"/>
      <c r="SV16" s="92"/>
      <c r="SW16" s="92"/>
      <c r="SX16" s="92"/>
      <c r="SY16" s="92"/>
      <c r="SZ16" s="92"/>
      <c r="TA16" s="92"/>
      <c r="TB16" s="92"/>
      <c r="TC16" s="92"/>
      <c r="TD16" s="92"/>
      <c r="TE16" s="92"/>
      <c r="TF16" s="92"/>
      <c r="TG16" s="92"/>
      <c r="TH16" s="92"/>
      <c r="TI16" s="92"/>
      <c r="TJ16" s="92"/>
      <c r="TK16" s="92"/>
      <c r="TL16" s="92"/>
      <c r="TM16" s="92"/>
      <c r="TN16" s="92"/>
      <c r="TO16" s="92"/>
      <c r="TP16" s="92"/>
      <c r="TQ16" s="92"/>
      <c r="TR16" s="92"/>
      <c r="TS16" s="92"/>
      <c r="TT16" s="92"/>
      <c r="TU16" s="92"/>
      <c r="TV16" s="92"/>
      <c r="TW16" s="92"/>
      <c r="TX16" s="92"/>
      <c r="TY16" s="92"/>
      <c r="TZ16" s="92"/>
      <c r="UA16" s="92"/>
      <c r="UB16" s="92"/>
      <c r="UC16" s="92"/>
      <c r="UD16" s="92"/>
      <c r="UE16" s="92"/>
      <c r="UF16" s="92"/>
      <c r="UG16" s="92"/>
      <c r="UH16" s="92"/>
      <c r="UI16" s="92"/>
      <c r="UJ16" s="92"/>
      <c r="UK16" s="92"/>
      <c r="UL16" s="92"/>
      <c r="UM16" s="92"/>
      <c r="UN16" s="92"/>
      <c r="UO16" s="92"/>
      <c r="UP16" s="92"/>
      <c r="UQ16" s="92"/>
      <c r="UR16" s="92"/>
      <c r="US16" s="92"/>
      <c r="UT16" s="92"/>
      <c r="UU16" s="92"/>
      <c r="UV16" s="92"/>
      <c r="UW16" s="92"/>
      <c r="UX16" s="92"/>
      <c r="UY16" s="92"/>
      <c r="UZ16" s="92"/>
      <c r="VA16" s="92"/>
      <c r="VB16" s="92"/>
      <c r="VC16" s="92"/>
      <c r="VD16" s="92"/>
      <c r="VE16" s="92"/>
      <c r="VF16" s="92"/>
      <c r="VG16" s="92"/>
      <c r="VH16" s="92"/>
      <c r="VI16" s="92"/>
      <c r="VJ16" s="92"/>
      <c r="VK16" s="92"/>
      <c r="VL16" s="92"/>
      <c r="VM16" s="92"/>
      <c r="VN16" s="92"/>
      <c r="VO16" s="92"/>
      <c r="VP16" s="92"/>
      <c r="VQ16" s="92"/>
      <c r="VR16" s="92"/>
      <c r="VS16" s="92"/>
      <c r="VT16" s="92"/>
      <c r="VU16" s="92"/>
      <c r="VV16" s="92"/>
      <c r="VW16" s="92"/>
      <c r="VX16" s="92"/>
      <c r="VY16" s="92"/>
      <c r="VZ16" s="92"/>
      <c r="WA16" s="92"/>
      <c r="WB16" s="92"/>
      <c r="WC16" s="92"/>
      <c r="WD16" s="92"/>
      <c r="WE16" s="92"/>
      <c r="WF16" s="92"/>
      <c r="WG16" s="92"/>
      <c r="WH16" s="92"/>
      <c r="WI16" s="92"/>
      <c r="WJ16" s="92"/>
      <c r="WK16" s="92"/>
      <c r="WL16" s="92"/>
      <c r="WM16" s="92"/>
      <c r="WN16" s="92"/>
      <c r="WO16" s="92"/>
      <c r="WP16" s="92"/>
      <c r="WQ16" s="92"/>
      <c r="WR16" s="92"/>
      <c r="WS16" s="92"/>
      <c r="WT16" s="92"/>
      <c r="WU16" s="92"/>
      <c r="WV16" s="92"/>
      <c r="WW16" s="92"/>
      <c r="WX16" s="92"/>
      <c r="WY16" s="92"/>
      <c r="WZ16" s="92"/>
      <c r="XA16" s="92"/>
      <c r="XB16" s="92"/>
      <c r="XC16" s="92"/>
      <c r="XD16" s="92"/>
      <c r="XE16" s="92"/>
      <c r="XF16" s="92"/>
      <c r="XG16" s="92"/>
      <c r="XH16" s="92"/>
      <c r="XI16" s="92"/>
      <c r="XJ16" s="92"/>
      <c r="XK16" s="92"/>
      <c r="XL16" s="92"/>
      <c r="XM16" s="92"/>
      <c r="XN16" s="92"/>
      <c r="XO16" s="92"/>
      <c r="XP16" s="92"/>
      <c r="XQ16" s="92"/>
      <c r="XR16" s="92"/>
      <c r="XS16" s="92"/>
      <c r="XT16" s="92"/>
      <c r="XU16" s="92"/>
      <c r="XV16" s="92"/>
      <c r="XW16" s="92"/>
      <c r="XX16" s="92"/>
      <c r="XY16" s="92"/>
      <c r="XZ16" s="92"/>
      <c r="YA16" s="92"/>
      <c r="YB16" s="92"/>
      <c r="YC16" s="92"/>
      <c r="YD16" s="92"/>
      <c r="YE16" s="92"/>
      <c r="YF16" s="92"/>
      <c r="YG16" s="92"/>
      <c r="YH16" s="92"/>
      <c r="YI16" s="92"/>
      <c r="YJ16" s="92"/>
      <c r="YK16" s="92"/>
      <c r="YL16" s="92"/>
      <c r="YM16" s="92"/>
      <c r="YN16" s="92"/>
      <c r="YO16" s="92"/>
      <c r="YP16" s="92"/>
      <c r="YQ16" s="92"/>
      <c r="YR16" s="92"/>
      <c r="YS16" s="92"/>
      <c r="YT16" s="92"/>
      <c r="YU16" s="92"/>
      <c r="YV16" s="92"/>
      <c r="YW16" s="92"/>
      <c r="YX16" s="92"/>
      <c r="YY16" s="92"/>
      <c r="YZ16" s="92"/>
      <c r="ZA16" s="92"/>
      <c r="ZB16" s="92"/>
      <c r="ZC16" s="92"/>
      <c r="ZD16" s="92"/>
      <c r="ZE16" s="92"/>
      <c r="ZF16" s="92"/>
      <c r="ZG16" s="92"/>
      <c r="ZH16" s="92"/>
      <c r="ZI16" s="92"/>
      <c r="ZJ16" s="92"/>
      <c r="ZK16" s="92"/>
      <c r="ZL16" s="92"/>
      <c r="ZM16" s="92"/>
      <c r="ZN16" s="92"/>
      <c r="ZO16" s="92"/>
      <c r="ZP16" s="92"/>
      <c r="ZQ16" s="92"/>
      <c r="ZR16" s="92"/>
      <c r="ZS16" s="92"/>
      <c r="ZT16" s="92"/>
      <c r="ZU16" s="92"/>
      <c r="ZV16" s="92"/>
      <c r="ZW16" s="92"/>
      <c r="ZX16" s="92"/>
      <c r="ZY16" s="92"/>
      <c r="ZZ16" s="92"/>
      <c r="AAA16" s="92"/>
      <c r="AAB16" s="92"/>
      <c r="AAC16" s="92"/>
      <c r="AAD16" s="92"/>
      <c r="AAE16" s="92"/>
      <c r="AAF16" s="92"/>
      <c r="AAG16" s="92"/>
      <c r="AAH16" s="92"/>
      <c r="AAI16" s="92"/>
      <c r="AAJ16" s="92"/>
      <c r="AAK16" s="92"/>
      <c r="AAL16" s="92"/>
      <c r="AAM16" s="92"/>
      <c r="AAN16" s="92"/>
      <c r="AAO16" s="92"/>
      <c r="AAP16" s="92"/>
      <c r="AAQ16" s="92"/>
      <c r="AAR16" s="92"/>
      <c r="AAS16" s="92"/>
      <c r="AAT16" s="92"/>
      <c r="AAU16" s="92"/>
      <c r="AAV16" s="92"/>
      <c r="AAW16" s="92"/>
      <c r="AAX16" s="92"/>
      <c r="AAY16" s="92"/>
      <c r="AAZ16" s="92"/>
      <c r="ABA16" s="92"/>
      <c r="ABB16" s="92"/>
      <c r="ABC16" s="92"/>
      <c r="ABD16" s="92"/>
      <c r="ABE16" s="92"/>
      <c r="ABF16" s="92"/>
      <c r="ABG16" s="92"/>
      <c r="ABH16" s="92"/>
      <c r="ABI16" s="92"/>
      <c r="ABJ16" s="92"/>
      <c r="ABK16" s="92"/>
      <c r="ABL16" s="92"/>
      <c r="ABM16" s="92"/>
      <c r="ABN16" s="92"/>
      <c r="ABO16" s="92"/>
      <c r="ABP16" s="92"/>
      <c r="ABQ16" s="92"/>
      <c r="ABR16" s="92"/>
      <c r="ABS16" s="92"/>
      <c r="ABT16" s="92"/>
      <c r="ABU16" s="92"/>
      <c r="ABV16" s="92"/>
      <c r="ABW16" s="92"/>
      <c r="ABX16" s="92"/>
      <c r="ABY16" s="92"/>
      <c r="ABZ16" s="92"/>
      <c r="ACA16" s="92"/>
      <c r="ACB16" s="92"/>
      <c r="ACC16" s="92"/>
      <c r="ACD16" s="92"/>
      <c r="ACE16" s="92"/>
      <c r="ACF16" s="92"/>
      <c r="ACG16" s="92"/>
      <c r="ACH16" s="92"/>
      <c r="ACI16" s="92"/>
      <c r="ACJ16" s="92"/>
      <c r="ACK16" s="92"/>
      <c r="ACL16" s="92"/>
      <c r="ACM16" s="92"/>
      <c r="ACN16" s="92"/>
      <c r="ACO16" s="92"/>
      <c r="ACP16" s="92"/>
      <c r="ACQ16" s="92"/>
      <c r="ACR16" s="92"/>
      <c r="ACS16" s="92"/>
      <c r="ACT16" s="92"/>
      <c r="ACU16" s="92"/>
      <c r="ACV16" s="92"/>
      <c r="ACW16" s="92"/>
      <c r="ACX16" s="92"/>
      <c r="ACY16" s="92"/>
      <c r="ACZ16" s="92"/>
      <c r="ADA16" s="92"/>
      <c r="ADB16" s="92"/>
      <c r="ADC16" s="92"/>
      <c r="ADD16" s="92"/>
      <c r="ADE16" s="92"/>
      <c r="ADF16" s="92"/>
      <c r="ADG16" s="92"/>
      <c r="ADH16" s="92"/>
      <c r="ADI16" s="92"/>
      <c r="ADJ16" s="92"/>
      <c r="ADK16" s="92"/>
      <c r="ADL16" s="92"/>
      <c r="ADM16" s="92"/>
      <c r="ADN16" s="92"/>
      <c r="ADO16" s="92"/>
      <c r="ADP16" s="92"/>
      <c r="ADQ16" s="92"/>
      <c r="ADR16" s="92"/>
      <c r="ADS16" s="92"/>
      <c r="ADT16" s="92"/>
      <c r="ADU16" s="92"/>
      <c r="ADV16" s="92"/>
      <c r="ADW16" s="92"/>
      <c r="ADX16" s="92"/>
      <c r="ADY16" s="92"/>
      <c r="ADZ16" s="92"/>
      <c r="AEA16" s="92"/>
      <c r="AEB16" s="92"/>
      <c r="AEC16" s="92"/>
      <c r="AED16" s="92"/>
      <c r="AEE16" s="92"/>
      <c r="AEF16" s="92"/>
      <c r="AEG16" s="92"/>
      <c r="AEH16" s="92"/>
      <c r="AEI16" s="92"/>
      <c r="AEJ16" s="92"/>
      <c r="AEK16" s="92"/>
      <c r="AEL16" s="92"/>
      <c r="AEM16" s="92"/>
      <c r="AEN16" s="92"/>
      <c r="AEO16" s="92"/>
      <c r="AEP16" s="92"/>
      <c r="AEQ16" s="92"/>
      <c r="AER16" s="92"/>
      <c r="AES16" s="92"/>
      <c r="AET16" s="92"/>
      <c r="AEU16" s="92"/>
      <c r="AEV16" s="92"/>
      <c r="AEW16" s="92"/>
      <c r="AEX16" s="92"/>
      <c r="AEY16" s="92"/>
      <c r="AEZ16" s="92"/>
      <c r="AFA16" s="92"/>
      <c r="AFB16" s="92"/>
      <c r="AFC16" s="92"/>
      <c r="AFD16" s="92"/>
      <c r="AFE16" s="92"/>
      <c r="AFF16" s="92"/>
      <c r="AFG16" s="92"/>
      <c r="AFH16" s="92"/>
      <c r="AFI16" s="92"/>
      <c r="AFJ16" s="92"/>
      <c r="AFK16" s="92"/>
      <c r="AFL16" s="92"/>
      <c r="AFM16" s="92"/>
      <c r="AFN16" s="92"/>
      <c r="AFO16" s="92"/>
      <c r="AFP16" s="92"/>
      <c r="AFQ16" s="92"/>
      <c r="AFR16" s="92"/>
      <c r="AFS16" s="92"/>
      <c r="AFT16" s="92"/>
      <c r="AFU16" s="92"/>
      <c r="AFV16" s="92"/>
      <c r="AFW16" s="92"/>
      <c r="AFX16" s="92"/>
      <c r="AFY16" s="92"/>
      <c r="AFZ16" s="92"/>
      <c r="AGA16" s="92"/>
      <c r="AGB16" s="92"/>
      <c r="AGC16" s="92"/>
      <c r="AGD16" s="92"/>
      <c r="AGE16" s="92"/>
      <c r="AGF16" s="92"/>
      <c r="AGG16" s="92"/>
      <c r="AGH16" s="92"/>
      <c r="AGI16" s="92"/>
      <c r="AGJ16" s="92"/>
      <c r="AGK16" s="92"/>
      <c r="AGL16" s="92"/>
      <c r="AGM16" s="92"/>
      <c r="AGN16" s="92"/>
      <c r="AGO16" s="92"/>
      <c r="AGP16" s="92"/>
      <c r="AGQ16" s="92"/>
      <c r="AGR16" s="92"/>
      <c r="AGS16" s="92"/>
      <c r="AGT16" s="92"/>
      <c r="AGU16" s="92"/>
      <c r="AGV16" s="92"/>
      <c r="AGW16" s="92"/>
      <c r="AGX16" s="92"/>
      <c r="AGY16" s="92"/>
      <c r="AGZ16" s="92"/>
      <c r="AHA16" s="92"/>
      <c r="AHB16" s="92"/>
      <c r="AHC16" s="92"/>
      <c r="AHD16" s="92"/>
      <c r="AHE16" s="92"/>
      <c r="AHF16" s="92"/>
      <c r="AHG16" s="92"/>
      <c r="AHH16" s="92"/>
      <c r="AHI16" s="92"/>
      <c r="AHJ16" s="92"/>
      <c r="AHK16" s="92"/>
      <c r="AHL16" s="92"/>
      <c r="AHM16" s="92"/>
      <c r="AHN16" s="92"/>
      <c r="AHO16" s="92"/>
      <c r="AHP16" s="92"/>
      <c r="AHQ16" s="92"/>
      <c r="AHR16" s="92"/>
      <c r="AHS16" s="92"/>
      <c r="AHT16" s="92"/>
      <c r="AHU16" s="92"/>
      <c r="AHV16" s="92"/>
      <c r="AHW16" s="92"/>
      <c r="AHX16" s="92"/>
      <c r="AHY16" s="92"/>
      <c r="AHZ16" s="92"/>
      <c r="AIA16" s="92"/>
      <c r="AIB16" s="92"/>
      <c r="AIC16" s="92"/>
      <c r="AID16" s="92"/>
      <c r="AIE16" s="92"/>
      <c r="AIF16" s="92"/>
      <c r="AIG16" s="92"/>
      <c r="AIH16" s="92"/>
      <c r="AII16" s="92"/>
      <c r="AIJ16" s="92"/>
      <c r="AIK16" s="92"/>
      <c r="AIL16" s="92"/>
      <c r="AIM16" s="92"/>
      <c r="AIN16" s="92"/>
      <c r="AIO16" s="92"/>
      <c r="AIP16" s="92"/>
      <c r="AIQ16" s="92"/>
      <c r="AIR16" s="92"/>
      <c r="AIS16" s="92"/>
      <c r="AIT16" s="92"/>
      <c r="AIU16" s="92"/>
      <c r="AIV16" s="92"/>
      <c r="AIW16" s="92"/>
      <c r="AIX16" s="92"/>
      <c r="AIY16" s="92"/>
      <c r="AIZ16" s="92"/>
      <c r="AJA16" s="92"/>
      <c r="AJB16" s="92"/>
      <c r="AJC16" s="92"/>
      <c r="AJD16" s="92"/>
      <c r="AJE16" s="92"/>
      <c r="AJF16" s="92"/>
      <c r="AJG16" s="92"/>
      <c r="AJH16" s="92"/>
      <c r="AJI16" s="92"/>
      <c r="AJJ16" s="92"/>
      <c r="AJK16" s="92"/>
      <c r="AJL16" s="92"/>
      <c r="AJM16" s="92"/>
      <c r="AJN16" s="92"/>
      <c r="AJO16" s="92"/>
      <c r="AJP16" s="92"/>
      <c r="AJQ16" s="92"/>
      <c r="AJR16" s="92"/>
      <c r="AJS16" s="92"/>
      <c r="AJT16" s="92"/>
      <c r="AJU16" s="92"/>
      <c r="AJV16" s="92"/>
      <c r="AJW16" s="92"/>
      <c r="AJX16" s="92"/>
      <c r="AJY16" s="92"/>
      <c r="AJZ16" s="92"/>
      <c r="AKA16" s="92"/>
      <c r="AKB16" s="92"/>
      <c r="AKC16" s="92"/>
      <c r="AKD16" s="92"/>
      <c r="AKE16" s="92"/>
      <c r="AKF16" s="92"/>
      <c r="AKG16" s="92"/>
      <c r="AKH16" s="92"/>
      <c r="AKI16" s="92"/>
      <c r="AKJ16" s="92"/>
      <c r="AKK16" s="92"/>
      <c r="AKL16" s="92"/>
      <c r="AKM16" s="92"/>
      <c r="AKN16" s="92"/>
      <c r="AKO16" s="92"/>
      <c r="AKP16" s="92"/>
      <c r="AKQ16" s="92"/>
      <c r="AKR16" s="92"/>
      <c r="AKS16" s="92"/>
      <c r="AKT16" s="92"/>
      <c r="AKU16" s="92"/>
      <c r="AKV16" s="92"/>
      <c r="AKW16" s="92"/>
      <c r="AKX16" s="92"/>
      <c r="AKY16" s="92"/>
      <c r="AKZ16" s="92"/>
      <c r="ALA16" s="92"/>
      <c r="ALB16" s="92"/>
      <c r="ALC16" s="92"/>
      <c r="ALD16" s="92"/>
      <c r="ALE16" s="92"/>
      <c r="ALF16" s="92"/>
      <c r="ALG16" s="92"/>
      <c r="ALH16" s="92"/>
      <c r="ALI16" s="92"/>
      <c r="ALJ16" s="92"/>
      <c r="ALK16" s="92"/>
      <c r="ALL16" s="92"/>
      <c r="ALM16" s="92"/>
      <c r="ALN16" s="92"/>
      <c r="ALO16" s="92"/>
      <c r="ALP16" s="92"/>
      <c r="ALQ16" s="92"/>
      <c r="ALR16" s="92"/>
      <c r="ALS16" s="92"/>
      <c r="ALT16" s="92"/>
      <c r="ALU16" s="92"/>
      <c r="ALV16" s="92"/>
      <c r="ALW16" s="92"/>
      <c r="ALX16" s="92"/>
      <c r="ALY16" s="92"/>
      <c r="ALZ16" s="92"/>
      <c r="AMA16" s="92"/>
      <c r="AMB16" s="92"/>
      <c r="AMC16" s="92"/>
      <c r="AMD16" s="92"/>
      <c r="AME16" s="92"/>
      <c r="AMF16" s="92"/>
      <c r="AMG16" s="92"/>
      <c r="AMH16" s="92"/>
      <c r="AMI16" s="92"/>
      <c r="AMJ16" s="92"/>
      <c r="AMK16" s="92"/>
      <c r="AML16" s="92"/>
    </row>
    <row r="17" spans="2:12" x14ac:dyDescent="0.25">
      <c r="B17" s="60" t="s">
        <v>38</v>
      </c>
      <c r="C17" s="61"/>
      <c r="D17" s="62" t="s">
        <v>347</v>
      </c>
      <c r="E17" s="63"/>
      <c r="F17" s="64"/>
      <c r="G17" s="63"/>
      <c r="H17" s="65"/>
      <c r="I17" s="66"/>
      <c r="J17" s="66"/>
      <c r="K17" s="76"/>
    </row>
    <row r="18" spans="2:12" x14ac:dyDescent="0.25">
      <c r="B18" s="68" t="s">
        <v>39</v>
      </c>
      <c r="C18" s="69" t="s">
        <v>40</v>
      </c>
      <c r="D18" s="51" t="s">
        <v>350</v>
      </c>
      <c r="E18" s="52" t="s">
        <v>18</v>
      </c>
      <c r="F18" s="53" t="s">
        <v>18</v>
      </c>
      <c r="G18" s="54"/>
      <c r="H18" s="71" t="str">
        <f>HYPERLINK(CONCATENATE(BASE_URL,"0x06d-Testing-Data-Storage.md#testing-local-data-storage-mstg-storage-1-and-mstg-storage-2"),"Testing Local Data Storage (MSTG-STORAGE-1 and MSTG-STORAGE-2)")</f>
        <v>Testing Local Data Storage (MSTG-STORAGE-1 and MSTG-STORAGE-2)</v>
      </c>
      <c r="I18" s="58"/>
      <c r="J18" s="58"/>
      <c r="K18" s="56"/>
    </row>
    <row r="19" spans="2:12" x14ac:dyDescent="0.25">
      <c r="B19" s="68" t="s">
        <v>41</v>
      </c>
      <c r="C19" s="69" t="s">
        <v>42</v>
      </c>
      <c r="D19" s="51" t="s">
        <v>351</v>
      </c>
      <c r="E19" s="52"/>
      <c r="F19" s="53"/>
      <c r="G19" s="54"/>
      <c r="H19" s="71" t="str">
        <f>HYPERLINK(CONCATENATE(BASE_URL,"0x06d-Testing-Data-Storage.md#testing-local-data-storage-mstg-storage-1-and-mstg-storage-2"),"Testing Local Data Storage (MSTG-STORAGE-1 and MSTG-STORAGE-2)")</f>
        <v>Testing Local Data Storage (MSTG-STORAGE-1 and MSTG-STORAGE-2)</v>
      </c>
      <c r="I19" s="58"/>
      <c r="J19" s="58"/>
      <c r="K19" s="56"/>
    </row>
    <row r="20" spans="2:12" x14ac:dyDescent="0.25">
      <c r="B20" s="68" t="s">
        <v>43</v>
      </c>
      <c r="C20" s="69" t="s">
        <v>44</v>
      </c>
      <c r="D20" s="51" t="s">
        <v>352</v>
      </c>
      <c r="E20" s="52" t="s">
        <v>18</v>
      </c>
      <c r="F20" s="53" t="s">
        <v>18</v>
      </c>
      <c r="G20" s="54"/>
      <c r="H20" s="71" t="str">
        <f>HYPERLINK(CONCATENATE(BASE_URL,"0x06d-Testing-Data-Storage.md#checking-logs-for-sensitive-data-mstg-storage-3"),"Checking Logs for Sensitive Data (MSTG-STORAGE-3)")</f>
        <v>Checking Logs for Sensitive Data (MSTG-STORAGE-3)</v>
      </c>
      <c r="I20" s="58"/>
      <c r="J20" s="58"/>
      <c r="K20" s="56"/>
    </row>
    <row r="21" spans="2:12" x14ac:dyDescent="0.25">
      <c r="B21" s="68" t="s">
        <v>45</v>
      </c>
      <c r="C21" s="69" t="s">
        <v>46</v>
      </c>
      <c r="D21" s="51" t="s">
        <v>353</v>
      </c>
      <c r="E21" s="52" t="s">
        <v>18</v>
      </c>
      <c r="F21" s="53" t="s">
        <v>18</v>
      </c>
      <c r="G21" s="54"/>
      <c r="H21" s="71"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8"/>
      <c r="J21" s="58"/>
      <c r="K21" s="56"/>
    </row>
    <row r="22" spans="2:12" x14ac:dyDescent="0.25">
      <c r="B22" s="68" t="s">
        <v>47</v>
      </c>
      <c r="C22" s="69" t="s">
        <v>48</v>
      </c>
      <c r="D22" s="73" t="s">
        <v>354</v>
      </c>
      <c r="E22" s="52" t="s">
        <v>18</v>
      </c>
      <c r="F22" s="53" t="s">
        <v>18</v>
      </c>
      <c r="G22" s="54"/>
      <c r="H22" s="71" t="str">
        <f>HYPERLINK(CONCATENATE(BASE_URL,"0x06d-Testing-Data-Storage.md#finding-sensitive-data-in-the-keyboard-cache-mstg-storage-5"),"Finding Sensitive Data in the Keyboard Cache (MSTG-STORAGE-5)")</f>
        <v>Finding Sensitive Data in the Keyboard Cache (MSTG-STORAGE-5)</v>
      </c>
      <c r="I22" s="58"/>
      <c r="J22" s="58"/>
      <c r="K22" s="56"/>
    </row>
    <row r="23" spans="2:12" x14ac:dyDescent="0.25">
      <c r="B23" s="68" t="s">
        <v>49</v>
      </c>
      <c r="C23" s="69" t="s">
        <v>50</v>
      </c>
      <c r="D23" s="73" t="s">
        <v>355</v>
      </c>
      <c r="E23" s="52" t="s">
        <v>18</v>
      </c>
      <c r="F23" s="53" t="s">
        <v>18</v>
      </c>
      <c r="G23" s="54"/>
      <c r="H23" s="70"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8"/>
      <c r="J23" s="58"/>
      <c r="K23" s="56"/>
    </row>
    <row r="24" spans="2:12" x14ac:dyDescent="0.25">
      <c r="B24" s="68" t="s">
        <v>51</v>
      </c>
      <c r="C24" s="69" t="s">
        <v>52</v>
      </c>
      <c r="D24" s="73" t="s">
        <v>356</v>
      </c>
      <c r="E24" s="52" t="s">
        <v>18</v>
      </c>
      <c r="F24" s="53" t="s">
        <v>18</v>
      </c>
      <c r="G24" s="54"/>
      <c r="H24" s="71"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8"/>
      <c r="J24" s="58"/>
      <c r="K24" s="56"/>
    </row>
    <row r="25" spans="2:12" x14ac:dyDescent="0.25">
      <c r="B25" s="68" t="s">
        <v>53</v>
      </c>
      <c r="C25" s="69" t="s">
        <v>54</v>
      </c>
      <c r="D25" s="73" t="s">
        <v>270</v>
      </c>
      <c r="E25" s="74"/>
      <c r="F25" s="53" t="s">
        <v>18</v>
      </c>
      <c r="G25" s="54" t="s">
        <v>27</v>
      </c>
      <c r="H25" s="71" t="str">
        <f>HYPERLINK(CONCATENATE(BASE_URL,"0x06d-Testing-Data-Storage.md#testing-backups-for-sensitive-data-mstg-storage-8"),"Testing Backups for Sensitive Data (MSTG-STORAGE-8)")</f>
        <v>Testing Backups for Sensitive Data (MSTG-STORAGE-8)</v>
      </c>
      <c r="I25" s="58"/>
      <c r="J25" s="58"/>
      <c r="K25" s="56"/>
    </row>
    <row r="26" spans="2:12" x14ac:dyDescent="0.25">
      <c r="B26" s="68" t="s">
        <v>55</v>
      </c>
      <c r="C26" s="69" t="s">
        <v>56</v>
      </c>
      <c r="D26" s="73" t="s">
        <v>357</v>
      </c>
      <c r="E26" s="74"/>
      <c r="F26" s="53" t="s">
        <v>18</v>
      </c>
      <c r="G26" s="54" t="s">
        <v>27</v>
      </c>
      <c r="H26" s="71"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8"/>
      <c r="J26" s="58"/>
      <c r="K26" s="56"/>
    </row>
    <row r="27" spans="2:12" x14ac:dyDescent="0.25">
      <c r="B27" s="68" t="s">
        <v>57</v>
      </c>
      <c r="C27" s="69" t="s">
        <v>58</v>
      </c>
      <c r="D27" s="73" t="s">
        <v>358</v>
      </c>
      <c r="E27" s="74"/>
      <c r="F27" s="53" t="s">
        <v>18</v>
      </c>
      <c r="G27" s="54" t="s">
        <v>27</v>
      </c>
      <c r="H27" s="71" t="str">
        <f>HYPERLINK(CONCATENATE(BASE_URL,"0x06d-Testing-Data-Storage.md#testing-memory-for-sensitive-data-mstg-storage-10"),"Testing Memory for Sensitive Data (MSTG-STORAGE-10)")</f>
        <v>Testing Memory for Sensitive Data (MSTG-STORAGE-10)</v>
      </c>
      <c r="I27" s="58"/>
      <c r="J27" s="58"/>
      <c r="K27" s="56"/>
    </row>
    <row r="28" spans="2:12" x14ac:dyDescent="0.25">
      <c r="B28" s="68" t="s">
        <v>59</v>
      </c>
      <c r="C28" s="69" t="s">
        <v>60</v>
      </c>
      <c r="D28" s="73" t="s">
        <v>359</v>
      </c>
      <c r="E28" s="74"/>
      <c r="F28" s="53" t="s">
        <v>18</v>
      </c>
      <c r="G28" s="54" t="s">
        <v>27</v>
      </c>
      <c r="H28" s="71" t="str">
        <f>HYPERLINK(CONCATENATE(BASE_URL,"0x06f-Testing-Local-Authentication.md#testing-local-authentication-mstg-auth-8-and-mstg-storage-11"),"Testing Local Authentication (MSTG-AUTH-8 and MSTG-STORAGE-11)")</f>
        <v>Testing Local Authentication (MSTG-AUTH-8 and MSTG-STORAGE-11)</v>
      </c>
      <c r="I28" s="58"/>
      <c r="J28" s="58"/>
      <c r="K28" s="56"/>
      <c r="L28" s="112"/>
    </row>
    <row r="29" spans="2:12" x14ac:dyDescent="0.25">
      <c r="B29" s="68" t="s">
        <v>61</v>
      </c>
      <c r="C29" s="69" t="s">
        <v>62</v>
      </c>
      <c r="D29" s="51" t="s">
        <v>360</v>
      </c>
      <c r="E29" s="74"/>
      <c r="F29" s="53" t="s">
        <v>18</v>
      </c>
      <c r="G29" s="54" t="s">
        <v>27</v>
      </c>
      <c r="H29" s="80" t="str">
        <f>HYPERLINK(CONCATENATE(BASE_URL,"0x04i-Testing-user-interaction.md#testing-user-education-mstg-storage-12"),"Testing User Education (MSTG-STORAGE-12)")</f>
        <v>Testing User Education (MSTG-STORAGE-12)</v>
      </c>
      <c r="I29" s="58"/>
      <c r="J29" s="58"/>
      <c r="K29" s="56"/>
      <c r="L29" s="30"/>
    </row>
    <row r="30" spans="2:12" x14ac:dyDescent="0.25">
      <c r="B30" s="60" t="s">
        <v>63</v>
      </c>
      <c r="C30" s="61"/>
      <c r="D30" s="62" t="s">
        <v>275</v>
      </c>
      <c r="E30" s="63"/>
      <c r="F30" s="64"/>
      <c r="G30" s="63"/>
      <c r="H30" s="65"/>
      <c r="I30" s="66"/>
      <c r="J30" s="66"/>
      <c r="K30" s="76"/>
    </row>
    <row r="31" spans="2:12" x14ac:dyDescent="0.25">
      <c r="B31" s="68" t="s">
        <v>64</v>
      </c>
      <c r="C31" s="69" t="s">
        <v>65</v>
      </c>
      <c r="D31" s="73" t="s">
        <v>276</v>
      </c>
      <c r="E31" s="52" t="s">
        <v>18</v>
      </c>
      <c r="F31" s="53" t="s">
        <v>18</v>
      </c>
      <c r="G31" s="54"/>
      <c r="H31" s="71" t="str">
        <f>HYPERLINK(CONCATENATE(BASE_URL,"0x06e-Testing-Cryptography.md#testing-key-management-mstg-crypto-1-and-mstg-crypto-5"),"Testing Key Management (MSTG-CRYPTO-1 and MSTG-CRYPTO-5)")</f>
        <v>Testing Key Management (MSTG-CRYPTO-1 and MSTG-CRYPTO-5)</v>
      </c>
      <c r="I31" s="58"/>
      <c r="J31" s="58"/>
      <c r="K31" s="56"/>
    </row>
    <row r="32" spans="2:12" x14ac:dyDescent="0.25">
      <c r="B32" s="68" t="s">
        <v>66</v>
      </c>
      <c r="C32" s="69" t="s">
        <v>67</v>
      </c>
      <c r="D32" s="73" t="s">
        <v>361</v>
      </c>
      <c r="E32" s="52" t="s">
        <v>18</v>
      </c>
      <c r="F32" s="53" t="s">
        <v>18</v>
      </c>
      <c r="G32" s="54"/>
      <c r="H32" s="7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2" s="58"/>
      <c r="J32" s="58"/>
      <c r="K32" s="56"/>
    </row>
    <row r="33" spans="2:13" x14ac:dyDescent="0.25">
      <c r="B33" s="68" t="s">
        <v>68</v>
      </c>
      <c r="C33" s="69" t="s">
        <v>69</v>
      </c>
      <c r="D33" s="51" t="s">
        <v>362</v>
      </c>
      <c r="E33" s="52" t="s">
        <v>18</v>
      </c>
      <c r="F33" s="53" t="s">
        <v>18</v>
      </c>
      <c r="G33" s="54"/>
      <c r="H33" s="7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3" s="58"/>
      <c r="J33" s="58"/>
      <c r="K33" s="56"/>
    </row>
    <row r="34" spans="2:13" x14ac:dyDescent="0.25">
      <c r="B34" s="68" t="s">
        <v>70</v>
      </c>
      <c r="C34" s="69" t="s">
        <v>71</v>
      </c>
      <c r="D34" s="73" t="s">
        <v>363</v>
      </c>
      <c r="E34" s="52" t="s">
        <v>18</v>
      </c>
      <c r="F34" s="53" t="s">
        <v>18</v>
      </c>
      <c r="G34" s="54"/>
      <c r="H34" s="71"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4" s="58"/>
      <c r="J34" s="58"/>
      <c r="K34" s="56"/>
    </row>
    <row r="35" spans="2:13" x14ac:dyDescent="0.25">
      <c r="B35" s="68" t="s">
        <v>72</v>
      </c>
      <c r="C35" s="69" t="s">
        <v>73</v>
      </c>
      <c r="D35" s="73" t="s">
        <v>364</v>
      </c>
      <c r="E35" s="52" t="s">
        <v>18</v>
      </c>
      <c r="F35" s="53" t="s">
        <v>18</v>
      </c>
      <c r="G35" s="54"/>
      <c r="H35" s="71" t="str">
        <f>HYPERLINK(CONCATENATE(BASE_URL,"0x06e-Testing-Cryptography.md#testing-key-management-mstg-crypto-1-and-mstg-crypto-5"),"Testing Key Management (MSTG-CRYPTO-1 and MSTG-CRYPTO-5)")</f>
        <v>Testing Key Management (MSTG-CRYPTO-1 and MSTG-CRYPTO-5)</v>
      </c>
      <c r="I35" s="58"/>
      <c r="J35" s="58"/>
      <c r="K35" s="56"/>
    </row>
    <row r="36" spans="2:13" x14ac:dyDescent="0.25">
      <c r="B36" s="68" t="s">
        <v>74</v>
      </c>
      <c r="C36" s="69" t="s">
        <v>75</v>
      </c>
      <c r="D36" s="73" t="s">
        <v>365</v>
      </c>
      <c r="E36" s="52" t="s">
        <v>18</v>
      </c>
      <c r="F36" s="53" t="s">
        <v>18</v>
      </c>
      <c r="G36" s="54"/>
      <c r="H36" s="71" t="str">
        <f>HYPERLINK(CONCATENATE(BASE_URL,"0x06e-Testing-Cryptography.md#testing-random-number-generation-mstg-crypto-6")," Testing Random Number Generation (MSTG-CRYPTO-6)")</f>
        <v xml:space="preserve"> Testing Random Number Generation (MSTG-CRYPTO-6)</v>
      </c>
      <c r="I36" s="58"/>
      <c r="J36" s="58"/>
      <c r="K36" s="56"/>
    </row>
    <row r="37" spans="2:13" x14ac:dyDescent="0.25">
      <c r="B37" s="60" t="s">
        <v>76</v>
      </c>
      <c r="C37" s="61"/>
      <c r="D37" s="62" t="s">
        <v>282</v>
      </c>
      <c r="E37" s="63"/>
      <c r="F37" s="64"/>
      <c r="G37" s="63"/>
      <c r="H37" s="65"/>
      <c r="I37" s="66"/>
      <c r="J37" s="66"/>
      <c r="K37" s="76"/>
    </row>
    <row r="38" spans="2:13" x14ac:dyDescent="0.25">
      <c r="B38" s="68" t="s">
        <v>77</v>
      </c>
      <c r="C38" s="69" t="s">
        <v>78</v>
      </c>
      <c r="D38" s="77" t="s">
        <v>366</v>
      </c>
      <c r="E38" s="52" t="s">
        <v>18</v>
      </c>
      <c r="F38" s="53" t="s">
        <v>18</v>
      </c>
      <c r="G38" s="54"/>
      <c r="H38" s="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8" s="71" t="str">
        <f>HYPERLINK(CONCATENATE(BASE_URL,"0x04e-Testing-Authentication-and-Session-Management.md#testing-oauth-20-flows-mstg-auth-1-and-mstg-auth-3"),"Testing OAuth 2.0 Flows (MSTG-AUTH-1 and MSTG-AUTH-3)")</f>
        <v>Testing OAuth 2.0 Flows (MSTG-AUTH-1 and MSTG-AUTH-3)</v>
      </c>
      <c r="J38" s="113"/>
      <c r="K38" s="103"/>
    </row>
    <row r="39" spans="2:13" ht="30" x14ac:dyDescent="0.25">
      <c r="B39" s="68" t="s">
        <v>79</v>
      </c>
      <c r="C39" s="69" t="s">
        <v>80</v>
      </c>
      <c r="D39" s="77" t="s">
        <v>367</v>
      </c>
      <c r="E39" s="52" t="s">
        <v>18</v>
      </c>
      <c r="F39" s="53" t="s">
        <v>18</v>
      </c>
      <c r="G39" s="54"/>
      <c r="H39" s="71" t="str">
        <f>HYPERLINK(CONCATENATE(BASE_URL,"0x04e-Testing-Authentication-and-Session-Management.md#testing-stateful-session-management-mstg-auth-2"),"Testing Stateful Session Management (MSTG-AUTH-2)")</f>
        <v>Testing Stateful Session Management (MSTG-AUTH-2)</v>
      </c>
      <c r="I39" s="58"/>
      <c r="J39" s="58"/>
      <c r="K39" s="56"/>
    </row>
    <row r="40" spans="2:13" x14ac:dyDescent="0.25">
      <c r="B40" s="68" t="s">
        <v>81</v>
      </c>
      <c r="C40" s="69" t="s">
        <v>82</v>
      </c>
      <c r="D40" s="77" t="s">
        <v>368</v>
      </c>
      <c r="E40" s="52" t="s">
        <v>18</v>
      </c>
      <c r="F40" s="53" t="s">
        <v>18</v>
      </c>
      <c r="G40" s="54"/>
      <c r="H40" s="71" t="str">
        <f>HYPERLINK(CONCATENATE(BASE_URL,"0x04e-Testing-Authentication-and-Session-Management.md#testing-stateless-token-based-authentication-mstg-auth-3"),"Testing Stateless (Token-Based) Authentication (MSTG-AUTH-3)")</f>
        <v>Testing Stateless (Token-Based) Authentication (MSTG-AUTH-3)</v>
      </c>
      <c r="I40" s="71" t="str">
        <f>HYPERLINK(CONCATENATE(BASE_URL,"0x04e-Testing-Authentication-and-Session-Management.md#testing-oauth-20-flows-mstg-auth-1-and-mstg-auth-3"),"Testing OAuth 2.0 Flows (MSTG-AUTH-1 and MSTG-AUTH-3)")</f>
        <v>Testing OAuth 2.0 Flows (MSTG-AUTH-1 and MSTG-AUTH-3)</v>
      </c>
      <c r="J40" s="113"/>
      <c r="K40" s="103"/>
    </row>
    <row r="41" spans="2:13" x14ac:dyDescent="0.25">
      <c r="B41" s="68" t="s">
        <v>83</v>
      </c>
      <c r="C41" s="69" t="s">
        <v>84</v>
      </c>
      <c r="D41" s="77" t="s">
        <v>369</v>
      </c>
      <c r="E41" s="52"/>
      <c r="F41" s="53"/>
      <c r="G41" s="54"/>
      <c r="H41" s="71" t="str">
        <f>HYPERLINK(CONCATENATE(BASE_URL,"0x04e-Testing-Authentication-and-Session-Management.md#testing-user-logout-mstg-auth-4"),"Testing User Logout (MSTG-AUTH-4)")</f>
        <v>Testing User Logout (MSTG-AUTH-4)</v>
      </c>
      <c r="I41" s="58"/>
      <c r="J41" s="58"/>
      <c r="K41" s="56"/>
      <c r="M41" s="78"/>
    </row>
    <row r="42" spans="2:13" x14ac:dyDescent="0.25">
      <c r="B42" s="68" t="s">
        <v>85</v>
      </c>
      <c r="C42" s="69" t="s">
        <v>86</v>
      </c>
      <c r="D42" s="77" t="s">
        <v>370</v>
      </c>
      <c r="E42" s="52" t="s">
        <v>18</v>
      </c>
      <c r="F42" s="53" t="s">
        <v>18</v>
      </c>
      <c r="G42" s="54"/>
      <c r="H42" s="71" t="str">
        <f>HYPERLINK(CONCATENATE(BASE_URL,"0x04e-Testing-Authentication-and-Session-Management.md#testing-best-practices-for-passwords-mstg-auth-5-and-mstg-auth-6"),"Testing Best Practices for Passwords (MSTG-AUTH-5 and MSTG-AUTH-6)")</f>
        <v>Testing Best Practices for Passwords (MSTG-AUTH-5 and MSTG-AUTH-6)</v>
      </c>
      <c r="I42" s="58"/>
      <c r="J42" s="58"/>
      <c r="K42" s="103"/>
      <c r="M42" s="78"/>
    </row>
    <row r="43" spans="2:13" x14ac:dyDescent="0.25">
      <c r="B43" s="68" t="s">
        <v>87</v>
      </c>
      <c r="C43" s="69" t="s">
        <v>88</v>
      </c>
      <c r="D43" s="77" t="s">
        <v>371</v>
      </c>
      <c r="E43" s="52" t="s">
        <v>18</v>
      </c>
      <c r="F43" s="53" t="s">
        <v>18</v>
      </c>
      <c r="G43" s="54"/>
      <c r="H43" s="71" t="str">
        <f>HYPERLINK(CONCATENATE(BASE_URL,"0x04e-Testing-Authentication-and-Session-Management.md#testing-best-practices-for-passwords-mstg-auth-5-and-mstg-auth-6"),"Testing Best Practices for Passwords (MSTG-AUTH-5 and MSTG-AUTH-6)")</f>
        <v>Testing Best Practices for Passwords (MSTG-AUTH-5 and MSTG-AUTH-6)</v>
      </c>
      <c r="I43" s="71" t="str">
        <f>HYPERLINK(CONCATENATE(BASE_URL,"0x04e-Testing-Authentication-and-Session-Management.md#dynamic-testing-mstg-auth-6"),"Dynamic Testing (MSTG-AUTH-6)")</f>
        <v>Dynamic Testing (MSTG-AUTH-6)</v>
      </c>
      <c r="J43" s="113"/>
      <c r="K43" s="103"/>
    </row>
    <row r="44" spans="2:13" x14ac:dyDescent="0.25">
      <c r="B44" s="68" t="s">
        <v>89</v>
      </c>
      <c r="C44" s="69" t="s">
        <v>90</v>
      </c>
      <c r="D44" s="77" t="s">
        <v>372</v>
      </c>
      <c r="E44" s="52" t="s">
        <v>18</v>
      </c>
      <c r="F44" s="53" t="s">
        <v>18</v>
      </c>
      <c r="G44" s="54"/>
      <c r="H44" s="71" t="str">
        <f>HYPERLINK(CONCATENATE(BASE_URL,"0x04e-Testing-Authentication-and-Session-Management.md#testing-session-timeout-mstg-auth-7"),"Testing Session Timeout (MSTG-AUTH-7)")</f>
        <v>Testing Session Timeout (MSTG-AUTH-7)</v>
      </c>
      <c r="I44" s="78"/>
      <c r="J44" s="114"/>
      <c r="K44" s="79"/>
    </row>
    <row r="45" spans="2:13" ht="30" x14ac:dyDescent="0.25">
      <c r="B45" s="68" t="s">
        <v>91</v>
      </c>
      <c r="C45" s="69" t="s">
        <v>92</v>
      </c>
      <c r="D45" s="77" t="s">
        <v>373</v>
      </c>
      <c r="E45" s="74"/>
      <c r="F45" s="53" t="s">
        <v>18</v>
      </c>
      <c r="G45" s="54" t="s">
        <v>27</v>
      </c>
      <c r="H45" s="71" t="str">
        <f>HYPERLINK(CONCATENATE(BASE_URL,"0x06f-Testing-Local-Authentication.md#testing-local-authentication-mstg-auth-8-and-mstg-storage-11"),"Testing Local Authentication (MSTG-AUTH-8 and MSTG-STORAGE-11)")</f>
        <v>Testing Local Authentication (MSTG-AUTH-8 and MSTG-STORAGE-11)</v>
      </c>
      <c r="I45" s="71"/>
      <c r="J45" s="113"/>
      <c r="K45" s="103"/>
    </row>
    <row r="46" spans="2:13" x14ac:dyDescent="0.25">
      <c r="B46" s="68" t="s">
        <v>93</v>
      </c>
      <c r="C46" s="69" t="s">
        <v>94</v>
      </c>
      <c r="D46" s="77" t="s">
        <v>374</v>
      </c>
      <c r="E46" s="74"/>
      <c r="F46" s="53" t="s">
        <v>18</v>
      </c>
      <c r="G46" s="54" t="s">
        <v>27</v>
      </c>
      <c r="H46" s="7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6" s="58"/>
      <c r="J46" s="58"/>
      <c r="K46" s="56"/>
    </row>
    <row r="47" spans="2:13" x14ac:dyDescent="0.25">
      <c r="B47" s="68" t="s">
        <v>95</v>
      </c>
      <c r="C47" s="69" t="s">
        <v>96</v>
      </c>
      <c r="D47" s="77" t="s">
        <v>375</v>
      </c>
      <c r="E47" s="74"/>
      <c r="F47" s="53" t="s">
        <v>18</v>
      </c>
      <c r="G47" s="54" t="s">
        <v>27</v>
      </c>
      <c r="H47" s="7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7" s="58"/>
      <c r="J47" s="58"/>
      <c r="K47" s="56"/>
    </row>
    <row r="48" spans="2:13" x14ac:dyDescent="0.25">
      <c r="B48" s="68" t="s">
        <v>97</v>
      </c>
      <c r="C48" s="69" t="s">
        <v>98</v>
      </c>
      <c r="D48" s="77" t="s">
        <v>376</v>
      </c>
      <c r="E48" s="74"/>
      <c r="F48" s="53" t="s">
        <v>18</v>
      </c>
      <c r="G48" s="54" t="s">
        <v>27</v>
      </c>
      <c r="H48" s="80" t="str">
        <f>HYPERLINK(CONCATENATE( BASE_URL, "0x04e-Testing-Authentication-and-Session-Management.md#testing-login-activity-and-device-blocking-mstg-auth-11"), "Testing Login Activity and Device Blocking (MSTG-AUTH-11)")</f>
        <v>Testing Login Activity and Device Blocking (MSTG-AUTH-11)</v>
      </c>
      <c r="I48" s="58"/>
      <c r="J48" s="58"/>
      <c r="K48" s="56"/>
    </row>
    <row r="49" spans="2:11" x14ac:dyDescent="0.25">
      <c r="B49" s="60" t="s">
        <v>99</v>
      </c>
      <c r="C49" s="61"/>
      <c r="D49" s="62" t="s">
        <v>348</v>
      </c>
      <c r="E49" s="63"/>
      <c r="F49" s="64"/>
      <c r="G49" s="63"/>
      <c r="H49" s="65"/>
      <c r="I49" s="66"/>
      <c r="J49" s="66"/>
      <c r="K49" s="76"/>
    </row>
    <row r="50" spans="2:11" x14ac:dyDescent="0.25">
      <c r="B50" s="68" t="s">
        <v>100</v>
      </c>
      <c r="C50" s="69" t="s">
        <v>101</v>
      </c>
      <c r="D50" s="73" t="s">
        <v>377</v>
      </c>
      <c r="E50" s="52" t="s">
        <v>18</v>
      </c>
      <c r="F50" s="53" t="s">
        <v>18</v>
      </c>
      <c r="G50" s="54"/>
      <c r="H50" s="7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0" s="57"/>
      <c r="J50" s="57"/>
      <c r="K50" s="81"/>
    </row>
    <row r="51" spans="2:11" x14ac:dyDescent="0.25">
      <c r="B51" s="68" t="s">
        <v>102</v>
      </c>
      <c r="C51" s="69" t="s">
        <v>103</v>
      </c>
      <c r="D51" s="77" t="s">
        <v>378</v>
      </c>
      <c r="E51" s="52" t="s">
        <v>18</v>
      </c>
      <c r="F51" s="53" t="s">
        <v>18</v>
      </c>
      <c r="G51" s="54"/>
      <c r="H51" s="7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1" s="57" t="str">
        <f>HYPERLINK(CONCATENATE(BASE_URL,"0x06g-Testing-Network-Communication.md#app-transport-security-mstg-network-2"),"App Transport Security (MSTG-NETWORK-2)")</f>
        <v>App Transport Security (MSTG-NETWORK-2)</v>
      </c>
      <c r="J51" s="57"/>
      <c r="K51" s="81"/>
    </row>
    <row r="52" spans="2:11" x14ac:dyDescent="0.25">
      <c r="B52" s="68" t="s">
        <v>104</v>
      </c>
      <c r="C52" s="69" t="s">
        <v>105</v>
      </c>
      <c r="D52" s="77" t="s">
        <v>379</v>
      </c>
      <c r="E52" s="52" t="s">
        <v>18</v>
      </c>
      <c r="F52" s="53" t="s">
        <v>18</v>
      </c>
      <c r="G52" s="54"/>
      <c r="H52" s="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2" s="58"/>
      <c r="J52" s="58"/>
      <c r="K52" s="81"/>
    </row>
    <row r="53" spans="2:11" ht="30" x14ac:dyDescent="0.25">
      <c r="B53" s="68" t="s">
        <v>106</v>
      </c>
      <c r="C53" s="69" t="s">
        <v>107</v>
      </c>
      <c r="D53" s="77" t="s">
        <v>380</v>
      </c>
      <c r="E53" s="74"/>
      <c r="F53" s="53" t="s">
        <v>18</v>
      </c>
      <c r="G53" s="54" t="s">
        <v>27</v>
      </c>
      <c r="H53" s="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3" s="58"/>
      <c r="J53" s="58"/>
      <c r="K53" s="56"/>
    </row>
    <row r="54" spans="2:11" x14ac:dyDescent="0.25">
      <c r="B54" s="68" t="s">
        <v>108</v>
      </c>
      <c r="C54" s="69" t="s">
        <v>109</v>
      </c>
      <c r="D54" s="77" t="s">
        <v>381</v>
      </c>
      <c r="E54" s="74"/>
      <c r="F54" s="53" t="s">
        <v>18</v>
      </c>
      <c r="G54" s="54" t="s">
        <v>27</v>
      </c>
      <c r="H54" s="7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4" s="58"/>
      <c r="J54" s="58"/>
      <c r="K54" s="56"/>
    </row>
    <row r="55" spans="2:11" x14ac:dyDescent="0.25">
      <c r="B55" s="68" t="s">
        <v>110</v>
      </c>
      <c r="C55" s="69" t="s">
        <v>111</v>
      </c>
      <c r="D55" s="77" t="s">
        <v>382</v>
      </c>
      <c r="E55" s="74"/>
      <c r="F55" s="53" t="s">
        <v>18</v>
      </c>
      <c r="G55" s="54" t="s">
        <v>27</v>
      </c>
      <c r="H55" s="71" t="str">
        <f>HYPERLINK(CONCATENATE( BASE_URL, "0x06i-Testing-Code-Quality-and-Build-Settings.md#checking-for-weaknesses-in-third-party-libraries-mstg-code-5"), "Checking for Weaknesses in Third Party Libraries (MSTG-CODE-5)")</f>
        <v>Checking for Weaknesses in Third Party Libraries (MSTG-CODE-5)</v>
      </c>
      <c r="I55" s="58"/>
      <c r="J55" s="58"/>
      <c r="K55" s="56"/>
    </row>
    <row r="56" spans="2:11" x14ac:dyDescent="0.25">
      <c r="B56" s="60" t="s">
        <v>112</v>
      </c>
      <c r="C56" s="61"/>
      <c r="D56" s="62" t="s">
        <v>349</v>
      </c>
      <c r="E56" s="63"/>
      <c r="F56" s="64"/>
      <c r="G56" s="63"/>
      <c r="H56" s="65"/>
      <c r="I56" s="66"/>
      <c r="J56" s="66"/>
      <c r="K56" s="76"/>
    </row>
    <row r="57" spans="2:11" x14ac:dyDescent="0.25">
      <c r="B57" s="68" t="s">
        <v>113</v>
      </c>
      <c r="C57" s="69" t="s">
        <v>114</v>
      </c>
      <c r="D57" s="73" t="s">
        <v>308</v>
      </c>
      <c r="E57" s="52" t="s">
        <v>18</v>
      </c>
      <c r="F57" s="53" t="s">
        <v>18</v>
      </c>
      <c r="G57" s="54"/>
      <c r="H57" s="71" t="str">
        <f>HYPERLINK(CONCATENATE(BASE_URL,"0x06h-Testing-Platform-Interaction.md#testing-app-permissions-mstg-platform-1"),"Testing App Permissions (MSTG-PLATFORM-1)")</f>
        <v>Testing App Permissions (MSTG-PLATFORM-1)</v>
      </c>
      <c r="I57" s="58"/>
      <c r="J57" s="58"/>
      <c r="K57" s="56"/>
    </row>
    <row r="58" spans="2:11" ht="30" x14ac:dyDescent="0.25">
      <c r="B58" s="68" t="s">
        <v>115</v>
      </c>
      <c r="C58" s="69" t="s">
        <v>116</v>
      </c>
      <c r="D58" s="77" t="s">
        <v>309</v>
      </c>
      <c r="E58" s="52" t="s">
        <v>18</v>
      </c>
      <c r="F58" s="53" t="s">
        <v>18</v>
      </c>
      <c r="G58" s="54"/>
      <c r="H58" s="71" t="str">
        <f>HYPERLINK(CONCATENATE(BASE_URL,"0x04h-Testing-Code-Quality.md#injection-flaws-mstg-arch-2-and-mstg-platform-2"),"Injection Flaws (MSTG-ARCH-2 and MSTG-PLATFORM-2)")</f>
        <v>Injection Flaws (MSTG-ARCH-2 and MSTG-PLATFORM-2)</v>
      </c>
      <c r="I58" s="58"/>
      <c r="J58" s="58"/>
      <c r="K58" s="56"/>
    </row>
    <row r="59" spans="2:11" x14ac:dyDescent="0.25">
      <c r="B59" s="68" t="s">
        <v>117</v>
      </c>
      <c r="C59" s="69" t="s">
        <v>118</v>
      </c>
      <c r="D59" s="73" t="s">
        <v>310</v>
      </c>
      <c r="E59" s="52" t="s">
        <v>18</v>
      </c>
      <c r="F59" s="53" t="s">
        <v>18</v>
      </c>
      <c r="G59" s="54"/>
      <c r="H59" s="71" t="str">
        <f>HYPERLINK(CONCATENATE(BASE_URL,"0x06h-Testing-Platform-Interaction.md#testing-custom-url-schemes-mstg-platform-3"),"Testing Custom URL Schemes (MSTG-PLATFORM-3)")</f>
        <v>Testing Custom URL Schemes (MSTG-PLATFORM-3)</v>
      </c>
      <c r="I59" s="58"/>
      <c r="J59" s="58"/>
      <c r="K59" s="56"/>
    </row>
    <row r="60" spans="2:11" x14ac:dyDescent="0.25">
      <c r="B60" s="68" t="s">
        <v>119</v>
      </c>
      <c r="C60" s="69" t="s">
        <v>120</v>
      </c>
      <c r="D60" s="73" t="s">
        <v>311</v>
      </c>
      <c r="E60" s="52" t="s">
        <v>18</v>
      </c>
      <c r="F60" s="53" t="s">
        <v>18</v>
      </c>
      <c r="G60" s="54"/>
      <c r="H60" s="5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0" s="58"/>
      <c r="J60" s="58"/>
      <c r="K60" s="56"/>
    </row>
    <row r="61" spans="2:11" x14ac:dyDescent="0.25">
      <c r="B61" s="68" t="s">
        <v>121</v>
      </c>
      <c r="C61" s="69" t="s">
        <v>122</v>
      </c>
      <c r="D61" s="73" t="s">
        <v>312</v>
      </c>
      <c r="E61" s="52" t="s">
        <v>18</v>
      </c>
      <c r="F61" s="53" t="s">
        <v>18</v>
      </c>
      <c r="G61" s="54"/>
      <c r="H61" s="71" t="str">
        <f>HYPERLINK(CONCATENATE(BASE_URL,"0x06h-Testing-Platform-Interaction.md#testing-ios-webviews-mstg-platform-5"),"Testing iOS WebViews (MSTG-PLATFORM-5)")</f>
        <v>Testing iOS WebViews (MSTG-PLATFORM-5)</v>
      </c>
      <c r="I61" s="58"/>
      <c r="J61" s="58"/>
      <c r="K61" s="56"/>
    </row>
    <row r="62" spans="2:11" ht="30" x14ac:dyDescent="0.25">
      <c r="B62" s="68" t="s">
        <v>123</v>
      </c>
      <c r="C62" s="69" t="s">
        <v>124</v>
      </c>
      <c r="D62" s="77" t="s">
        <v>313</v>
      </c>
      <c r="E62" s="52" t="s">
        <v>18</v>
      </c>
      <c r="F62" s="53" t="s">
        <v>18</v>
      </c>
      <c r="G62" s="54"/>
      <c r="H62" s="71" t="str">
        <f>HYPERLINK(CONCATENATE(BASE_URL,"0x06h-Testing-Platform-Interaction.md#testing-webview-protocol-handlers-mstg-platform-6"),"Testing WebView Protocol Handlers (MSTG-PLATFORM-6)")</f>
        <v>Testing WebView Protocol Handlers (MSTG-PLATFORM-6)</v>
      </c>
      <c r="I62" s="58"/>
      <c r="J62" s="58"/>
      <c r="K62" s="56"/>
    </row>
    <row r="63" spans="2:11" x14ac:dyDescent="0.25">
      <c r="B63" s="68" t="s">
        <v>125</v>
      </c>
      <c r="C63" s="69" t="s">
        <v>126</v>
      </c>
      <c r="D63" s="77" t="s">
        <v>314</v>
      </c>
      <c r="E63" s="52" t="s">
        <v>18</v>
      </c>
      <c r="F63" s="53" t="s">
        <v>18</v>
      </c>
      <c r="G63" s="54"/>
      <c r="H63" s="71"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3" s="58"/>
      <c r="J63" s="58"/>
      <c r="K63" s="56"/>
    </row>
    <row r="64" spans="2:11" x14ac:dyDescent="0.25">
      <c r="B64" s="68" t="s">
        <v>127</v>
      </c>
      <c r="C64" s="69" t="s">
        <v>128</v>
      </c>
      <c r="D64" s="73" t="s">
        <v>315</v>
      </c>
      <c r="E64" s="52" t="s">
        <v>18</v>
      </c>
      <c r="F64" s="53" t="s">
        <v>18</v>
      </c>
      <c r="G64" s="54"/>
      <c r="H64" s="71" t="str">
        <f>HYPERLINK(CONCATENATE(BASE_URL,"0x06h-Testing-Platform-Interaction.md#testing-object-persistence-mstg-platform-8"),"Testing Object Persistence (MSTG-PLATFORM-8)")</f>
        <v>Testing Object Persistence (MSTG-PLATFORM-8)</v>
      </c>
      <c r="I64" s="58"/>
      <c r="J64" s="58"/>
      <c r="K64" s="56"/>
    </row>
    <row r="65" spans="2:11" x14ac:dyDescent="0.25">
      <c r="B65" s="60" t="s">
        <v>129</v>
      </c>
      <c r="C65" s="61"/>
      <c r="D65" s="62" t="s">
        <v>285</v>
      </c>
      <c r="E65" s="63"/>
      <c r="F65" s="64"/>
      <c r="G65" s="63"/>
      <c r="H65" s="65"/>
      <c r="I65" s="66"/>
      <c r="J65" s="66"/>
      <c r="K65" s="76"/>
    </row>
    <row r="66" spans="2:11" x14ac:dyDescent="0.25">
      <c r="B66" s="68" t="s">
        <v>130</v>
      </c>
      <c r="C66" s="69" t="s">
        <v>131</v>
      </c>
      <c r="D66" s="73" t="s">
        <v>316</v>
      </c>
      <c r="E66" s="52" t="s">
        <v>18</v>
      </c>
      <c r="F66" s="53" t="s">
        <v>18</v>
      </c>
      <c r="G66" s="54"/>
      <c r="H66" s="71" t="str">
        <f>HYPERLINK(CONCATENATE(BASE_URL,"0x06i-Testing-Code-Quality-and-Build-Settings.md#making-sure-that-the-app-is-properly-signed-mstg-code-1"),"Making Sure that the App Is Properly Signed (MSTG-CODE-1)")</f>
        <v>Making Sure that the App Is Properly Signed (MSTG-CODE-1)</v>
      </c>
      <c r="I66" s="58"/>
      <c r="J66" s="58"/>
      <c r="K66" s="56"/>
    </row>
    <row r="67" spans="2:11" x14ac:dyDescent="0.25">
      <c r="B67" s="68" t="s">
        <v>132</v>
      </c>
      <c r="C67" s="69" t="s">
        <v>133</v>
      </c>
      <c r="D67" s="73" t="s">
        <v>317</v>
      </c>
      <c r="E67" s="52" t="s">
        <v>18</v>
      </c>
      <c r="F67" s="53" t="s">
        <v>18</v>
      </c>
      <c r="G67" s="54"/>
      <c r="H67" s="71" t="str">
        <f>HYPERLINK(CONCATENATE(BASE_URL,"0x06i-Testing-Code-Quality-and-Build-Settings.md#determining-whether-the-app-is-debuggable-mstg-code-2"),"Determining Whether the App is Debuggable (MSTG-CODE-2)")</f>
        <v>Determining Whether the App is Debuggable (MSTG-CODE-2)</v>
      </c>
      <c r="I67" s="58"/>
      <c r="J67" s="58"/>
      <c r="K67" s="56"/>
    </row>
    <row r="68" spans="2:11" x14ac:dyDescent="0.25">
      <c r="B68" s="68" t="s">
        <v>134</v>
      </c>
      <c r="C68" s="69" t="s">
        <v>135</v>
      </c>
      <c r="D68" s="73" t="s">
        <v>318</v>
      </c>
      <c r="E68" s="52" t="s">
        <v>18</v>
      </c>
      <c r="F68" s="53" t="s">
        <v>18</v>
      </c>
      <c r="G68" s="54"/>
      <c r="H68" s="71" t="str">
        <f>HYPERLINK(CONCATENATE(BASE_URL,"0x06i-Testing-Code-Quality-and-Build-Settings.md#finding-debugging-symbols-mstg-code-3"),"Finding Debugging Symbols (MSTG-CODE-3)")</f>
        <v>Finding Debugging Symbols (MSTG-CODE-3)</v>
      </c>
      <c r="I68" s="58"/>
      <c r="J68" s="58"/>
      <c r="K68" s="56"/>
    </row>
    <row r="69" spans="2:11" x14ac:dyDescent="0.25">
      <c r="B69" s="68" t="s">
        <v>136</v>
      </c>
      <c r="C69" s="69" t="s">
        <v>137</v>
      </c>
      <c r="D69" s="73" t="s">
        <v>319</v>
      </c>
      <c r="E69" s="52" t="s">
        <v>18</v>
      </c>
      <c r="F69" s="53" t="s">
        <v>18</v>
      </c>
      <c r="G69" s="54"/>
      <c r="H69" s="71" t="str">
        <f>HYPERLINK(CONCATENATE(BASE_URL,"0x06i-Testing-Code-Quality-and-Build-Settings.md#finding-debugging-code-and-verbose-error-logging-mstg-code-4"),"Finding Debugging Code and Verbose Error Logging (MSTG-CODE-4)")</f>
        <v>Finding Debugging Code and Verbose Error Logging (MSTG-CODE-4)</v>
      </c>
      <c r="I69" s="58"/>
      <c r="J69" s="58"/>
      <c r="K69" s="56"/>
    </row>
    <row r="70" spans="2:11" x14ac:dyDescent="0.25">
      <c r="B70" s="68" t="s">
        <v>138</v>
      </c>
      <c r="C70" s="69" t="s">
        <v>139</v>
      </c>
      <c r="D70" s="51" t="s">
        <v>320</v>
      </c>
      <c r="E70" s="52" t="s">
        <v>18</v>
      </c>
      <c r="F70" s="53" t="s">
        <v>18</v>
      </c>
      <c r="G70" s="54"/>
      <c r="H70" s="80" t="str">
        <f>HYPERLINK(CONCATENATE(BASE_URL,"0x06i-Testing-Code-Quality-and-Build-Settings.md#checking-for-weaknesses-in-third-party-libraries-mstg-code-5"),"Checking for Weaknesses in Third Party Libraries (MSTG-CODE-5)")</f>
        <v>Checking for Weaknesses in Third Party Libraries (MSTG-CODE-5)</v>
      </c>
      <c r="I70" s="58"/>
      <c r="J70" s="58"/>
      <c r="K70" s="56"/>
    </row>
    <row r="71" spans="2:11" x14ac:dyDescent="0.25">
      <c r="B71" s="68" t="s">
        <v>140</v>
      </c>
      <c r="C71" s="69" t="s">
        <v>141</v>
      </c>
      <c r="D71" s="73" t="s">
        <v>321</v>
      </c>
      <c r="E71" s="52" t="s">
        <v>18</v>
      </c>
      <c r="F71" s="53" t="s">
        <v>18</v>
      </c>
      <c r="G71" s="54"/>
      <c r="H71" s="71" t="str">
        <f>HYPERLINK(CONCATENATE(BASE_URL,"0x06i-Testing-Code-Quality-and-Build-Settings.md#testing-exception-handling-mstg-code-6"),"Testing Exception Handling (MSTG-CODE-6)")</f>
        <v>Testing Exception Handling (MSTG-CODE-6)</v>
      </c>
      <c r="I71" s="58"/>
      <c r="J71" s="58"/>
      <c r="K71" s="56"/>
    </row>
    <row r="72" spans="2:11" x14ac:dyDescent="0.25">
      <c r="B72" s="68" t="s">
        <v>142</v>
      </c>
      <c r="C72" s="69" t="s">
        <v>143</v>
      </c>
      <c r="D72" s="73" t="s">
        <v>322</v>
      </c>
      <c r="E72" s="52" t="s">
        <v>18</v>
      </c>
      <c r="F72" s="53" t="s">
        <v>18</v>
      </c>
      <c r="G72" s="54"/>
      <c r="H72" s="71" t="str">
        <f>HYPERLINK(CONCATENATE(BASE_URL,"0x06i-Testing-Code-Quality-and-Build-Settings.md#testing-exception-handling-mstg-code-6"),"Testing Exception Handling (MSTG-CODE-6)")</f>
        <v>Testing Exception Handling (MSTG-CODE-6)</v>
      </c>
      <c r="I72" s="58"/>
      <c r="J72" s="58"/>
      <c r="K72" s="56"/>
    </row>
    <row r="73" spans="2:11" x14ac:dyDescent="0.25">
      <c r="B73" s="68" t="s">
        <v>144</v>
      </c>
      <c r="C73" s="69" t="s">
        <v>145</v>
      </c>
      <c r="D73" s="73" t="s">
        <v>323</v>
      </c>
      <c r="E73" s="52" t="s">
        <v>18</v>
      </c>
      <c r="F73" s="53" t="s">
        <v>18</v>
      </c>
      <c r="G73" s="54"/>
      <c r="H73" s="71" t="str">
        <f>HYPERLINK(CONCATENATE(BASE_URL,"0x06i-Testing-Code-Quality-and-Build-Settings.md#memory-corruption-bugs-mstg-code-8"),"Memory Corruption Bugs (MSTG-CODE-8)")</f>
        <v>Memory Corruption Bugs (MSTG-CODE-8)</v>
      </c>
      <c r="I73" s="58"/>
      <c r="J73" s="58"/>
      <c r="K73" s="56"/>
    </row>
    <row r="74" spans="2:11" x14ac:dyDescent="0.25">
      <c r="B74" s="68" t="s">
        <v>146</v>
      </c>
      <c r="C74" s="69" t="s">
        <v>147</v>
      </c>
      <c r="D74" s="51" t="s">
        <v>324</v>
      </c>
      <c r="E74" s="52" t="s">
        <v>18</v>
      </c>
      <c r="F74" s="53" t="s">
        <v>18</v>
      </c>
      <c r="G74" s="54"/>
      <c r="H74" s="71" t="str">
        <f>HYPERLINK(CONCATENATE(BASE_URL,"0x06i-Testing-Code-Quality-and-Build-Settings.md#make-sure-that-free-security-features-are-activated-mstg-code-9"),"Make Sure That Free Security Features Are Activated (MSTG-CODE-9)")</f>
        <v>Make Sure That Free Security Features Are Activated (MSTG-CODE-9)</v>
      </c>
      <c r="I74" s="58"/>
      <c r="J74" s="58"/>
      <c r="K74" s="56"/>
    </row>
    <row r="75" spans="2:11" x14ac:dyDescent="0.25">
      <c r="B75" s="84"/>
      <c r="C75" s="85"/>
      <c r="D75" s="86"/>
      <c r="E75" s="87"/>
      <c r="F75" s="87"/>
      <c r="G75" s="87"/>
      <c r="H75" s="87"/>
      <c r="I75" s="88"/>
      <c r="J75" s="115"/>
      <c r="K75" s="116"/>
    </row>
    <row r="76" spans="2:11" x14ac:dyDescent="0.25">
      <c r="B76" s="117"/>
      <c r="C76" s="117"/>
      <c r="D76" s="73"/>
      <c r="E76" s="93"/>
      <c r="F76" s="93"/>
      <c r="G76" s="93"/>
      <c r="H76" s="93"/>
      <c r="I76" s="93"/>
      <c r="J76" s="93"/>
      <c r="K76" s="73"/>
    </row>
    <row r="77" spans="2:11" x14ac:dyDescent="0.25">
      <c r="B77" s="117"/>
      <c r="C77" s="117"/>
      <c r="D77" s="73"/>
      <c r="E77" s="93"/>
      <c r="F77" s="93"/>
      <c r="G77" s="93"/>
      <c r="H77" s="93"/>
      <c r="I77" s="93"/>
      <c r="J77" s="93"/>
      <c r="K77" s="73"/>
    </row>
    <row r="78" spans="2:11" x14ac:dyDescent="0.25">
      <c r="B78" s="117"/>
      <c r="C78" s="117"/>
      <c r="D78" s="73"/>
      <c r="E78" s="93"/>
      <c r="F78" s="93"/>
      <c r="G78" s="93"/>
      <c r="H78" s="93"/>
      <c r="I78" s="93"/>
      <c r="J78" s="93"/>
      <c r="K78" s="73"/>
    </row>
    <row r="79" spans="2:11" x14ac:dyDescent="0.25">
      <c r="B79" s="118" t="s">
        <v>148</v>
      </c>
      <c r="C79" s="118"/>
      <c r="D79" s="73"/>
      <c r="E79" s="93"/>
      <c r="F79" s="93"/>
      <c r="G79" s="93"/>
      <c r="H79" s="93"/>
      <c r="I79" s="93"/>
      <c r="J79" s="93"/>
      <c r="K79" s="73"/>
    </row>
    <row r="80" spans="2:11" x14ac:dyDescent="0.25">
      <c r="B80" s="95" t="s">
        <v>286</v>
      </c>
      <c r="C80" s="95"/>
      <c r="D80" s="96" t="s">
        <v>287</v>
      </c>
      <c r="E80" s="93"/>
      <c r="F80" s="93"/>
      <c r="G80" s="93"/>
      <c r="H80" s="93"/>
      <c r="I80" s="93"/>
      <c r="J80" s="93"/>
      <c r="K80" s="73"/>
    </row>
    <row r="81" spans="2:11" x14ac:dyDescent="0.25">
      <c r="B81" s="97" t="s">
        <v>149</v>
      </c>
      <c r="C81" s="97"/>
      <c r="D81" s="98" t="s">
        <v>342</v>
      </c>
      <c r="E81" s="93"/>
      <c r="F81" s="93"/>
      <c r="G81" s="93"/>
      <c r="H81" s="93"/>
      <c r="I81" s="93"/>
      <c r="J81" s="93"/>
      <c r="K81" s="73"/>
    </row>
    <row r="82" spans="2:11" x14ac:dyDescent="0.25">
      <c r="B82" s="97" t="s">
        <v>150</v>
      </c>
      <c r="C82" s="97"/>
      <c r="D82" s="98" t="s">
        <v>343</v>
      </c>
      <c r="E82" s="93"/>
      <c r="F82" s="93"/>
      <c r="G82" s="93"/>
      <c r="H82" s="93"/>
      <c r="I82" s="93"/>
      <c r="J82" s="93"/>
      <c r="K82" s="73"/>
    </row>
    <row r="83" spans="2:11" x14ac:dyDescent="0.25">
      <c r="B83" s="97" t="s">
        <v>27</v>
      </c>
      <c r="C83" s="97"/>
      <c r="D83" s="98" t="s">
        <v>344</v>
      </c>
      <c r="E83" s="93"/>
      <c r="F83" s="93"/>
      <c r="G83" s="93"/>
      <c r="H83" s="93"/>
      <c r="I83" s="93"/>
      <c r="J83" s="93"/>
      <c r="K83" s="73"/>
    </row>
    <row r="84" spans="2:11" x14ac:dyDescent="0.25">
      <c r="B84" s="117"/>
      <c r="C84" s="117"/>
      <c r="D84" s="73"/>
      <c r="E84" s="93"/>
      <c r="F84" s="93"/>
      <c r="G84" s="93"/>
      <c r="H84" s="93"/>
      <c r="I84" s="93"/>
      <c r="J84" s="93"/>
      <c r="K84" s="73"/>
    </row>
    <row r="85" spans="2:11" x14ac:dyDescent="0.25">
      <c r="B85" s="117"/>
      <c r="C85" s="117"/>
      <c r="D85" s="73"/>
      <c r="E85" s="93"/>
      <c r="F85" s="93"/>
      <c r="G85" s="93"/>
      <c r="H85" s="93"/>
      <c r="I85" s="93"/>
      <c r="J85" s="93"/>
      <c r="K85" s="73"/>
    </row>
    <row r="86" spans="2:11" x14ac:dyDescent="0.25">
      <c r="B86" s="117"/>
      <c r="C86" s="117"/>
      <c r="D86" s="73"/>
      <c r="E86" s="93"/>
      <c r="F86" s="93"/>
      <c r="G86" s="93"/>
      <c r="H86" s="93"/>
      <c r="I86" s="93"/>
      <c r="J86" s="93"/>
      <c r="K86" s="73"/>
    </row>
    <row r="87" spans="2:11" x14ac:dyDescent="0.25">
      <c r="B87" s="117"/>
      <c r="C87" s="117"/>
      <c r="D87" s="73"/>
      <c r="E87" s="93"/>
      <c r="F87" s="93"/>
      <c r="G87" s="93"/>
      <c r="H87" s="93"/>
      <c r="I87" s="93"/>
      <c r="J87" s="93"/>
      <c r="K87" s="73"/>
    </row>
  </sheetData>
  <mergeCells count="1">
    <mergeCell ref="H3:J3"/>
  </mergeCells>
  <conditionalFormatting sqref="M1:M1048576">
    <cfRule type="containsText" dxfId="11" priority="2" operator="containsText" text="0x05">
      <formula>NOT(ISERROR(SEARCH("0x05",M1)))</formula>
    </cfRule>
  </conditionalFormatting>
  <conditionalFormatting sqref="H30:H1048576 H1:H28">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6:G1083 I76:K1083" xr:uid="{00000000-0002-0000-0400-000000000000}">
      <formula1>"Yes,No,N/A"</formula1>
      <formula2>0</formula2>
    </dataValidation>
    <dataValidation type="list" allowBlank="1" showInputMessage="1" showErrorMessage="1" sqref="G18:G29 G31:G36 G38:G48 G50:G55 G57:G64 G66:G74 G5:G16"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D42" sqref="D42"/>
    </sheetView>
  </sheetViews>
  <sheetFormatPr defaultColWidth="8.875" defaultRowHeight="15.75" x14ac:dyDescent="0.25"/>
  <cols>
    <col min="1" max="1" width="1.875" customWidth="1"/>
    <col min="2" max="2" width="7.375" style="106" customWidth="1"/>
    <col min="3" max="3" width="17.625" style="106" customWidth="1"/>
    <col min="4" max="4" width="93.375" style="107" customWidth="1"/>
    <col min="5" max="5" width="3" customWidth="1"/>
    <col min="6" max="6" width="5.875" customWidth="1"/>
    <col min="7" max="7" width="61.875" customWidth="1"/>
    <col min="8" max="8" width="30.625" style="107" customWidth="1"/>
    <col min="9" max="1025" width="11" customWidth="1"/>
  </cols>
  <sheetData>
    <row r="1" spans="2:8" ht="18.75" x14ac:dyDescent="0.3">
      <c r="B1" s="108" t="s">
        <v>383</v>
      </c>
      <c r="C1" s="108"/>
      <c r="G1" s="93"/>
      <c r="H1" s="73"/>
    </row>
    <row r="2" spans="2:8" x14ac:dyDescent="0.25">
      <c r="G2" s="93"/>
      <c r="H2" s="73"/>
    </row>
    <row r="3" spans="2:8" x14ac:dyDescent="0.25">
      <c r="B3" s="37" t="s">
        <v>8</v>
      </c>
      <c r="C3" s="38" t="s">
        <v>9</v>
      </c>
      <c r="D3" s="39" t="s">
        <v>325</v>
      </c>
      <c r="E3" s="40" t="s">
        <v>151</v>
      </c>
      <c r="F3" s="40" t="s">
        <v>12</v>
      </c>
      <c r="G3" s="100" t="s">
        <v>13</v>
      </c>
      <c r="H3" s="42" t="s">
        <v>14</v>
      </c>
    </row>
    <row r="4" spans="2:8" x14ac:dyDescent="0.25">
      <c r="B4" s="60"/>
      <c r="C4" s="61"/>
      <c r="D4" s="62" t="s">
        <v>327</v>
      </c>
      <c r="E4" s="63"/>
      <c r="F4" s="63"/>
      <c r="G4" s="101"/>
      <c r="H4" s="67"/>
    </row>
    <row r="5" spans="2:8" x14ac:dyDescent="0.25">
      <c r="B5" s="49" t="s">
        <v>152</v>
      </c>
      <c r="C5" s="50" t="s">
        <v>153</v>
      </c>
      <c r="D5" s="77" t="s">
        <v>328</v>
      </c>
      <c r="E5" s="102" t="s">
        <v>18</v>
      </c>
      <c r="F5" s="54" t="s">
        <v>27</v>
      </c>
      <c r="G5" s="134" t="str">
        <f>HYPERLINK(CONCATENATE(BASE_URL,"0x06j-Testing-Resiliency-Against-Reverse-Engineering.md#jailbreak-detection-mstg-resilience-1"),"越狱检测 (MSTG-RESILIENCE-1)")</f>
        <v>越狱检测 (MSTG-RESILIENCE-1)</v>
      </c>
      <c r="H5" s="103"/>
    </row>
    <row r="6" spans="2:8" x14ac:dyDescent="0.25">
      <c r="B6" s="49" t="s">
        <v>154</v>
      </c>
      <c r="C6" s="50" t="s">
        <v>155</v>
      </c>
      <c r="D6" s="77" t="s">
        <v>329</v>
      </c>
      <c r="E6" s="102" t="s">
        <v>18</v>
      </c>
      <c r="F6" s="54" t="s">
        <v>27</v>
      </c>
      <c r="G6" s="134" t="str">
        <f>HYPERLINK(CONCATENATE(BASE_URL,"0x06j-Testing-Resiliency-Against-Reverse-Engineering.md#anti-debugging-checks-mstg-resilience-2"),"Anti-Debugging 检查 H7(MSTG-RESILIENCE-2)")</f>
        <v>Anti-Debugging 检查 H7(MSTG-RESILIENCE-2)</v>
      </c>
      <c r="H6" s="103"/>
    </row>
    <row r="7" spans="2:8" x14ac:dyDescent="0.25">
      <c r="B7" s="49" t="s">
        <v>156</v>
      </c>
      <c r="C7" s="50" t="s">
        <v>157</v>
      </c>
      <c r="D7" s="73" t="s">
        <v>330</v>
      </c>
      <c r="E7" s="102" t="s">
        <v>18</v>
      </c>
      <c r="F7" s="54" t="s">
        <v>27</v>
      </c>
      <c r="G7" s="134" t="str">
        <f>HYPERLINK(CONCATENATE(BASE_URL,"0x06j-Testing-Resiliency-Against-Reverse-Engineering.md#file-integrity-checks-mstg-resilience-3-and-mstg-resilience-11"),"文件完整性检查 (MSTG-RESILIENCE-3 and MSTG-RESILIENCE-11)")</f>
        <v>文件完整性检查 (MSTG-RESILIENCE-3 and MSTG-RESILIENCE-11)</v>
      </c>
      <c r="H7" s="103"/>
    </row>
    <row r="8" spans="2:8" x14ac:dyDescent="0.25">
      <c r="B8" s="49" t="s">
        <v>158</v>
      </c>
      <c r="C8" s="50" t="s">
        <v>159</v>
      </c>
      <c r="D8" s="73" t="s">
        <v>331</v>
      </c>
      <c r="E8" s="102" t="s">
        <v>18</v>
      </c>
      <c r="F8" s="54" t="s">
        <v>27</v>
      </c>
      <c r="G8" s="119" t="s">
        <v>169</v>
      </c>
      <c r="H8" s="103"/>
    </row>
    <row r="9" spans="2:8" x14ac:dyDescent="0.25">
      <c r="B9" s="49" t="s">
        <v>160</v>
      </c>
      <c r="C9" s="50" t="s">
        <v>161</v>
      </c>
      <c r="D9" s="73" t="s">
        <v>332</v>
      </c>
      <c r="E9" s="102" t="s">
        <v>18</v>
      </c>
      <c r="F9" s="54" t="s">
        <v>27</v>
      </c>
      <c r="G9" s="119" t="s">
        <v>169</v>
      </c>
      <c r="H9" s="103"/>
    </row>
    <row r="10" spans="2:8" x14ac:dyDescent="0.25">
      <c r="B10" s="49" t="s">
        <v>162</v>
      </c>
      <c r="C10" s="50" t="s">
        <v>163</v>
      </c>
      <c r="D10" s="73" t="s">
        <v>333</v>
      </c>
      <c r="E10" s="102" t="s">
        <v>18</v>
      </c>
      <c r="F10" s="54" t="s">
        <v>27</v>
      </c>
      <c r="G10" s="119" t="s">
        <v>169</v>
      </c>
      <c r="H10" s="103"/>
    </row>
    <row r="11" spans="2:8" ht="30" x14ac:dyDescent="0.25">
      <c r="B11" s="49" t="s">
        <v>164</v>
      </c>
      <c r="C11" s="50" t="s">
        <v>165</v>
      </c>
      <c r="D11" s="77" t="s">
        <v>334</v>
      </c>
      <c r="E11" s="102" t="s">
        <v>18</v>
      </c>
      <c r="F11" s="54" t="s">
        <v>27</v>
      </c>
      <c r="G11" s="105" t="s">
        <v>169</v>
      </c>
      <c r="H11" s="103"/>
    </row>
    <row r="12" spans="2:8" x14ac:dyDescent="0.25">
      <c r="B12" s="49" t="s">
        <v>167</v>
      </c>
      <c r="C12" s="50" t="s">
        <v>168</v>
      </c>
      <c r="D12" s="73" t="s">
        <v>335</v>
      </c>
      <c r="E12" s="102" t="s">
        <v>18</v>
      </c>
      <c r="F12" s="54" t="s">
        <v>27</v>
      </c>
      <c r="G12" s="105" t="s">
        <v>169</v>
      </c>
      <c r="H12" s="103"/>
    </row>
    <row r="13" spans="2:8" x14ac:dyDescent="0.25">
      <c r="B13" s="49" t="s">
        <v>170</v>
      </c>
      <c r="C13" s="50" t="s">
        <v>171</v>
      </c>
      <c r="D13" s="73" t="s">
        <v>336</v>
      </c>
      <c r="E13" s="102" t="s">
        <v>18</v>
      </c>
      <c r="F13" s="54" t="s">
        <v>27</v>
      </c>
      <c r="G13" s="119" t="s">
        <v>169</v>
      </c>
      <c r="H13" s="103"/>
    </row>
    <row r="14" spans="2:8" x14ac:dyDescent="0.25">
      <c r="B14" s="60"/>
      <c r="C14" s="61"/>
      <c r="D14" s="62" t="s">
        <v>337</v>
      </c>
      <c r="E14" s="63"/>
      <c r="F14" s="63"/>
      <c r="G14" s="101"/>
      <c r="H14" s="67"/>
    </row>
    <row r="15" spans="2:8" x14ac:dyDescent="0.25">
      <c r="B15" s="49" t="s">
        <v>172</v>
      </c>
      <c r="C15" s="50" t="s">
        <v>173</v>
      </c>
      <c r="D15" s="77" t="s">
        <v>338</v>
      </c>
      <c r="E15" s="102" t="s">
        <v>18</v>
      </c>
      <c r="F15" s="54" t="s">
        <v>27</v>
      </c>
      <c r="G15" s="134" t="str">
        <f>HYPERLINK(CONCATENATE(BASE_URL,"0x06j-Testing-Resiliency-Against-Reverse-Engineering.md#device-binding-mstg-resilience-10"),"设备绑定 (MSTG-RESILIENCE-10)")</f>
        <v>设备绑定 (MSTG-RESILIENCE-10)</v>
      </c>
      <c r="H15" s="103"/>
    </row>
    <row r="16" spans="2:8" x14ac:dyDescent="0.25">
      <c r="B16" s="60"/>
      <c r="C16" s="61"/>
      <c r="D16" s="62" t="s">
        <v>339</v>
      </c>
      <c r="E16" s="63"/>
      <c r="F16" s="63"/>
      <c r="G16" s="101"/>
      <c r="H16" s="67"/>
    </row>
    <row r="17" spans="1:8" ht="30" x14ac:dyDescent="0.25">
      <c r="A17" s="136"/>
      <c r="B17" s="49" t="s">
        <v>174</v>
      </c>
      <c r="C17" s="50" t="s">
        <v>175</v>
      </c>
      <c r="D17" s="137" t="s">
        <v>340</v>
      </c>
      <c r="E17" s="102" t="s">
        <v>18</v>
      </c>
      <c r="F17" s="54" t="s">
        <v>27</v>
      </c>
      <c r="G17" s="138" t="str">
        <f>HYPERLINK(CONCATENATE(BASE_URL,"0x06j-Testing-Resiliency-Against-Reverse-Engineering.md#file-integrity-checks-mstg-resilience-3-and-mstg-resilience-11"),"文件完整性检查 (MSTG-RESILIENCE-3 and MSTG-RESILIENCE-11)")</f>
        <v>文件完整性检查 (MSTG-RESILIENCE-3 and MSTG-RESILIENCE-11)</v>
      </c>
      <c r="H17" s="103"/>
    </row>
    <row r="18" spans="1:8" ht="45" x14ac:dyDescent="0.25">
      <c r="B18" s="49" t="s">
        <v>176</v>
      </c>
      <c r="C18" s="50" t="s">
        <v>177</v>
      </c>
      <c r="D18" s="77" t="s">
        <v>341</v>
      </c>
      <c r="E18" s="102" t="s">
        <v>18</v>
      </c>
      <c r="F18" s="54" t="s">
        <v>27</v>
      </c>
      <c r="G18" s="105" t="s">
        <v>169</v>
      </c>
      <c r="H18" s="103"/>
    </row>
    <row r="19" spans="1:8" x14ac:dyDescent="0.25">
      <c r="B19" s="84"/>
      <c r="C19" s="85"/>
      <c r="D19" s="86"/>
      <c r="E19" s="87"/>
      <c r="F19" s="87"/>
      <c r="G19" s="100"/>
      <c r="H19" s="89"/>
    </row>
    <row r="20" spans="1:8" x14ac:dyDescent="0.25">
      <c r="B20" s="117"/>
      <c r="C20" s="117"/>
      <c r="D20" s="73"/>
      <c r="E20" s="93"/>
      <c r="F20" s="93"/>
      <c r="G20" s="93"/>
      <c r="H20" s="73"/>
    </row>
    <row r="21" spans="1:8" x14ac:dyDescent="0.25">
      <c r="B21" s="117"/>
      <c r="C21" s="117"/>
      <c r="D21" s="73"/>
      <c r="E21" s="93"/>
      <c r="F21" s="93"/>
      <c r="G21" s="93"/>
      <c r="H21" s="73"/>
    </row>
    <row r="22" spans="1:8" x14ac:dyDescent="0.25">
      <c r="B22" s="118" t="s">
        <v>148</v>
      </c>
      <c r="C22" s="118"/>
      <c r="D22" s="73"/>
      <c r="E22" s="93"/>
      <c r="F22" s="93"/>
      <c r="G22" s="93"/>
      <c r="H22" s="73"/>
    </row>
    <row r="23" spans="1:8" x14ac:dyDescent="0.25">
      <c r="B23" s="95" t="s">
        <v>286</v>
      </c>
      <c r="C23" s="95"/>
      <c r="D23" s="96" t="s">
        <v>287</v>
      </c>
      <c r="E23" s="93"/>
      <c r="F23" s="93"/>
      <c r="G23" s="93"/>
      <c r="H23" s="73"/>
    </row>
    <row r="24" spans="1:8" x14ac:dyDescent="0.25">
      <c r="B24" s="97" t="s">
        <v>149</v>
      </c>
      <c r="C24" s="97"/>
      <c r="D24" s="98" t="s">
        <v>342</v>
      </c>
      <c r="E24" s="93"/>
      <c r="F24" s="93"/>
      <c r="G24" s="93"/>
      <c r="H24" s="73"/>
    </row>
    <row r="25" spans="1:8" x14ac:dyDescent="0.25">
      <c r="B25" s="97" t="s">
        <v>150</v>
      </c>
      <c r="C25" s="97"/>
      <c r="D25" s="98" t="s">
        <v>343</v>
      </c>
      <c r="E25" s="93"/>
      <c r="F25" s="93"/>
      <c r="G25" s="93"/>
      <c r="H25" s="73"/>
    </row>
    <row r="26" spans="1:8" x14ac:dyDescent="0.25">
      <c r="B26" s="97" t="s">
        <v>27</v>
      </c>
      <c r="C26" s="97"/>
      <c r="D26" s="98" t="s">
        <v>344</v>
      </c>
      <c r="E26" s="93"/>
      <c r="F26" s="93"/>
      <c r="G26" s="93"/>
      <c r="H26" s="73"/>
    </row>
    <row r="27" spans="1:8" x14ac:dyDescent="0.25">
      <c r="B27" s="117"/>
      <c r="C27" s="117"/>
      <c r="D27" s="73"/>
      <c r="E27" s="93"/>
      <c r="F27" s="93"/>
      <c r="G27" s="93"/>
      <c r="H27" s="73"/>
    </row>
    <row r="28" spans="1:8" x14ac:dyDescent="0.25">
      <c r="B28" s="117"/>
      <c r="C28" s="117"/>
      <c r="D28" s="73"/>
      <c r="E28" s="93"/>
      <c r="F28" s="93"/>
      <c r="G28" s="93"/>
      <c r="H28" s="73"/>
    </row>
    <row r="29" spans="1:8" x14ac:dyDescent="0.25">
      <c r="B29" s="117"/>
      <c r="C29" s="117"/>
      <c r="D29" s="73"/>
      <c r="E29" s="93"/>
      <c r="F29" s="93"/>
      <c r="G29" s="93"/>
      <c r="H29" s="73"/>
    </row>
    <row r="30" spans="1:8" x14ac:dyDescent="0.25">
      <c r="B30" s="117"/>
      <c r="C30" s="117"/>
      <c r="D30" s="73"/>
      <c r="E30" s="93"/>
      <c r="F30" s="93"/>
    </row>
    <row r="31" spans="1:8" x14ac:dyDescent="0.25">
      <c r="B31" s="117"/>
      <c r="C31" s="117"/>
      <c r="D31" s="73"/>
      <c r="E31" s="93"/>
      <c r="F31" s="93"/>
    </row>
    <row r="32" spans="1:8" x14ac:dyDescent="0.25">
      <c r="B32" s="117"/>
      <c r="C32" s="117"/>
      <c r="D32" s="73"/>
      <c r="E32" s="93"/>
      <c r="F32" s="93"/>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57" t="s">
        <v>178</v>
      </c>
      <c r="B1" s="157"/>
      <c r="C1" s="120"/>
      <c r="D1" s="36"/>
      <c r="E1" s="36"/>
    </row>
    <row r="2" spans="1:5" x14ac:dyDescent="0.25">
      <c r="A2" s="121" t="s">
        <v>179</v>
      </c>
      <c r="B2" s="121" t="s">
        <v>2</v>
      </c>
      <c r="C2" s="121" t="s">
        <v>180</v>
      </c>
      <c r="D2" s="121" t="s">
        <v>181</v>
      </c>
      <c r="E2" s="121" t="s">
        <v>14</v>
      </c>
    </row>
    <row r="3" spans="1:5" x14ac:dyDescent="0.25">
      <c r="A3" s="122" t="s">
        <v>182</v>
      </c>
      <c r="B3" s="123">
        <v>0.1</v>
      </c>
      <c r="C3" s="123"/>
      <c r="D3" s="124">
        <v>42765</v>
      </c>
      <c r="E3" s="125" t="s">
        <v>183</v>
      </c>
    </row>
    <row r="4" spans="1:5" x14ac:dyDescent="0.25">
      <c r="A4" s="125" t="s">
        <v>184</v>
      </c>
      <c r="B4" s="123">
        <v>0.2</v>
      </c>
      <c r="C4" s="123"/>
      <c r="D4" s="124">
        <v>42766</v>
      </c>
      <c r="E4" s="125" t="s">
        <v>185</v>
      </c>
    </row>
    <row r="5" spans="1:5" x14ac:dyDescent="0.25">
      <c r="A5" s="125" t="s">
        <v>186</v>
      </c>
      <c r="B5" s="123">
        <v>0.3</v>
      </c>
      <c r="C5" s="123"/>
      <c r="D5" s="124">
        <v>42778</v>
      </c>
      <c r="E5" s="125" t="s">
        <v>187</v>
      </c>
    </row>
    <row r="6" spans="1:5" x14ac:dyDescent="0.25">
      <c r="A6" s="125" t="s">
        <v>188</v>
      </c>
      <c r="B6" s="123" t="s">
        <v>189</v>
      </c>
      <c r="C6" s="123"/>
      <c r="D6" s="124">
        <v>42780</v>
      </c>
      <c r="E6" s="125" t="s">
        <v>190</v>
      </c>
    </row>
    <row r="7" spans="1:5" x14ac:dyDescent="0.25">
      <c r="A7" s="125" t="s">
        <v>184</v>
      </c>
      <c r="B7" s="126" t="s">
        <v>191</v>
      </c>
      <c r="C7" s="126"/>
      <c r="D7" s="124">
        <v>42781</v>
      </c>
      <c r="E7" s="125" t="s">
        <v>192</v>
      </c>
    </row>
    <row r="8" spans="1:5" x14ac:dyDescent="0.25">
      <c r="A8" s="125" t="s">
        <v>188</v>
      </c>
      <c r="B8" s="126" t="s">
        <v>193</v>
      </c>
      <c r="C8" s="126"/>
      <c r="D8" s="124">
        <v>42829</v>
      </c>
      <c r="E8" s="125" t="s">
        <v>194</v>
      </c>
    </row>
    <row r="9" spans="1:5" x14ac:dyDescent="0.25">
      <c r="A9" s="125" t="s">
        <v>184</v>
      </c>
      <c r="B9" s="126" t="s">
        <v>193</v>
      </c>
      <c r="C9" s="126"/>
      <c r="D9" s="124">
        <v>42919</v>
      </c>
      <c r="E9" s="125" t="s">
        <v>195</v>
      </c>
    </row>
    <row r="10" spans="1:5" x14ac:dyDescent="0.25">
      <c r="A10" s="125" t="s">
        <v>184</v>
      </c>
      <c r="B10" s="126" t="s">
        <v>196</v>
      </c>
      <c r="C10" s="126"/>
      <c r="D10" s="124">
        <v>42963</v>
      </c>
      <c r="E10" s="125" t="s">
        <v>197</v>
      </c>
    </row>
    <row r="11" spans="1:5" x14ac:dyDescent="0.25">
      <c r="A11" s="125" t="s">
        <v>184</v>
      </c>
      <c r="B11" s="126" t="s">
        <v>198</v>
      </c>
      <c r="C11" s="126"/>
      <c r="D11" s="124">
        <v>43113</v>
      </c>
      <c r="E11" s="125" t="s">
        <v>199</v>
      </c>
    </row>
    <row r="12" spans="1:5" x14ac:dyDescent="0.25">
      <c r="A12" s="125" t="s">
        <v>184</v>
      </c>
      <c r="B12" s="126">
        <v>1.1000000000000001</v>
      </c>
      <c r="C12" s="126"/>
      <c r="D12" s="124">
        <v>43289</v>
      </c>
      <c r="E12" s="125" t="s">
        <v>200</v>
      </c>
    </row>
    <row r="13" spans="1:5" x14ac:dyDescent="0.25">
      <c r="A13" s="125" t="s">
        <v>201</v>
      </c>
      <c r="B13" s="127" t="s">
        <v>202</v>
      </c>
      <c r="C13" s="128"/>
      <c r="D13" s="124">
        <v>43464</v>
      </c>
      <c r="E13" s="129" t="s">
        <v>203</v>
      </c>
    </row>
    <row r="14" spans="1:5" x14ac:dyDescent="0.25">
      <c r="A14" s="125" t="s">
        <v>204</v>
      </c>
      <c r="B14" s="127" t="s">
        <v>205</v>
      </c>
      <c r="C14" s="128"/>
      <c r="D14" s="124">
        <v>43469</v>
      </c>
      <c r="E14" s="129" t="s">
        <v>203</v>
      </c>
    </row>
    <row r="15" spans="1:5" ht="408.95" customHeight="1" x14ac:dyDescent="0.25">
      <c r="A15" s="130" t="s">
        <v>206</v>
      </c>
      <c r="B15" s="126" t="s">
        <v>207</v>
      </c>
      <c r="C15" s="126" t="s">
        <v>208</v>
      </c>
      <c r="D15" s="124">
        <v>43471</v>
      </c>
      <c r="E15" s="131" t="s">
        <v>209</v>
      </c>
    </row>
    <row r="16" spans="1:5" x14ac:dyDescent="0.25">
      <c r="A16" s="125" t="s">
        <v>201</v>
      </c>
      <c r="B16" s="127" t="s">
        <v>210</v>
      </c>
      <c r="C16" s="126" t="s">
        <v>208</v>
      </c>
      <c r="D16" s="132">
        <v>43475</v>
      </c>
      <c r="E16" s="129" t="s">
        <v>211</v>
      </c>
    </row>
    <row r="17" spans="1:5" ht="78.75" x14ac:dyDescent="0.25">
      <c r="A17" s="130" t="s">
        <v>206</v>
      </c>
      <c r="B17" s="127" t="s">
        <v>212</v>
      </c>
      <c r="C17" s="126" t="s">
        <v>208</v>
      </c>
      <c r="D17" s="124">
        <v>43476</v>
      </c>
      <c r="E17" s="130" t="s">
        <v>213</v>
      </c>
    </row>
    <row r="18" spans="1:5" ht="47.25" x14ac:dyDescent="0.25">
      <c r="A18" s="130" t="s">
        <v>206</v>
      </c>
      <c r="B18" s="127" t="s">
        <v>214</v>
      </c>
      <c r="C18" s="126" t="s">
        <v>208</v>
      </c>
      <c r="D18" s="124">
        <v>43478</v>
      </c>
      <c r="E18" s="130" t="s">
        <v>215</v>
      </c>
    </row>
    <row r="19" spans="1:5" ht="47.25" x14ac:dyDescent="0.25">
      <c r="A19" s="130" t="s">
        <v>206</v>
      </c>
      <c r="B19" s="127" t="s">
        <v>216</v>
      </c>
      <c r="C19" s="126" t="s">
        <v>208</v>
      </c>
      <c r="D19" s="124">
        <v>43478</v>
      </c>
      <c r="E19" s="130" t="s">
        <v>217</v>
      </c>
    </row>
    <row r="20" spans="1:5" ht="110.25" x14ac:dyDescent="0.25">
      <c r="A20" s="130" t="s">
        <v>201</v>
      </c>
      <c r="B20" s="127" t="s">
        <v>218</v>
      </c>
      <c r="C20" s="126" t="s">
        <v>0</v>
      </c>
      <c r="D20" s="124">
        <v>43641</v>
      </c>
      <c r="E20" s="131" t="s">
        <v>219</v>
      </c>
    </row>
    <row r="21" spans="1:5" x14ac:dyDescent="0.25">
      <c r="A21" s="130" t="s">
        <v>201</v>
      </c>
      <c r="B21" s="127" t="s">
        <v>220</v>
      </c>
      <c r="C21" s="126" t="s">
        <v>0</v>
      </c>
      <c r="D21" s="124">
        <v>43642</v>
      </c>
      <c r="E21" s="130" t="s">
        <v>221</v>
      </c>
    </row>
    <row r="22" spans="1:5" ht="47.25" x14ac:dyDescent="0.25">
      <c r="A22" s="130" t="s">
        <v>201</v>
      </c>
      <c r="B22" s="127" t="s">
        <v>222</v>
      </c>
      <c r="C22" s="126" t="s">
        <v>0</v>
      </c>
      <c r="D22" s="124">
        <v>43649</v>
      </c>
      <c r="E22" s="130" t="s">
        <v>223</v>
      </c>
    </row>
    <row r="23" spans="1:5" x14ac:dyDescent="0.25">
      <c r="A23" s="130" t="s">
        <v>201</v>
      </c>
      <c r="B23" s="127" t="s">
        <v>222</v>
      </c>
      <c r="C23" s="126" t="s">
        <v>0</v>
      </c>
      <c r="D23" s="124">
        <v>43672</v>
      </c>
      <c r="E23" s="130" t="s">
        <v>224</v>
      </c>
    </row>
    <row r="24" spans="1:5" x14ac:dyDescent="0.25">
      <c r="A24" s="130" t="s">
        <v>201</v>
      </c>
      <c r="B24" s="127" t="s">
        <v>222</v>
      </c>
      <c r="C24" s="126" t="s">
        <v>0</v>
      </c>
      <c r="D24" s="124">
        <v>43674</v>
      </c>
      <c r="E24" s="130" t="s">
        <v>225</v>
      </c>
    </row>
    <row r="25" spans="1:5" ht="47.25" x14ac:dyDescent="0.25">
      <c r="A25" s="130" t="s">
        <v>201</v>
      </c>
      <c r="B25" s="127" t="s">
        <v>226</v>
      </c>
      <c r="C25" s="126" t="s">
        <v>0</v>
      </c>
      <c r="D25" s="124">
        <v>43685</v>
      </c>
      <c r="E25" s="130" t="s">
        <v>227</v>
      </c>
    </row>
    <row r="26" spans="1:5" ht="47.25" x14ac:dyDescent="0.25">
      <c r="A26" s="130" t="s">
        <v>228</v>
      </c>
      <c r="B26" s="127" t="s">
        <v>226</v>
      </c>
      <c r="C26" s="126" t="s">
        <v>0</v>
      </c>
      <c r="D26" s="124">
        <v>43719</v>
      </c>
      <c r="E26" s="130"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2020-01-04T01:46:49Z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