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D:\Bob\Documents\GitHub\owasp-mstg\Checklists\"/>
    </mc:Choice>
  </mc:AlternateContent>
  <xr:revisionPtr revIDLastSave="0" documentId="13_ncr:1_{B1276F37-EE0C-482D-8F2B-16C59D53B27B}" xr6:coauthVersionLast="43" xr6:coauthVersionMax="45" xr10:uidLastSave="{00000000-0000-0000-0000-000000000000}"/>
  <bookViews>
    <workbookView xWindow="30000" yWindow="2565" windowWidth="20685" windowHeight="19860" tabRatio="500" firstSheet="1" activeTab="3" xr2:uid="{00000000-000D-0000-FFFF-FFFF00000000}"/>
  </bookViews>
  <sheets>
    <sheet name="Dashboard" sheetId="1" r:id="rId1"/>
    <sheet name="Management Summary" sheetId="2" r:id="rId2"/>
    <sheet name="SR - Android" sheetId="3" r:id="rId3"/>
    <sheet name="RE - Android" sheetId="4" r:id="rId4"/>
    <sheet name="SR - iOS" sheetId="5" r:id="rId5"/>
    <sheet name="RE - iOS" sheetId="6" r:id="rId6"/>
    <sheet name="Version History" sheetId="7" r:id="rId7"/>
  </sheets>
  <definedNames>
    <definedName name="_xlnm._FilterDatabase" localSheetId="2">'SR - Android'!$B$3:$L$81</definedName>
    <definedName name="BASE_URL">Dashboard!$D$14</definedName>
    <definedName name="MASVS_VERSION">Dashboard!$D$11</definedName>
    <definedName name="MSTG_VERSION">Dashboard!$D$13</definedName>
  </definedNames>
  <calcPr calcId="191029" iterateDelta="1E-4"/>
  <extLst>
    <ext xmlns:xcalcf="http://schemas.microsoft.com/office/spreadsheetml/2018/calcfeatures" uri="{B58B0392-4F1F-4190-BB64-5DF3571DCE5F}">
      <xcalcf:calcFeatures>
        <xcalcf:feature name="microsoft.com:RD"/>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H55" i="3" l="1"/>
  <c r="H54" i="3"/>
  <c r="H11" i="3"/>
  <c r="H6" i="3"/>
  <c r="H45" i="3"/>
  <c r="H29" i="5"/>
  <c r="H29" i="3"/>
  <c r="F43" i="2"/>
  <c r="D43" i="2"/>
  <c r="E43" i="2"/>
  <c r="J41" i="3"/>
  <c r="J11" i="3"/>
  <c r="H28" i="3" l="1"/>
  <c r="H25" i="3"/>
  <c r="H20" i="3"/>
  <c r="H19" i="3"/>
  <c r="H18" i="3"/>
  <c r="G17" i="4"/>
  <c r="G15" i="4"/>
  <c r="G13" i="4"/>
  <c r="G9" i="4"/>
  <c r="G8" i="4"/>
  <c r="G7" i="4"/>
  <c r="G6" i="4"/>
  <c r="G5" i="4"/>
  <c r="G10" i="4"/>
  <c r="G17" i="6" l="1"/>
  <c r="G15" i="6"/>
  <c r="G7" i="6"/>
  <c r="G6" i="6"/>
  <c r="G5" i="6"/>
  <c r="H5" i="5"/>
  <c r="H81" i="3" l="1"/>
  <c r="H80" i="3"/>
  <c r="H79" i="3"/>
  <c r="H78" i="3"/>
  <c r="H77" i="3"/>
  <c r="H76" i="3"/>
  <c r="H75" i="3"/>
  <c r="H74" i="3"/>
  <c r="H73" i="3"/>
  <c r="H68" i="3"/>
  <c r="H67" i="3"/>
  <c r="H66" i="3"/>
  <c r="H65" i="3"/>
  <c r="H64" i="3"/>
  <c r="H63" i="3"/>
  <c r="I62" i="3"/>
  <c r="H62" i="3"/>
  <c r="H61" i="3"/>
  <c r="H59" i="3" l="1"/>
  <c r="H58" i="3"/>
  <c r="H57" i="3"/>
  <c r="I57" i="3"/>
  <c r="H56" i="3"/>
  <c r="H50" i="3"/>
  <c r="H49" i="3"/>
  <c r="H48" i="3"/>
  <c r="H47" i="3"/>
  <c r="I46" i="3"/>
  <c r="H46" i="3"/>
  <c r="H44" i="3"/>
  <c r="I43" i="3"/>
  <c r="H43" i="3"/>
  <c r="H42" i="3"/>
  <c r="I41" i="3"/>
  <c r="H41" i="3"/>
  <c r="H39" i="3"/>
  <c r="H38" i="3"/>
  <c r="H37" i="3"/>
  <c r="I37" i="3"/>
  <c r="I36" i="3"/>
  <c r="H36" i="3"/>
  <c r="I35" i="3"/>
  <c r="I34" i="3"/>
  <c r="H35" i="3"/>
  <c r="H34" i="3"/>
  <c r="I28" i="3"/>
  <c r="H27" i="3"/>
  <c r="H26" i="3"/>
  <c r="H24" i="3"/>
  <c r="H23" i="3"/>
  <c r="H22" i="3"/>
  <c r="H21" i="3"/>
  <c r="I18" i="3"/>
  <c r="H14" i="3"/>
  <c r="H13" i="3"/>
  <c r="H12" i="3"/>
  <c r="I11" i="3"/>
  <c r="H10" i="3"/>
  <c r="H9" i="3"/>
  <c r="H8" i="3"/>
  <c r="H7" i="3"/>
  <c r="I6" i="3"/>
  <c r="I5" i="3"/>
  <c r="H5" i="3"/>
  <c r="H76" i="5"/>
  <c r="H67" i="5"/>
  <c r="H58" i="5"/>
  <c r="H49" i="5"/>
  <c r="H43" i="5"/>
  <c r="H35" i="5"/>
  <c r="H23" i="5"/>
  <c r="H12" i="5"/>
  <c r="H6" i="5"/>
  <c r="J50" i="2"/>
  <c r="I50" i="2"/>
  <c r="H50" i="2"/>
  <c r="F50" i="2"/>
  <c r="E50" i="2"/>
  <c r="D50" i="2"/>
  <c r="J49" i="2"/>
  <c r="I49" i="2"/>
  <c r="H49" i="2"/>
  <c r="F49" i="2"/>
  <c r="E49" i="2"/>
  <c r="D49" i="2"/>
  <c r="J48" i="2"/>
  <c r="I48" i="2"/>
  <c r="H48" i="2"/>
  <c r="F48" i="2"/>
  <c r="E48" i="2"/>
  <c r="D48" i="2"/>
  <c r="J47" i="2"/>
  <c r="I47" i="2"/>
  <c r="H47" i="2"/>
  <c r="F47" i="2"/>
  <c r="E47" i="2"/>
  <c r="D47" i="2"/>
  <c r="J46" i="2"/>
  <c r="I46" i="2"/>
  <c r="H46" i="2"/>
  <c r="F46" i="2"/>
  <c r="E46" i="2"/>
  <c r="D46" i="2"/>
  <c r="J45" i="2"/>
  <c r="I45" i="2"/>
  <c r="H45" i="2"/>
  <c r="F45" i="2"/>
  <c r="E45" i="2"/>
  <c r="D45" i="2"/>
  <c r="J44" i="2"/>
  <c r="I44" i="2"/>
  <c r="H44" i="2"/>
  <c r="F44" i="2"/>
  <c r="E44" i="2"/>
  <c r="D44" i="2"/>
  <c r="J43" i="2"/>
  <c r="I43" i="2"/>
  <c r="H43" i="2"/>
  <c r="D14" i="1"/>
  <c r="D12" i="1"/>
  <c r="G48" i="2" l="1"/>
  <c r="G44" i="2"/>
  <c r="K43" i="2"/>
  <c r="K47" i="2"/>
  <c r="K50" i="2"/>
  <c r="K46" i="2"/>
  <c r="K45" i="2"/>
  <c r="K49" i="2"/>
  <c r="G43" i="2"/>
  <c r="G47" i="2"/>
  <c r="K44" i="2"/>
  <c r="K48" i="2"/>
  <c r="G46" i="2"/>
  <c r="G50" i="2"/>
  <c r="G45" i="2"/>
  <c r="G49" i="2"/>
  <c r="I6" i="5"/>
  <c r="H13" i="5"/>
  <c r="H36" i="5"/>
  <c r="I43" i="5"/>
  <c r="H50" i="5"/>
  <c r="H59" i="5"/>
  <c r="H77" i="5"/>
  <c r="H7" i="5"/>
  <c r="H14" i="5"/>
  <c r="H25" i="5"/>
  <c r="H37" i="5"/>
  <c r="H44" i="5"/>
  <c r="H52" i="5"/>
  <c r="H61" i="5"/>
  <c r="H70" i="5"/>
  <c r="H78" i="5"/>
  <c r="H24" i="5"/>
  <c r="H68" i="5"/>
  <c r="H8" i="5"/>
  <c r="H18" i="5"/>
  <c r="H26" i="5"/>
  <c r="H38" i="5"/>
  <c r="H45" i="5"/>
  <c r="H54" i="5"/>
  <c r="H62" i="5"/>
  <c r="H71" i="5"/>
  <c r="H10" i="5"/>
  <c r="H20" i="5"/>
  <c r="H28" i="5"/>
  <c r="H41" i="5"/>
  <c r="I46" i="5"/>
  <c r="I55" i="5"/>
  <c r="H64" i="5"/>
  <c r="H73" i="5"/>
  <c r="H72" i="5"/>
  <c r="H11" i="5"/>
  <c r="H21" i="5"/>
  <c r="I41" i="5"/>
  <c r="H47" i="5"/>
  <c r="H56" i="5"/>
  <c r="H65" i="5"/>
  <c r="H74" i="5"/>
  <c r="H9" i="5"/>
  <c r="H19" i="5"/>
  <c r="H27" i="5"/>
  <c r="H39" i="5"/>
  <c r="H46" i="5"/>
  <c r="H55" i="5"/>
  <c r="H63" i="5"/>
  <c r="I11" i="5"/>
  <c r="H22" i="5"/>
  <c r="H34" i="5"/>
  <c r="H42" i="5"/>
  <c r="H48" i="5"/>
  <c r="H57" i="5"/>
  <c r="H66" i="5"/>
  <c r="H75" i="5"/>
  <c r="V8" i="2" l="1"/>
  <c r="G8" i="2"/>
</calcChain>
</file>

<file path=xl/sharedStrings.xml><?xml version="1.0" encoding="utf-8"?>
<sst xmlns="http://schemas.openxmlformats.org/spreadsheetml/2006/main" count="1065" uniqueCount="433">
  <si>
    <t>1.1.4</t>
  </si>
  <si>
    <t>1.1.3</t>
  </si>
  <si>
    <t>Version</t>
  </si>
  <si>
    <t>`</t>
  </si>
  <si>
    <t>Android</t>
  </si>
  <si>
    <t>iOS</t>
  </si>
  <si>
    <t>NA</t>
  </si>
  <si>
    <t>%</t>
  </si>
  <si>
    <t>ID</t>
  </si>
  <si>
    <t>MSTG-ID</t>
  </si>
  <si>
    <t>Level 1</t>
  </si>
  <si>
    <t>Level 2</t>
  </si>
  <si>
    <t>Status</t>
  </si>
  <si>
    <t>Testing Procedure(s)</t>
  </si>
  <si>
    <t>Comment</t>
  </si>
  <si>
    <t>V1</t>
  </si>
  <si>
    <t>1.1</t>
  </si>
  <si>
    <t>MSTG-ARCH-1</t>
  </si>
  <si>
    <t>✓</t>
  </si>
  <si>
    <t>1.2</t>
  </si>
  <si>
    <t>MSTG-ARCH-2</t>
  </si>
  <si>
    <t>1.3</t>
  </si>
  <si>
    <t>MSTG-ARCH-3</t>
  </si>
  <si>
    <t>1.4</t>
  </si>
  <si>
    <t>MSTG-ARCH-4</t>
  </si>
  <si>
    <t>1.5</t>
  </si>
  <si>
    <t>MSTG-ARCH-5</t>
  </si>
  <si>
    <t>N/A</t>
  </si>
  <si>
    <t>1.6</t>
  </si>
  <si>
    <t>MSTG-ARCH-6</t>
  </si>
  <si>
    <t>1.7</t>
  </si>
  <si>
    <t>MSTG-ARCH-7</t>
  </si>
  <si>
    <t>1.8</t>
  </si>
  <si>
    <t>MSTG-ARCH-8</t>
  </si>
  <si>
    <t>1.9</t>
  </si>
  <si>
    <t>MSTG-ARCH-9</t>
  </si>
  <si>
    <t>1.10</t>
  </si>
  <si>
    <t>MSTG-ARCH-10</t>
  </si>
  <si>
    <t>V2</t>
  </si>
  <si>
    <t>2.1</t>
  </si>
  <si>
    <t>MSTG-STORAGE‑1</t>
  </si>
  <si>
    <t>2.2</t>
  </si>
  <si>
    <t>MSTG-STORAGE‑2</t>
  </si>
  <si>
    <t>2.3</t>
  </si>
  <si>
    <t>MSTG-STORAGE‑3</t>
  </si>
  <si>
    <t>2.4</t>
  </si>
  <si>
    <t>MSTG-STORAGE‑4</t>
  </si>
  <si>
    <t>2.5</t>
  </si>
  <si>
    <t>MSTG-STORAGE‑5</t>
  </si>
  <si>
    <t>2.6</t>
  </si>
  <si>
    <t>MSTG-STORAGE‑6</t>
  </si>
  <si>
    <t>2.7</t>
  </si>
  <si>
    <t>MSTG-STORAGE‑7</t>
  </si>
  <si>
    <t>2.8</t>
  </si>
  <si>
    <t>MSTG-STORAGE‑8</t>
  </si>
  <si>
    <t>2.9</t>
  </si>
  <si>
    <t>MSTG-STORAGE‑9</t>
  </si>
  <si>
    <t>2.10</t>
  </si>
  <si>
    <t>MSTG-STORAGE‑10</t>
  </si>
  <si>
    <t>2.11</t>
  </si>
  <si>
    <t>MSTG-STORAGE‑11</t>
  </si>
  <si>
    <t>2.12</t>
  </si>
  <si>
    <t>MSTG-STORAGE‑12</t>
  </si>
  <si>
    <t>V3</t>
  </si>
  <si>
    <t>3.1</t>
  </si>
  <si>
    <t>MSTG‑CRYPTO‑1</t>
  </si>
  <si>
    <t>3.2</t>
  </si>
  <si>
    <t>MSTG‑CRYPTO‑2</t>
  </si>
  <si>
    <t>3.3</t>
  </si>
  <si>
    <t>MSTG‑CRYPTO‑3</t>
  </si>
  <si>
    <t>3.4</t>
  </si>
  <si>
    <t>MSTG‑CRYPTO‑4</t>
  </si>
  <si>
    <t>3.5</t>
  </si>
  <si>
    <t>MSTG‑CRYPTO‑5</t>
  </si>
  <si>
    <t>3.6</t>
  </si>
  <si>
    <t>MSTG‑CRYPTO‑6</t>
  </si>
  <si>
    <t>V4</t>
  </si>
  <si>
    <t>4.1</t>
  </si>
  <si>
    <t>MSTG-AUTH-1</t>
  </si>
  <si>
    <t>4.2</t>
  </si>
  <si>
    <t>MSTG-AUTH-2</t>
  </si>
  <si>
    <t>4.3</t>
  </si>
  <si>
    <t>MSTG-AUTH-3</t>
  </si>
  <si>
    <t>4.4</t>
  </si>
  <si>
    <t>MSTG-AUTH-4</t>
  </si>
  <si>
    <t>4.5</t>
  </si>
  <si>
    <t>MSTG-AUTH-5</t>
  </si>
  <si>
    <t>4.6</t>
  </si>
  <si>
    <t>MSTG-AUTH-6</t>
  </si>
  <si>
    <t>4.7</t>
  </si>
  <si>
    <t>MSTG-AUTH-7</t>
  </si>
  <si>
    <t>4.8</t>
  </si>
  <si>
    <t>MSTG-AUTH-8</t>
  </si>
  <si>
    <t>4.9</t>
  </si>
  <si>
    <t>MSTG-AUTH-9</t>
  </si>
  <si>
    <t>4.10</t>
  </si>
  <si>
    <t>MSTG-AUTH-10</t>
  </si>
  <si>
    <t>4.11</t>
  </si>
  <si>
    <t>MSTG-AUTH-11</t>
  </si>
  <si>
    <t>V5</t>
  </si>
  <si>
    <t>5.1</t>
  </si>
  <si>
    <t>MSTG-NETWORK-1</t>
  </si>
  <si>
    <t>5.2</t>
  </si>
  <si>
    <t>MSTG-NETWORK-2</t>
  </si>
  <si>
    <t>5.3</t>
  </si>
  <si>
    <t>MSTG-NETWORK-3</t>
  </si>
  <si>
    <t>5.4</t>
  </si>
  <si>
    <t>MSTG-NETWORK-4</t>
  </si>
  <si>
    <t>5.5</t>
  </si>
  <si>
    <t>MSTG-NETWORK-5</t>
  </si>
  <si>
    <t>5.6</t>
  </si>
  <si>
    <t>MSTG-NETWORK-6</t>
  </si>
  <si>
    <t>V6</t>
  </si>
  <si>
    <t>6.1</t>
  </si>
  <si>
    <t>MSTG-PLATFORM-1</t>
  </si>
  <si>
    <t>6.2</t>
  </si>
  <si>
    <t>MSTG-PLATFORM-2</t>
  </si>
  <si>
    <t>6.3</t>
  </si>
  <si>
    <t>MSTG-PLATFORM-3</t>
  </si>
  <si>
    <t>6.4</t>
  </si>
  <si>
    <t>MSTG-PLATFORM-4</t>
  </si>
  <si>
    <t>6.5</t>
  </si>
  <si>
    <t>MSTG-PLATFORM-5</t>
  </si>
  <si>
    <t>6.6</t>
  </si>
  <si>
    <t>MSTG-PLATFORM-6</t>
  </si>
  <si>
    <t>6.7</t>
  </si>
  <si>
    <t>MSTG-PLATFORM-7</t>
  </si>
  <si>
    <t>6.8</t>
  </si>
  <si>
    <t>MSTG-PLATFORM-8</t>
  </si>
  <si>
    <t>V7</t>
  </si>
  <si>
    <t>7.1</t>
  </si>
  <si>
    <t>MSTG-CODE-1</t>
  </si>
  <si>
    <t>7.2</t>
  </si>
  <si>
    <t>MSTG-CODE-2</t>
  </si>
  <si>
    <t>7.3</t>
  </si>
  <si>
    <t>MSTG-CODE-3</t>
  </si>
  <si>
    <t>7.4</t>
  </si>
  <si>
    <t>MSTG-CODE-4</t>
  </si>
  <si>
    <t>7.5</t>
  </si>
  <si>
    <t>MSTG-CODE-5</t>
  </si>
  <si>
    <t>7.6</t>
  </si>
  <si>
    <t>MSTG-CODE-6</t>
  </si>
  <si>
    <t>7.7</t>
  </si>
  <si>
    <t>MSTG-CODE-7</t>
  </si>
  <si>
    <t>7.8</t>
  </si>
  <si>
    <t>MSTG-CODE-8</t>
  </si>
  <si>
    <t>7.9</t>
  </si>
  <si>
    <t>MSTG-CODE-9</t>
  </si>
  <si>
    <t>Legend</t>
  </si>
  <si>
    <t>Pass</t>
  </si>
  <si>
    <t>Fail</t>
  </si>
  <si>
    <t>R</t>
  </si>
  <si>
    <t>8.1</t>
  </si>
  <si>
    <t>MSTG-RESILIENCE-1</t>
  </si>
  <si>
    <t>8.2</t>
  </si>
  <si>
    <t>MSTG-RESILIENCE-2</t>
  </si>
  <si>
    <t>8.3</t>
  </si>
  <si>
    <t>MSTG-RESILIENCE-3</t>
  </si>
  <si>
    <t>8.4</t>
  </si>
  <si>
    <t>MSTG-RESILIENCE-4</t>
  </si>
  <si>
    <t>8.5</t>
  </si>
  <si>
    <t>MSTG-RESILIENCE-5</t>
  </si>
  <si>
    <t>8.6</t>
  </si>
  <si>
    <t>MSTG-RESILIENCE-6</t>
  </si>
  <si>
    <t>8.7</t>
  </si>
  <si>
    <t>MSTG-RESILIENCE-7</t>
  </si>
  <si>
    <t xml:space="preserve"> -</t>
  </si>
  <si>
    <t>8.8</t>
  </si>
  <si>
    <t>MSTG-RESILIENCE-8</t>
  </si>
  <si>
    <t>-</t>
  </si>
  <si>
    <t>8.9</t>
  </si>
  <si>
    <t>MSTG-RESILIENCE-9</t>
  </si>
  <si>
    <t>8.10</t>
  </si>
  <si>
    <t>MSTG-RESILIENCE-10</t>
  </si>
  <si>
    <t>8.11</t>
  </si>
  <si>
    <t>MSTG-RESILIENCE-11</t>
  </si>
  <si>
    <t>8.12</t>
  </si>
  <si>
    <t>MSTG-RESILIENCE-12</t>
  </si>
  <si>
    <t>XLS Version History</t>
  </si>
  <si>
    <t>Name</t>
  </si>
  <si>
    <t>MASVS version</t>
  </si>
  <si>
    <t>Date</t>
  </si>
  <si>
    <t>Alexander Antukh (Opera Software)</t>
  </si>
  <si>
    <t>Initial draft</t>
  </si>
  <si>
    <t xml:space="preserve">Sven Schleier </t>
  </si>
  <si>
    <t>Merging of three diffeent templates</t>
  </si>
  <si>
    <t>Abdessamad Temmar</t>
  </si>
  <si>
    <t>Adding Spider Chart</t>
  </si>
  <si>
    <t>Bernhard Mueller</t>
  </si>
  <si>
    <t>0.8.1</t>
  </si>
  <si>
    <t>Rework, adding links to Testing Guide</t>
  </si>
  <si>
    <t>0.9.2</t>
  </si>
  <si>
    <t>QA (and sync version number with MASVS)</t>
  </si>
  <si>
    <t>0.9.3</t>
  </si>
  <si>
    <t>Sync with MASVS (merge 7.9 into 7.8)</t>
  </si>
  <si>
    <t>Sync with MASVS (update requirements of domain 4 and R)</t>
  </si>
  <si>
    <t>0.9.4</t>
  </si>
  <si>
    <t>Sync with MASVS (update requirements of domain 1, 4 and 6)</t>
  </si>
  <si>
    <t>1.0</t>
  </si>
  <si>
    <t>Sync with MASVS (update requirements of domain 3 and 8)</t>
  </si>
  <si>
    <t>Sync with MASVS (update requirements of domain 2), change links to new Gitbook</t>
  </si>
  <si>
    <t>Abderrahmane Aftahi</t>
  </si>
  <si>
    <t>1.1.0.1</t>
  </si>
  <si>
    <t>Translating to French based on MASVS 1.1.1</t>
  </si>
  <si>
    <t>Romuald Szkudlarek</t>
  </si>
  <si>
    <t>1.1.0.2</t>
  </si>
  <si>
    <t>Georges Bolssens</t>
  </si>
  <si>
    <t>1.1.0.3</t>
  </si>
  <si>
    <t>1.1.0</t>
  </si>
  <si>
    <r>
      <rPr>
        <b/>
        <sz val="12"/>
        <color rgb="FF000000"/>
        <rFont val="Calibri"/>
        <family val="2"/>
        <charset val="1"/>
      </rPr>
      <t xml:space="preserve">Sync with MASVS/MSTG v1.1.0
</t>
    </r>
    <r>
      <rPr>
        <sz val="12"/>
        <color rgb="FF000000"/>
        <rFont val="Calibri"/>
        <family val="2"/>
        <charset val="1"/>
      </rPr>
      <t xml:space="preserve">- Rewriting the "Detailed Verification Requirement" columns to match the wording of the MASVS
- Adding 0x05/0x06 hyperlinks to MSTG for V3.3+3.5 (previously both 0x04)
- Adding 0x05 hyperlink to MSTG for Android-V7.5 (previously blank)
- Adding 0x06 hyperlink to MSTG for iOS-V6.1+6.6+6.7+6.8+7.5+7.8 (previously blank)
- Updates the linktext of iOS-V5.3 to "Testing Custom Certificate Stores and SSL Pinning" as there's no separate paragraph for "Testing Endpoint Identify Verification"
- Updates the linktext of iOS-V8.1 to "Testing Jailbreak Detection" (previously "Advanced Root Detection" which is the wrong term for the platform)
</t>
    </r>
    <r>
      <rPr>
        <b/>
        <sz val="12"/>
        <color rgb="FF000000"/>
        <rFont val="Calibri"/>
        <family val="2"/>
        <charset val="1"/>
      </rPr>
      <t xml:space="preserve">
Coupling the checklist version to a specific MASVS/MSTG versio</t>
    </r>
    <r>
      <rPr>
        <sz val="12"/>
        <color rgb="FF000000"/>
        <rFont val="Calibri"/>
        <family val="2"/>
        <charset val="1"/>
      </rPr>
      <t xml:space="preserve">n and shifting to github.com instead of gitbook.io
- Reflecting MASVS/MSTG version in the "Dashboard" worksheet in cell D11 (named range "MASVS_VERSION")
- Reflecting the "root" of the MSTG version on github.com in the "Dashboard" worksheet in cell D12 (named range "BASE_URL")
- Composing the hyperlinks to the MSTG dynamically with formulas to simplify future maintenance and multilingual support by referencing the two named ranges above
- Adding a column "MASVS version" to this "version history" worksheet to reflect the link between versioning of this checklist and MASVS/MSTG
</t>
    </r>
    <r>
      <rPr>
        <b/>
        <sz val="12"/>
        <color rgb="FF000000"/>
        <rFont val="Calibri"/>
        <family val="2"/>
        <charset val="1"/>
      </rPr>
      <t xml:space="preserve">
Syncing "Anti-RE" worksheets to better match the L1/L2 "Security Requirements" worksheets
</t>
    </r>
    <r>
      <rPr>
        <sz val="12"/>
        <color rgb="FF000000"/>
        <rFont val="Calibri"/>
        <family val="2"/>
        <charset val="1"/>
      </rPr>
      <t xml:space="preserve">- Adding "ID" header
- Removing inner cell borders
</t>
    </r>
    <r>
      <rPr>
        <b/>
        <sz val="12"/>
        <color rgb="FF000000"/>
        <rFont val="Calibri"/>
        <family val="2"/>
        <charset val="1"/>
      </rPr>
      <t xml:space="preserve">
Housekeeping/Mis</t>
    </r>
    <r>
      <rPr>
        <sz val="12"/>
        <color rgb="FF000000"/>
        <rFont val="Calibri"/>
        <family val="2"/>
        <charset val="1"/>
      </rPr>
      <t>c
- Adding missing "-" in the "Testing procedure" columns for where there is no testcase in the MSTG
- Adding missing cell-border lines
- Setting all ID's to "x.y" formatting. Was previously a mix of "x.y" and "x,y"
- Setting the cell type of the ID columns to "Text" to prevent Excel from forcing the decimal point from a period to a comma
- Enabled gridlines on both Android worksheets to improve readability (inspired by the iOS worksheets)
- Resetting all worksheets' zoom levels to 100%
- Presetting iOS-2.11 to "N/A" (previously unset)</t>
    </r>
  </si>
  <si>
    <t>1.1.0.4</t>
  </si>
  <si>
    <t>Updating the lnk to the 1.1.0 version of the guide</t>
  </si>
  <si>
    <t>1.1.0.5</t>
  </si>
  <si>
    <t xml:space="preserve">SHA256 checksum instead of MD5 on Dashboard worksheet
Fixed the Management Summary worksheet
Added explanation for hyperlinking to the Dashboard worksheet
Added 0x04 hyperlink to MSTG for V4.11 on both platforms (previously blank)
</t>
  </si>
  <si>
    <t>1.1.0.6</t>
  </si>
  <si>
    <t xml:space="preserve">
Added 0x06 hyperlink to MSTG for V5.6 on iOS (previously blank)
Added a second hyperlink where feasible</t>
  </si>
  <si>
    <t>1.1.0.7</t>
  </si>
  <si>
    <t>Adjusted headings to facilitate having 2 links to the MSTG
Adding 0x05 hyperlink to MSTG for Android-V8.11 (previously blank)
Cosmetics (Top-Left alignment, WordWrap, fit-to-width and -height)</t>
  </si>
  <si>
    <t>1.1.1.1</t>
  </si>
  <si>
    <r>
      <rPr>
        <b/>
        <sz val="12"/>
        <color rgb="FF000000"/>
        <rFont val="Calibri"/>
        <family val="2"/>
        <charset val="1"/>
      </rPr>
      <t xml:space="preserve">Updating the links based on OSS19 restructured chapters:
</t>
    </r>
    <r>
      <rPr>
        <sz val="12"/>
        <color rgb="FF000000"/>
        <rFont val="Calibri"/>
        <family val="2"/>
        <charset val="1"/>
      </rPr>
      <t xml:space="preserve">android 
3.2|3.4|4.9|4.10|5.2|5.4|7.7
IOS
3.2|4.5|4.10|4.11|5.1|5.3|6.4|7.8
</t>
    </r>
  </si>
  <si>
    <t>1.1.1.2</t>
  </si>
  <si>
    <t>Correcting the Link to the MSTG repo and adding a link to the MASVS repo</t>
  </si>
  <si>
    <t>1.1.1.3</t>
  </si>
  <si>
    <t>Synchronizing the requirements wording in excel with the MASVS
changes:
2.9</t>
  </si>
  <si>
    <t xml:space="preserve">Updating the link 2.12 for IOS </t>
  </si>
  <si>
    <t>Ensure that tiles are in sync on Excel and MSTG</t>
  </si>
  <si>
    <t>1.1.2</t>
  </si>
  <si>
    <t>Updates:
- Adding the MSTG-IDs
- Covering the V1 MSTG links</t>
  </si>
  <si>
    <t>Jonas Wendorf</t>
  </si>
  <si>
    <t>Updates:
- Added missing translations for headings
- Fixed some outlines</t>
  </si>
  <si>
    <t>Android 反逆向工程能力</t>
  </si>
  <si>
    <t>常规测试信息</t>
  </si>
  <si>
    <t>MASVS 版本</t>
  </si>
  <si>
    <t>在线 MASVS 版本:</t>
  </si>
  <si>
    <t>在线 MSTG 版本:</t>
  </si>
  <si>
    <t>客户名字:</t>
  </si>
  <si>
    <t>测试地址:</t>
  </si>
  <si>
    <t>开始日期:</t>
  </si>
  <si>
    <t>结束日期:</t>
  </si>
  <si>
    <t>测试者名字:</t>
  </si>
  <si>
    <t>测试范围</t>
  </si>
  <si>
    <t>App &lt;应用名字&gt;中的所有可用功能</t>
  </si>
  <si>
    <t>验证等级</t>
  </si>
  <si>
    <t>与&lt;客户&gt;协商后，决定仅1级要求适用于&lt;应用程序名称&gt;。</t>
  </si>
  <si>
    <t>MSTG 版本:</t>
  </si>
  <si>
    <t>Android 测试信息</t>
  </si>
  <si>
    <t>应用名字:</t>
  </si>
  <si>
    <t>Google Play 商店链接</t>
  </si>
  <si>
    <t>文件名字</t>
  </si>
  <si>
    <t>版本</t>
  </si>
  <si>
    <t>SHA256 APK的哈希
（可以通过使用shasum，openssl或sha256sum获得）</t>
  </si>
  <si>
    <t>iOS 测试信息</t>
  </si>
  <si>
    <t>应用名称：</t>
  </si>
  <si>
    <t>App Store 链接</t>
  </si>
  <si>
    <t>文档名称</t>
  </si>
  <si>
    <t>IPA的SHA256哈希
（可以通过使用shasum，openssl或sha256sum获得）</t>
  </si>
  <si>
    <t>客户代表和联系信息</t>
  </si>
  <si>
    <t>组织:</t>
  </si>
  <si>
    <t>职位:</t>
  </si>
  <si>
    <t>电话:</t>
  </si>
  <si>
    <t>邮件:</t>
  </si>
  <si>
    <t>姓名:</t>
  </si>
  <si>
    <t>MASVS 合规评分 ( / 5)</t>
  </si>
  <si>
    <t>评论</t>
  </si>
  <si>
    <t>状态</t>
  </si>
  <si>
    <t>符号</t>
  </si>
  <si>
    <t>定义</t>
  </si>
  <si>
    <t>该要求适用于移动应用程序，并根据最佳实践实施。</t>
  </si>
  <si>
    <t>要求是适用于移动应用程序，但没有兑现。</t>
  </si>
  <si>
    <t>该要求不适用于移动应用。</t>
  </si>
  <si>
    <t>对逆向工程需求的弹性</t>
  </si>
  <si>
    <t>测试程序(s)</t>
  </si>
  <si>
    <t>妨碍动态分析和篡改</t>
  </si>
  <si>
    <t>该应用程序通过警告用户或终止应用程序来检测和响应有根设备或越狱设备的存在。</t>
  </si>
  <si>
    <t>应用程序可以防止调试和/或检测并响应附加的调试器。必须覆盖所有可用的调试协议。</t>
  </si>
  <si>
    <t>该应用程序在自己的沙箱中检测、响应、篡改可执行文件和关键数据。</t>
  </si>
  <si>
    <t>该应用程序检测并响应设备上广泛使用的逆向工程工具和框架。</t>
  </si>
  <si>
    <t>应用程序检测并响应正在模拟器中运行的程序。</t>
  </si>
  <si>
    <t>应用程序在自己的内存空间中检测、响应并篡改代码和数据。</t>
  </si>
  <si>
    <t>该应用程序在每个防御类中实现多个机制(8.1到8.6)。请注意，弹性的规模与数量，多样性的原始使用的机制。</t>
  </si>
  <si>
    <t>检测机制触发不同类型的响应，包括延迟响应和隐形响应。</t>
  </si>
  <si>
    <t>混淆化被应用于程序化的防御，这反过来又通过动态分析阻碍去混淆化。</t>
  </si>
  <si>
    <t>设备绑定</t>
  </si>
  <si>
    <t>该应用程序实现了一个“设备绑定”功能，使用一个设备指纹衍生自该设备的多个独特属性。</t>
  </si>
  <si>
    <t>阻碍理解</t>
  </si>
  <si>
    <t>应用程序的所有可执行文件和库都在文件级加密，可执行文件中的重要代码和数据段都加密或打包。简单的静态分析并不能揭示重要的代码或数据。</t>
  </si>
  <si>
    <t>如果模糊化的目标是保护敏感的计算结果，那么考虑到目前发表的研究成果，模糊化方案既适用于特定的任务，又对手动和自动去模糊化方法具有较强的鲁棒性。模糊化方案的有效性必须通过人工测试来验证。请注意，尽可能使用基于硬件的隔离特性而不是混淆。</t>
  </si>
  <si>
    <t>要求适用于移动应用程序，并根据最佳实践实施。</t>
  </si>
  <si>
    <t>要求是适用于移动应用程序，但不满足。</t>
  </si>
  <si>
    <t>要求不适用于移动应用。</t>
  </si>
  <si>
    <t>对抗逆向工程的弹性 - iOS</t>
  </si>
  <si>
    <t>iOS - 移动应用安全需求</t>
  </si>
  <si>
    <t>Android - 移动应用安全要求</t>
  </si>
  <si>
    <t>管理概述(Management Summary)</t>
  </si>
  <si>
    <t>V1: 架构，设计和威胁建模 (Architecture, Design an Threat Modelling)</t>
  </si>
  <si>
    <t>V2: 数据存储和隐私 (Data Storage and Privacy)</t>
  </si>
  <si>
    <t>V3: 密码学验证 (Cryptography Verification)</t>
  </si>
  <si>
    <t>V4: 身份验证和会话管理 (Authentication &amp; Session Management)</t>
  </si>
  <si>
    <t>V5: 网络通讯 (Network Communication)</t>
  </si>
  <si>
    <t>V6: 平台互动 (Platform Interaction)</t>
  </si>
  <si>
    <t>V7: 代码质量和构建设置 (Code Quality &amp; Build Settings)</t>
  </si>
  <si>
    <t>V8: 逆向工程的弹性 (Resiliency Against Reverse Engineering)</t>
  </si>
  <si>
    <t>等级 1 (Level 1)</t>
  </si>
  <si>
    <t>等级 2 (Level 2)</t>
  </si>
  <si>
    <t>状态 (Status)</t>
  </si>
  <si>
    <t>1.11</t>
  </si>
  <si>
    <t>1.12</t>
  </si>
  <si>
    <t>MSTG-ARCH-11</t>
  </si>
  <si>
    <t>MSTG-ARCH-12</t>
  </si>
  <si>
    <t>Chef Inspec</t>
  </si>
  <si>
    <t>测试流程(s) (Testing Procedure(s))</t>
  </si>
  <si>
    <t>测试工具 (Testing Tools)</t>
  </si>
  <si>
    <t>评论 (Comments)</t>
  </si>
  <si>
    <t>PASS</t>
  </si>
  <si>
    <t>FAIL</t>
  </si>
  <si>
    <t>2.13</t>
  </si>
  <si>
    <t>2.14</t>
  </si>
  <si>
    <t>MSTG-STORAGE‑13</t>
  </si>
  <si>
    <t>MSTG-STORAGE‑14</t>
  </si>
  <si>
    <t>2.15</t>
  </si>
  <si>
    <t>MSTG-STORAGE‑15</t>
  </si>
  <si>
    <t>所有应用程序组件被识别，并确定其需要性. 
(All app components are identified and known to be needed.)</t>
  </si>
  <si>
    <t>安全控制永远不会仅强制在客户端上，而其相应的远程端点上也需要. 
(Security controls are never enforced only on the client side, but on the respective remote endpoints.)</t>
  </si>
  <si>
    <t>移动应用的高级架构图 和 所有连接的远程服务已被定义, 并且安全在此架构中被关注. 
(A high-level architecture for the mobile app and all connected remote services has been defined and security has been addressed in that architecture.)</t>
  </si>
  <si>
    <t>在移动应用环境下被认为敏感的数据清楚的被识别出来. 
(Data considered sensitive in the context of the mobile app is clearly identified.)</t>
  </si>
  <si>
    <t>所有提供的基于业务功能和/或安全功能的应用组件被定义和识别. 
(All app components are defined in terms of the business functions and/or security functions they provide.)</t>
  </si>
  <si>
    <t>移动应用和其相关联远程服务都通过生成威胁建模的方式, 识别其潜在威胁和应对措施. 
(A threat model for the mobile app and the associated remote services has been produced that identifies potential threats and countermeasures.)</t>
  </si>
  <si>
    <t>所有安全控制都可以集中执行. 
(All security controls have a centralized implementation.)</t>
  </si>
  <si>
    <t>关于"加密秘钥如何被管理(如果存在)" 和 "加密秘钥生命周期是否被强制" 应有明确策略. 理想情况下, 应遵循 NIST SP 800-57 密钥管理标准. 
(There is an explicit policy for how cryptographic keys (if any) are managed, and the lifecycle of cryptographic keys is enforced. Ideally, follow a key management standard such as NIST SP 800-57.)</t>
  </si>
  <si>
    <t>已存在一种强制更新移动应用的机制. 
(A mechanism for enforcing updates of the mobile app exists.)</t>
  </si>
  <si>
    <t>在整个 SDLC (软件开发生命周期) 中, 安全被关注. 
(Security is addressed within all parts of the software development lifecycle.)</t>
  </si>
  <si>
    <t>一份负责信息披露政策应存在并有效的应用. 
(A responsible disclosure policy is in place and effectively applied.)</t>
  </si>
  <si>
    <t>该应用应遵循隐私法和条例. 
(The app should comply with privacy laws and regulations.)</t>
  </si>
  <si>
    <t>系统凭据存储设施正确的保存敏感信息. 比如, PII, 用户凭证或者加密秘钥. 
(System credential storage facilities are used appropriately to store sensitive data, such as PII, user credentials or cryptographic keys.)</t>
  </si>
  <si>
    <t>敏感数据不应该在容器应用或者系统凭据存储设备之外被保存.  
(No sensitive data should be stored outside of the app container or system credential storage facilities.)</t>
  </si>
  <si>
    <t>没有敏感数据被写入到应用程序日志. 
(No sensitive data is written to application logs.)</t>
  </si>
  <si>
    <t>没有敏感数据通过第三方被共享, 除非是部分架构的需要. 
(No sensitive data is shared with third parties unless it is a necessary part of the architecture.)</t>
  </si>
  <si>
    <t>键盘缓存在处理敏感数据的文本输入时应该被禁用.  
(The keyboard cache is disabled on text inputs that process sensitive data.)</t>
  </si>
  <si>
    <t>没有敏感数据通过 IPC 机制被暴露. 
(No sensitive data is exposed via IPC mechanisms.)</t>
  </si>
  <si>
    <t>没有敏感数据, 例如密码, 通过用户界面被暴露. 
(No sensitive data, such as passwords or pins, is exposed through the user interface.)</t>
  </si>
  <si>
    <t>没有敏感数据内藏于由移动操作系统生成的备份上. 
(No sensitive data is included in backups generated by the mobile operating system.)</t>
  </si>
  <si>
    <t>当切换到后台时, 该应用应该移除可视模式下的敏感数据. 
(The app removes sensitive data from views when moved to the background.)</t>
  </si>
  <si>
    <t>该应用不会超过必要的时间保留敏感数据在内存中, 并且使用过后内存被直接清除. 
(The app does not hold sensitive data in memory longer than necessary, and memory is cleared explicitly after use.)</t>
  </si>
  <si>
    <t>该应用强制执行最小设备访问安全策略，例如要求用户设置设备密码锁. 
(The app enforces a minimum device-access-security policy, such as requiring the user to set a device passcode.)</t>
  </si>
  <si>
    <t>该应用指导用户关于"被处理的个人身份信息的类型, 以及用户使用该应用时,因遵循的安全最佳实践.  "
(The app educates the user about the types of personally identifiable information processed, as well as security best practices the user should follow in using the app.)</t>
  </si>
  <si>
    <t>没有敏感信息在移动设备上被保存. 相反, 数据应该从远程端点获取, 在需要的时候存储在内存中. 
(No sensitive data should be stored locally on the mobile device. Instead, data should be retrieved from a remote endpoint when needed and only be kept in memory.)</t>
  </si>
  <si>
    <t>如果敏感信息需要存在本地, 那么应该被加密, 且加密秘钥是来自需要身份验证的硬件存储. 
(If sensitive data is still required to be stored locally, it should be encrypted using a key derived from hardware backed storage which requires authentication.)</t>
  </si>
  <si>
    <t>当过多数量的失败认证尝试, 应用的本地存储应被清除. 
(The app’s local storage should be wiped after an excessive number of failed authentication attempts.)</t>
  </si>
  <si>
    <t>该应用程序不依赖带有硬编码密钥的对称加密方式作为唯一的加密方法.
(The app does not rely on symmetric cryptography with hardcoded keys as a sole method of encryption.)</t>
  </si>
  <si>
    <t>该应用程序使用经过实现验证的密码基元.
(The app uses proven implementations of cryptographic primitives.)</t>
  </si>
  <si>
    <t>该应用在特定的案例下使用了合适的加密基元, 参数配置符合行业最佳实践.
(The app uses cryptographic primitives that are appropriate for the particular use-case, configured with parameters that adhere to industry best practices.)</t>
  </si>
  <si>
    <t>该应用不使用基于安全被广泛认为已经淘汰的加密协议或者算法. 
(The app does not use cryptographic protocols or algorithms that are widely considered deprecated for security purposes.)</t>
  </si>
  <si>
    <t>该应用不重复使用相同秘钥用于多种途径. 
(The app doesn't re-use the same cryptographic key for multiple purposes.)</t>
  </si>
  <si>
    <t>所有任意数值都使用一个足够安全的随机数字器被生成.
(All random values are generated using a sufficiently secure random number generator.)</t>
  </si>
  <si>
    <t>认证 和 会话管理 
(Authentication and Session Management Requirements)</t>
  </si>
  <si>
    <t>数据存储和隐私 
(Data Storage and Privacy)</t>
  </si>
  <si>
    <t>体系结构，设计和威胁建模 
(Architecture, design and threat modelling)</t>
  </si>
  <si>
    <t>详细验证要求 
(Detailed Verification Requirement)</t>
  </si>
  <si>
    <t>密码系统要求 
(Cryptography Requirements)</t>
  </si>
  <si>
    <r>
      <t xml:space="preserve">OWASP 移动应用安全检查列表
</t>
    </r>
    <r>
      <rPr>
        <sz val="10"/>
        <rFont val="微软雅黑"/>
        <family val="2"/>
        <charset val="134"/>
      </rPr>
      <t xml:space="preserve">
基于OWASP 移动应用安全验证标准</t>
    </r>
  </si>
  <si>
    <t>如果该应用提供给用户访问远程服务, 即某些形式的认证, 例如用户名/密码认证, 都应在远程终端施行. 
(If the app provides users access to a remote service, some form of authentication, such as username/password authentication, is performed at the remote endpoint.)</t>
  </si>
  <si>
    <t>如果状态会话管理被使用，则远程端点使用随机生成的会话标识符来认证客户端请求，而不会发送用户的凭证.
(If stateful session management is used, the remote endpoint uses randomly generated session identifiers to authenticate client requests without sending the user's credentials.)</t>
  </si>
  <si>
    <t>测试登录活动和设备阻止 (MSTG-AUTH-11)</t>
  </si>
  <si>
    <t>MSTG-AUTH-12</t>
  </si>
  <si>
    <t>如果无状态的基于令牌认证机制被使用, 该服务器所提供的令牌应用安全算法签名.
(If stateless token-based authentication is used, the server provides a token that has been signed using a secure algorithm.)</t>
  </si>
  <si>
    <t>当用户注销时，远程端点应终止已经存在的会话.
(The remote endpoint terminates the existing session when the user logs out.)</t>
  </si>
  <si>
    <t>一套密码策略存在并且被强制执行在远程端点上. 
(A password policy exists and is enforced at the remote endpoint.)</t>
  </si>
  <si>
    <t>上面的两行用于构造 Android 和 iOS 清单中所有超链接的基础。
调整为您的特定用例，以将所有超链接更新为特定版本的 MSTG</t>
  </si>
  <si>
    <t>该远程终端执行一种机制来对抗提交凭据的次数过多.
(The remote endpoint implements a mechanism to protect against the submission of credentials an excessive number of times.)</t>
  </si>
  <si>
    <t>在预设不活动时间和访问令牌到期之后, 在远程端点的会话将无效.
(Sessions are invalidated at the remote endpoint after a predefined period of inactivity and access tokens expire.)</t>
  </si>
  <si>
    <t>生物特征认证（如果有的话）不是事件绑定的（即，使用仅返回“ true”或“ false”的API）. 相反，它基于解锁钥匙串/密钥库. 
(Biometric authentication, if any, is not event-bound (i.e. using an API that simply returns "true" or "false"). Instead, it is based on unlocking the keychain/keystore.)</t>
  </si>
  <si>
    <t>第二个因素认证存在于远程端点, 并且始终如一的按需执行.
(A second factor of authentication exists at the remote endpoint and the 2FA requirement is consistently enforced.)</t>
  </si>
  <si>
    <t>敏感交易需要逐步进行身份验证.
(Sensitive transactions require step-up authentication.)</t>
  </si>
  <si>
    <t>该应用通知该用户他/她的账户所有的敏感行为. 用可以查看设备列表, 查看场景信息 (IP 地址, 位置, 等等.) 以及屏蔽特定设备.
(The app informs the user of all sensitive activities with their account. Users are able to view a list of devices, view contextual information (IP address, location, etc.), and to block specific devices.)</t>
  </si>
  <si>
    <t>授权模型在远程端点应该被定义, 和被强制执行. 
(Authorization models should be defined and enforced at the remote endpoint.)</t>
  </si>
  <si>
    <t>4.12</t>
  </si>
  <si>
    <t>网络通讯要求 
(Network Communication Requirements)</t>
  </si>
  <si>
    <t>在网络传输中使用TLS对数据加密. 整个应用程序始终使用安全通道. 
(Data is encrypted on the network using TLS. The secure channel is used consistently throughout the app.)</t>
  </si>
  <si>
    <t>此 TLS 设置符合当前的最佳实践，或者当移动操作系统不支持建议的标准，则设置最接近.
(The TLS settings are in line with current best practices, or as close as possible if the mobile operating system does not support the recommended standards.)</t>
  </si>
  <si>
    <t>当安全通道被建立后，该应用程序将验证远程端点的X.509证书。 并且仅接受由受信任的CA签名的证书. 
(The app verifies the X.509 certificate of the remote endpoint when the secure channel is established. Only certificates signed by a trusted CA are accepted.)</t>
  </si>
  <si>
    <t>该应用程序要么使用自己的证书存储区，要么固定端点证书或公钥，即便随后提供一个不同的,受信任的CA签署的证书或者秘钥，也不会与端点建立连接.
(The app either uses its own certificate store, or pins the endpoint certificate or public key, and subsequently does not establish connections with endpoints that offer a different certificate or key, even if signed by a trusted CA.)</t>
  </si>
  <si>
    <t>该应用程序不依赖单一的不安全通信渠道（电子邮件或SMS）进行关键操作(例如, 注册和帐户恢复). 
(The app doesn't rely on a single insecure communication channel (email or SMS) for critical operations, such as enrollments and account recovery)</t>
  </si>
  <si>
    <t>该应用程序仅依赖于最新的连接 和 安全库.
(The app only depends on up-to-date connectivity and security libraries.)</t>
  </si>
  <si>
    <t>认证 和 会话管理  要求
(Authentication and Session Management Requirements)</t>
  </si>
  <si>
    <t>密码系统 要求 
(Cryptography Requirements)</t>
  </si>
  <si>
    <t>平台互动 要求
(Platform Interaction Requirements)</t>
  </si>
  <si>
    <t>6.9</t>
  </si>
  <si>
    <t>6.10</t>
  </si>
  <si>
    <t>6.11</t>
  </si>
  <si>
    <t>MSTG-PLATFORM-9</t>
  </si>
  <si>
    <t>MSTG-PLATFORM-10</t>
  </si>
  <si>
    <t>MSTG-PLATFORM-11</t>
  </si>
  <si>
    <t>该应用只需要应所需的最小权限集.
(The app only requests the minimum set of permissions necessary.)</t>
  </si>
  <si>
    <t>该应用不会通过自定义URL模式暴露敏感功能, 除非这些机制被正确的保护起来.
(The app does not export sensitive functionality via custom URL schemes, unless these mechanisms are properly protected.)</t>
  </si>
  <si>
    <t>所有来自外部资源的输入, 以及用户验证过地,  都需要进行无害处理. 这包括从 UI 接收的数据, IPC 机制 (例如, Intent, 自定义链接, 网络源 等等).
(All inputs from external sources and the user are validated and if necessary sanitized. This includes data received via the UI, IPC mechanisms such as intents, custom URLs, and network sources.)</t>
  </si>
  <si>
    <t>在 WebView 功能中 JavaScript 被禁用, 除非有明确的需求.
(JavaScript is disabled in WebViews unless explicitly required.)</t>
  </si>
  <si>
    <t>该应用不会通过 IPC 设施暴露敏感功能, 除非这些机制被正确的保护起来.
(The app does not export sensitive functionality through IPC facilities, unless these mechanisms are properly protected.)</t>
  </si>
  <si>
    <t>WebView 被配置为只允许最小协议组处理程序需求 (理想情况下，只支持https). 有潜在危险的处理程序，如文件、tel 和 app-id 应被禁用.
(WebViews are configured to allow only the minimum set of protocol handlers required (ideally, only https is supported). Potentially dangerous handlers, such as file, tel and app-id, are disabled.)</t>
  </si>
  <si>
    <t>如果应用的原生方法暴露给一个 WebView，验证 WebView 只渲染包含在应用程序包中的 JavaScript.
(If native methods of the app are exposed to a WebView, verify that the WebView only renders JavaScript contained within the app package.)</t>
  </si>
  <si>
    <t>对象反序列化(如果有) , 是通过使用安全的序列化 API 实现的.
(Object deserialization, if any, is implemented using safe serialization APIs.)</t>
  </si>
  <si>
    <t>该应用保护自身抵抗屏幕叠加攻击. (只限安卓设备)
(The app protects itself against screen overlay attacks. (Android only))</t>
  </si>
  <si>
    <t>一组 WebView 的缓存, 存储 和 加载的资源 (JavaScript, 等等) 应该在该 WebView 被销毁之前清除.
(A WebView's cache, storage, and loaded resources (JavaScript, etc.) should be cleared before the WebView is destroyed.)</t>
  </si>
  <si>
    <t>当敏感数据被输入时, 验证该应用禁止自定义第三方键盘程序的使用.
(Verify that the app prevents usage of custom third-party keyboards whenever sensitive data is entered.)</t>
  </si>
  <si>
    <t>代码质量和构建设置 要求 
(Code Quality and Build Setting Requirements)</t>
  </si>
  <si>
    <t>该应用被签名并且使用一张有效的证书，其中该证书的私钥受到正确的保护.
(The app is signed and provisioned with a valid certificate, of which the private key is properly protected.)</t>
  </si>
  <si>
    <t>该应用程序已经在发布模式下，具有适合发布构建的正确设置 (例如. 不可调试)
(The app has been built in release mode, with settings appropriate for a release build (e.g. non-debuggable).)</t>
  </si>
  <si>
    <t>调试符号已从原生二进制文件中移除.
(Debugging symbols have been removed from native binaries.)</t>
  </si>
  <si>
    <t>调试代码已 和 开发协助代码 (例如. 测试代码, 后门, 隐藏设置) 都被移除. 该应用不会记录详细的错误或调试信息.
(Debugging code and developer assistance code (e.g. test code, backdoors, hidden settings) have been removed. The app does not log verbose errors or debugging messages.)</t>
  </si>
  <si>
    <t>被该移动应用使用的所有第三方组件，例如. 软件库和框架，都应被识别，并检查已知的漏洞的存在.
(All third party components used by the mobile app, such as libraries and frameworks, are identified, and checked for known vulnerabilities.)</t>
  </si>
  <si>
    <t>该应用程序捕获与处理任何可能的异常.
(The app catches and handles possible exceptions.)</t>
  </si>
  <si>
    <t>错误处理的逻辑在安全控制中默认被拒绝. 
(Error handling logic in security controls denies access by default.)</t>
  </si>
  <si>
    <t>在非托管代码中，内存是安全的分配、释放和使用.
(In unmanaged code, memory is allocated, freed and used securely.)</t>
  </si>
  <si>
    <t>工具链所提供的免费安全特性，如字节码缩小、堆栈保护、饼图支持和自动引用计数，应被开启.
(Free security features offered by the toolchain, such as byte-code minification, stack protection, PIE support and automatic reference counting, are activated.)</t>
  </si>
  <si>
    <t>该应用程序通过警告用户或终止应用程序来检测和响应有根设备或越狱设备的存在。
(The app detects, and responds to, the presence of a rooted or jailbroken device either by alerting the user or terminating the app.)</t>
  </si>
  <si>
    <t>对逆向工程需求的弹性 
(Resiliency Against Reverse Engineering Requirements)</t>
  </si>
  <si>
    <t>应用程序可以防止调试和/或检测并响应附加的调试器。必须覆盖所有可用的调试协议。
(The app prevents debugging and/or detects, and responds to, a debugger being attached. All available debugging protocols must be covered.)</t>
  </si>
  <si>
    <t>该应用程序在自己的沙箱中检测、响应、篡改可执行文件和关键数据。
(The app detects, and responds to, tampering with executable files and critical data within its own sandbox.)</t>
  </si>
  <si>
    <t>该应用程序检测并响应设备上广泛使用的逆向工程工具和框架。
(The app detects, and responds to, the presence of widely used reverse engineering tools and frameworks on the device.)</t>
  </si>
  <si>
    <t>应用程序检测并响应正在模拟器中运行的程序。
(The app detects, and responds to, being run in an emulator.)</t>
  </si>
  <si>
    <t>应用程序在自己的内存空间中检测、响应并篡改代码和数据。
(The app detects, and responds to, tampering the code and data in its own memory space.)</t>
  </si>
  <si>
    <t>该应用程序在每个防御类中实现多个机制(8.1到8.6)。请注意，弹性的规模与数量，多样性的原始使用的机制。
(The app implements multiple mechanisms in each defense category (8.1 to 8.6). Note that resiliency scales with the amount, diversity of the originality of the mechanisms used.)</t>
  </si>
  <si>
    <t>检测机制触发不同类型的响应，包括延迟响应和隐形响应。
(The detection mechanisms trigger responses of different types, including delayed and stealthy responses.)</t>
  </si>
  <si>
    <t>混淆化被应用于程序化的防御，这反过来又通过动态分析阻碍去混淆化。
(Obfuscation is applied to programmatic defenses, which in turn impede de-obfuscation via dynamic analysis.)</t>
  </si>
  <si>
    <t>该应用程序实现了一个“设备绑定”功能，使用一个设备指纹衍生自该设备的多个独特属性。
(The app implements a 'device binding' functionality using a device fingerprint derived from multiple properties unique to the device.)</t>
  </si>
  <si>
    <t>应用程序的所有可执行文件和库都在文件级加密，可执行文件中的重要代码和数据段都加密或打包。简单的静态分析并不能揭示重要的代码或数据。
(All executable files and libraries belonging to the app are either encrypted on the file level and/or important code and data segments inside the executables are encrypted or packed. Trivial static analysis does not reveal important code or data.)</t>
  </si>
  <si>
    <t>如果模糊化的目标是保护敏感的计算结果，那么考虑到目前发表的研究成果，模糊化方案既适用于特定的任务，又对手动和自动去模糊化方法具有较强的鲁棒性。模糊化方案的有效性必须通过人工测试来验证。请注意，尽可能使用基于硬件的隔离特性而不是混淆。
(If the goal of obfuscation is to protect sensitive computations, an obfuscation scheme is used that is both appropriate for the particular task and robust against manual and automated de-obfuscation methods, considering currently published research. The effectiveness of the obfuscation scheme must be verified through manual testing. Note that hardware-based isolation features are preferred over obfuscation whenever possible.)</t>
  </si>
  <si>
    <t>8.13</t>
  </si>
  <si>
    <t>MSTG‑RESILIENCE‑13</t>
  </si>
  <si>
    <t>(As a defense in depth, next to having solid hardening of the communicating parties, application level payload encryption can be applied to further impede eavesdropping.)</t>
  </si>
  <si>
    <t>阻碍 窃听
(Impede Eavesdropping)</t>
  </si>
  <si>
    <t>阻碍理解
(Impede Comprehension)</t>
  </si>
  <si>
    <t>设备绑定
(Device Binding)</t>
  </si>
  <si>
    <t>妨碍动态分析和篡改
(Impede Dynamic Analysis and Tampering)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</si>
</sst>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lt;=9999999]###\-####;\(###&quot;) &quot;###\-####"/>
    <numFmt numFmtId="165" formatCode="0\ %"/>
    <numFmt numFmtId="166" formatCode="0.00\ %"/>
    <numFmt numFmtId="167" formatCode="[$-407]dd/mm/yyyy"/>
  </numFmts>
  <fonts count="27" x14ac:knownFonts="1">
    <font>
      <sz val="12"/>
      <color rgb="FF000000"/>
      <name val="Calibri"/>
      <family val="2"/>
      <charset val="1"/>
    </font>
    <font>
      <u/>
      <sz val="12"/>
      <color rgb="FF5F5F5F"/>
      <name val="Calibri"/>
      <family val="2"/>
      <charset val="1"/>
    </font>
    <font>
      <b/>
      <sz val="14"/>
      <color rgb="FF000000"/>
      <name val="Calibri"/>
      <family val="2"/>
      <charset val="1"/>
    </font>
    <font>
      <b/>
      <sz val="11"/>
      <color rgb="FFFFFFFF"/>
      <name val="Calibri"/>
      <family val="2"/>
      <charset val="1"/>
    </font>
    <font>
      <b/>
      <sz val="11"/>
      <color rgb="FF000000"/>
      <name val="Calibri"/>
      <family val="2"/>
      <charset val="1"/>
    </font>
    <font>
      <sz val="11"/>
      <name val="Calibri"/>
      <family val="2"/>
      <charset val="1"/>
    </font>
    <font>
      <b/>
      <sz val="11"/>
      <name val="Calibri"/>
      <family val="2"/>
      <charset val="1"/>
    </font>
    <font>
      <sz val="11"/>
      <color rgb="FF000000"/>
      <name val="Calibri"/>
      <family val="2"/>
      <charset val="1"/>
    </font>
    <font>
      <u/>
      <sz val="11"/>
      <color rgb="FF5F5F5F"/>
      <name val="Calibri"/>
      <family val="2"/>
      <charset val="1"/>
    </font>
    <font>
      <b/>
      <sz val="12"/>
      <color rgb="FF5F5F5F"/>
      <name val="Calibri"/>
      <family val="2"/>
      <charset val="1"/>
    </font>
    <font>
      <b/>
      <sz val="12"/>
      <color rgb="FF000000"/>
      <name val="Calibri"/>
      <family val="2"/>
      <charset val="1"/>
    </font>
    <font>
      <sz val="12"/>
      <name val="Calibri"/>
      <family val="2"/>
      <charset val="1"/>
    </font>
    <font>
      <sz val="12"/>
      <color rgb="FF000000"/>
      <name val="Calibri"/>
      <family val="2"/>
      <charset val="1"/>
    </font>
    <font>
      <sz val="11"/>
      <color rgb="FF000000"/>
      <name val="微软雅黑"/>
      <family val="2"/>
      <charset val="134"/>
    </font>
    <font>
      <sz val="12"/>
      <color rgb="FF000000"/>
      <name val="微软雅黑"/>
      <family val="2"/>
      <charset val="134"/>
    </font>
    <font>
      <sz val="10"/>
      <color rgb="FF000000"/>
      <name val="微软雅黑"/>
      <family val="2"/>
      <charset val="134"/>
    </font>
    <font>
      <b/>
      <sz val="10"/>
      <color rgb="FF000000"/>
      <name val="微软雅黑"/>
      <family val="2"/>
      <charset val="134"/>
    </font>
    <font>
      <b/>
      <sz val="10"/>
      <color rgb="FFFFFFFF"/>
      <name val="微软雅黑"/>
      <family val="2"/>
      <charset val="134"/>
    </font>
    <font>
      <sz val="10"/>
      <name val="微软雅黑"/>
      <family val="2"/>
      <charset val="134"/>
    </font>
    <font>
      <u/>
      <sz val="10"/>
      <color rgb="FF5F5F5F"/>
      <name val="微软雅黑"/>
      <family val="2"/>
      <charset val="134"/>
    </font>
    <font>
      <sz val="10"/>
      <color rgb="FF5F5F5F"/>
      <name val="微软雅黑"/>
      <family val="2"/>
      <charset val="134"/>
    </font>
    <font>
      <b/>
      <sz val="10"/>
      <name val="微软雅黑"/>
      <family val="2"/>
      <charset val="134"/>
    </font>
    <font>
      <b/>
      <i/>
      <u/>
      <sz val="10"/>
      <name val="微软雅黑"/>
      <family val="2"/>
      <charset val="134"/>
    </font>
    <font>
      <sz val="10"/>
      <color rgb="FFFF0000"/>
      <name val="微软雅黑"/>
      <family val="2"/>
      <charset val="134"/>
    </font>
    <font>
      <sz val="10"/>
      <color rgb="FFFFFFFF"/>
      <name val="微软雅黑"/>
      <family val="2"/>
      <charset val="134"/>
    </font>
    <font>
      <sz val="72"/>
      <color rgb="FF000000"/>
      <name val="微软雅黑"/>
      <family val="2"/>
      <charset val="134"/>
    </font>
    <font>
      <b/>
      <sz val="10"/>
      <color rgb="FF5F5F5F"/>
      <name val="微软雅黑"/>
      <family val="2"/>
      <charset val="134"/>
    </font>
  </fonts>
  <fills count="15">
    <fill>
      <patternFill patternType="none"/>
    </fill>
    <fill>
      <patternFill patternType="gray125"/>
    </fill>
    <fill>
      <patternFill patternType="solid">
        <fgColor rgb="FFEBEBEB"/>
        <bgColor rgb="FFF2F2F2"/>
      </patternFill>
    </fill>
    <fill>
      <patternFill patternType="solid">
        <fgColor rgb="FF969696"/>
        <bgColor rgb="FFA5A5A5"/>
      </patternFill>
    </fill>
    <fill>
      <patternFill patternType="solid">
        <fgColor rgb="FFAFD7FF"/>
        <bgColor rgb="FFCFE2F3"/>
      </patternFill>
    </fill>
    <fill>
      <patternFill patternType="solid">
        <fgColor rgb="FFFFFFFF"/>
        <bgColor rgb="FFF2F2F2"/>
      </patternFill>
    </fill>
    <fill>
      <patternFill patternType="solid">
        <fgColor rgb="FF808080"/>
        <bgColor rgb="FF969696"/>
      </patternFill>
    </fill>
    <fill>
      <patternFill patternType="solid">
        <fgColor rgb="FF000000"/>
        <bgColor rgb="FF003300"/>
      </patternFill>
    </fill>
    <fill>
      <patternFill patternType="solid">
        <fgColor rgb="FFCFE2F3"/>
        <bgColor rgb="FFDDDDDD"/>
      </patternFill>
    </fill>
    <fill>
      <patternFill patternType="solid">
        <fgColor rgb="FFA5A5A5"/>
        <bgColor rgb="FFB3B3B3"/>
      </patternFill>
    </fill>
    <fill>
      <patternFill patternType="solid">
        <fgColor rgb="FF00B0F0"/>
        <bgColor rgb="FF33CCCC"/>
      </patternFill>
    </fill>
    <fill>
      <patternFill patternType="solid">
        <fgColor rgb="FF92D050"/>
        <bgColor rgb="FFB3B3B3"/>
      </patternFill>
    </fill>
    <fill>
      <patternFill patternType="solid">
        <fgColor rgb="FFFFC000"/>
        <bgColor rgb="FFFF9900"/>
      </patternFill>
    </fill>
    <fill>
      <patternFill patternType="solid">
        <fgColor rgb="FFFFFF00"/>
        <bgColor indexed="64"/>
      </patternFill>
    </fill>
    <fill>
      <patternFill patternType="solid">
        <fgColor theme="0"/>
        <bgColor rgb="FF33CCCC"/>
      </patternFill>
    </fill>
  </fills>
  <borders count="30">
    <border>
      <left/>
      <right/>
      <top/>
      <bottom/>
      <diagonal/>
    </border>
    <border>
      <left style="thin">
        <color rgb="FF333333"/>
      </left>
      <right style="thin">
        <color auto="1"/>
      </right>
      <top style="thin">
        <color rgb="FF333333"/>
      </top>
      <bottom style="thin">
        <color rgb="FF333333"/>
      </bottom>
      <diagonal/>
    </border>
    <border>
      <left/>
      <right style="thin">
        <color auto="1"/>
      </right>
      <top style="thin">
        <color rgb="FF333333"/>
      </top>
      <bottom style="thin">
        <color rgb="FF333333"/>
      </bottom>
      <diagonal/>
    </border>
    <border>
      <left style="thin">
        <color rgb="FF333333"/>
      </left>
      <right/>
      <top style="thin">
        <color rgb="FF333333"/>
      </top>
      <bottom/>
      <diagonal/>
    </border>
    <border>
      <left/>
      <right/>
      <top style="thin">
        <color rgb="FF333333"/>
      </top>
      <bottom/>
      <diagonal/>
    </border>
    <border>
      <left/>
      <right style="thin">
        <color auto="1"/>
      </right>
      <top style="thin">
        <color rgb="FF333333"/>
      </top>
      <bottom/>
      <diagonal/>
    </border>
    <border>
      <left style="thin">
        <color auto="1"/>
      </left>
      <right style="thin">
        <color auto="1"/>
      </right>
      <top style="thin">
        <color auto="1"/>
      </top>
      <bottom style="thin">
        <color auto="1"/>
      </bottom>
      <diagonal/>
    </border>
    <border>
      <left/>
      <right style="thin">
        <color auto="1"/>
      </right>
      <top/>
      <bottom style="thin">
        <color rgb="FF333333"/>
      </bottom>
      <diagonal/>
    </border>
    <border>
      <left style="thin">
        <color rgb="FF333333"/>
      </left>
      <right style="thin">
        <color rgb="FF333333"/>
      </right>
      <top style="thin">
        <color rgb="FF333333"/>
      </top>
      <bottom style="thin">
        <color rgb="FF333333"/>
      </bottom>
      <diagonal/>
    </border>
    <border>
      <left style="thin">
        <color rgb="FF333333"/>
      </left>
      <right style="thin">
        <color rgb="FF333333"/>
      </right>
      <top/>
      <bottom style="thin">
        <color rgb="FF333333"/>
      </bottom>
      <diagonal/>
    </border>
    <border>
      <left style="thin">
        <color rgb="FF333333"/>
      </left>
      <right/>
      <top style="thin">
        <color rgb="FF333333"/>
      </top>
      <bottom style="thin">
        <color rgb="FF333333"/>
      </bottom>
      <diagonal/>
    </border>
    <border>
      <left/>
      <right/>
      <top style="thin">
        <color rgb="FF333333"/>
      </top>
      <bottom style="thin">
        <color rgb="FF333333"/>
      </bottom>
      <diagonal/>
    </border>
    <border>
      <left/>
      <right style="thin">
        <color rgb="FF333333"/>
      </right>
      <top style="thin">
        <color rgb="FF333333"/>
      </top>
      <bottom style="thin">
        <color rgb="FF333333"/>
      </bottom>
      <diagonal/>
    </border>
    <border>
      <left style="medium">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hair">
        <color auto="1"/>
      </left>
      <right/>
      <top/>
      <bottom/>
      <diagonal/>
    </border>
    <border>
      <left style="hair">
        <color auto="1"/>
      </left>
      <right style="hair">
        <color auto="1"/>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FFFFFF"/>
      </left>
      <right style="thin">
        <color rgb="FFFFFFFF"/>
      </right>
      <top style="thin">
        <color rgb="FFFFFFFF"/>
      </top>
      <bottom style="thin">
        <color rgb="FFFFFFFF"/>
      </bottom>
      <diagonal/>
    </border>
    <border>
      <left style="thin">
        <color theme="2"/>
      </left>
      <right style="thin">
        <color auto="1"/>
      </right>
      <top/>
      <bottom/>
      <diagonal/>
    </border>
    <border>
      <left style="thin">
        <color theme="2" tint="-9.9948118533890809E-2"/>
      </left>
      <right style="thin">
        <color theme="2"/>
      </right>
      <top/>
      <bottom/>
      <diagonal/>
    </border>
    <border>
      <left style="thin">
        <color theme="2" tint="-9.9948118533890809E-2"/>
      </left>
      <right/>
      <top style="thin">
        <color theme="2" tint="-9.9917600024414813E-2"/>
      </top>
      <bottom/>
      <diagonal/>
    </border>
    <border>
      <left style="thin">
        <color theme="2" tint="-9.9948118533890809E-2"/>
      </left>
      <right/>
      <top style="thin">
        <color theme="2" tint="-9.9917600024414813E-2"/>
      </top>
      <bottom style="thin">
        <color theme="2" tint="-9.9948118533890809E-2"/>
      </bottom>
      <diagonal/>
    </border>
  </borders>
  <cellStyleXfs count="3">
    <xf numFmtId="0" fontId="0" fillId="0" borderId="0"/>
    <xf numFmtId="0" fontId="1" fillId="0" borderId="0" applyBorder="0" applyProtection="0"/>
    <xf numFmtId="0" fontId="12" fillId="0" borderId="0"/>
  </cellStyleXfs>
  <cellXfs count="225">
    <xf numFmtId="0" fontId="0" fillId="0" borderId="0" xfId="0"/>
    <xf numFmtId="0" fontId="0" fillId="0" borderId="0" xfId="0" applyBorder="1"/>
    <xf numFmtId="49" fontId="0" fillId="0" borderId="0" xfId="0" applyNumberFormat="1" applyBorder="1"/>
    <xf numFmtId="0" fontId="0" fillId="0" borderId="0" xfId="0" applyBorder="1" applyAlignment="1">
      <alignment horizontal="left" vertical="top" wrapText="1"/>
    </xf>
    <xf numFmtId="0" fontId="0" fillId="0" borderId="0" xfId="0" applyFont="1"/>
    <xf numFmtId="49" fontId="3" fillId="7" borderId="15" xfId="0" applyNumberFormat="1" applyFont="1" applyFill="1" applyBorder="1" applyAlignment="1">
      <alignment horizontal="center" vertical="center" wrapText="1"/>
    </xf>
    <xf numFmtId="49" fontId="3" fillId="7" borderId="16" xfId="0" applyNumberFormat="1" applyFont="1" applyFill="1" applyBorder="1" applyAlignment="1">
      <alignment horizontal="center" vertical="center" wrapText="1"/>
    </xf>
    <xf numFmtId="0" fontId="3" fillId="7" borderId="16" xfId="0" applyFont="1" applyFill="1" applyBorder="1" applyAlignment="1">
      <alignment horizontal="left" vertical="top" wrapText="1"/>
    </xf>
    <xf numFmtId="0" fontId="3" fillId="7" borderId="16" xfId="0" applyFont="1" applyFill="1" applyBorder="1" applyAlignment="1">
      <alignment horizontal="center" vertical="center" wrapText="1"/>
    </xf>
    <xf numFmtId="0" fontId="3" fillId="7" borderId="17" xfId="0" applyFont="1" applyFill="1" applyBorder="1" applyAlignment="1">
      <alignment horizontal="left" vertical="top" wrapText="1"/>
    </xf>
    <xf numFmtId="49" fontId="3" fillId="9" borderId="18" xfId="0" applyNumberFormat="1" applyFont="1" applyFill="1" applyBorder="1" applyAlignment="1">
      <alignment horizontal="center" vertical="center" wrapText="1"/>
    </xf>
    <xf numFmtId="49" fontId="3" fillId="9" borderId="0" xfId="0" applyNumberFormat="1" applyFont="1" applyFill="1" applyBorder="1" applyAlignment="1">
      <alignment horizontal="center" vertical="center" wrapText="1"/>
    </xf>
    <xf numFmtId="0" fontId="5" fillId="0" borderId="0" xfId="0" applyFont="1" applyBorder="1" applyAlignment="1">
      <alignment horizontal="center" vertical="center" wrapText="1"/>
    </xf>
    <xf numFmtId="49" fontId="6" fillId="8" borderId="18" xfId="0" applyNumberFormat="1" applyFont="1" applyFill="1" applyBorder="1" applyAlignment="1">
      <alignment horizontal="center" vertical="center" wrapText="1"/>
    </xf>
    <xf numFmtId="49" fontId="6" fillId="8" borderId="0" xfId="0" applyNumberFormat="1" applyFont="1" applyFill="1" applyBorder="1" applyAlignment="1">
      <alignment horizontal="center" vertical="center" wrapText="1"/>
    </xf>
    <xf numFmtId="0" fontId="6" fillId="8" borderId="0" xfId="0" applyFont="1" applyFill="1" applyBorder="1" applyAlignment="1">
      <alignment horizontal="left" vertical="top" wrapText="1"/>
    </xf>
    <xf numFmtId="0" fontId="6" fillId="8" borderId="0" xfId="0" applyFont="1" applyFill="1" applyBorder="1" applyAlignment="1">
      <alignment vertical="center" wrapText="1"/>
    </xf>
    <xf numFmtId="0" fontId="6" fillId="8" borderId="20" xfId="0" applyFont="1" applyFill="1" applyBorder="1" applyAlignment="1">
      <alignment horizontal="left" vertical="top" wrapText="1"/>
    </xf>
    <xf numFmtId="0" fontId="7" fillId="0" borderId="0" xfId="0" applyFont="1" applyAlignment="1">
      <alignment horizontal="left" vertical="top" wrapText="1"/>
    </xf>
    <xf numFmtId="0" fontId="5" fillId="0" borderId="0" xfId="0" applyFont="1" applyBorder="1" applyAlignment="1">
      <alignment horizontal="left" vertical="top" wrapText="1"/>
    </xf>
    <xf numFmtId="49" fontId="3" fillId="7" borderId="22" xfId="0" applyNumberFormat="1" applyFont="1" applyFill="1" applyBorder="1" applyAlignment="1">
      <alignment horizontal="center" vertical="center" wrapText="1"/>
    </xf>
    <xf numFmtId="49" fontId="3" fillId="7" borderId="23" xfId="0" applyNumberFormat="1" applyFont="1" applyFill="1" applyBorder="1" applyAlignment="1">
      <alignment horizontal="center" vertical="center" wrapText="1"/>
    </xf>
    <xf numFmtId="0" fontId="3" fillId="7" borderId="23" xfId="0" applyFont="1" applyFill="1" applyBorder="1" applyAlignment="1">
      <alignment horizontal="left" vertical="top" wrapText="1"/>
    </xf>
    <xf numFmtId="0" fontId="3" fillId="7" borderId="23" xfId="0" applyFont="1" applyFill="1" applyBorder="1" applyAlignment="1">
      <alignment horizontal="center" vertical="center" wrapText="1"/>
    </xf>
    <xf numFmtId="0" fontId="3" fillId="7" borderId="24" xfId="0" applyFont="1" applyFill="1" applyBorder="1" applyAlignment="1">
      <alignment horizontal="center" vertical="center" wrapText="1"/>
    </xf>
    <xf numFmtId="0" fontId="3" fillId="7" borderId="24" xfId="0" applyFont="1" applyFill="1" applyBorder="1" applyAlignment="1">
      <alignment horizontal="left" vertical="top" wrapText="1"/>
    </xf>
    <xf numFmtId="49" fontId="7" fillId="0" borderId="0" xfId="0" applyNumberFormat="1" applyFont="1" applyBorder="1"/>
    <xf numFmtId="0" fontId="7" fillId="0" borderId="0" xfId="0" applyFont="1" applyBorder="1" applyAlignment="1">
      <alignment horizontal="left" vertical="top" wrapText="1"/>
    </xf>
    <xf numFmtId="0" fontId="7" fillId="0" borderId="0" xfId="0" applyFont="1" applyBorder="1"/>
    <xf numFmtId="0" fontId="7" fillId="0" borderId="0" xfId="0" applyFont="1"/>
    <xf numFmtId="49" fontId="4" fillId="0" borderId="0" xfId="0" applyNumberFormat="1" applyFont="1" applyBorder="1" applyAlignment="1">
      <alignment horizontal="left"/>
    </xf>
    <xf numFmtId="49" fontId="3" fillId="7" borderId="25" xfId="0" applyNumberFormat="1" applyFont="1" applyFill="1" applyBorder="1" applyAlignment="1">
      <alignment vertical="center" wrapText="1"/>
    </xf>
    <xf numFmtId="0" fontId="3" fillId="7" borderId="25" xfId="0" applyFont="1" applyFill="1" applyBorder="1" applyAlignment="1">
      <alignment horizontal="left" vertical="top" wrapText="1"/>
    </xf>
    <xf numFmtId="49" fontId="7" fillId="0" borderId="6" xfId="0" applyNumberFormat="1" applyFont="1" applyBorder="1" applyAlignment="1">
      <alignment vertical="top" wrapText="1"/>
    </xf>
    <xf numFmtId="0" fontId="7" fillId="0" borderId="6" xfId="0" applyFont="1" applyBorder="1" applyAlignment="1">
      <alignment horizontal="left" vertical="top" wrapText="1"/>
    </xf>
    <xf numFmtId="49" fontId="2" fillId="0" borderId="0" xfId="0" applyNumberFormat="1" applyFont="1" applyBorder="1"/>
    <xf numFmtId="0" fontId="3" fillId="7" borderId="6" xfId="0" applyFont="1" applyFill="1" applyBorder="1" applyAlignment="1">
      <alignment horizontal="center" vertical="center" wrapText="1"/>
    </xf>
    <xf numFmtId="0" fontId="6" fillId="8" borderId="20" xfId="0" applyFont="1" applyFill="1" applyBorder="1" applyAlignment="1">
      <alignment vertical="center" wrapText="1"/>
    </xf>
    <xf numFmtId="0" fontId="5" fillId="12" borderId="0" xfId="0" applyFont="1" applyFill="1" applyBorder="1" applyAlignment="1">
      <alignment horizontal="center" vertical="center" wrapText="1"/>
    </xf>
    <xf numFmtId="0" fontId="5" fillId="0" borderId="20" xfId="0" applyFont="1" applyBorder="1" applyAlignment="1">
      <alignment horizontal="left" vertical="top" wrapText="1"/>
    </xf>
    <xf numFmtId="0" fontId="9" fillId="0" borderId="20" xfId="1" applyFont="1" applyBorder="1" applyAlignment="1" applyProtection="1">
      <alignment horizontal="center" wrapText="1"/>
    </xf>
    <xf numFmtId="49" fontId="0" fillId="0" borderId="0" xfId="0" applyNumberFormat="1"/>
    <xf numFmtId="0" fontId="0" fillId="0" borderId="0" xfId="0" applyAlignment="1">
      <alignment horizontal="left" vertical="top" wrapText="1"/>
    </xf>
    <xf numFmtId="49" fontId="2" fillId="0" borderId="0" xfId="0" applyNumberFormat="1" applyFont="1"/>
    <xf numFmtId="0" fontId="3" fillId="7" borderId="21" xfId="0" applyFont="1" applyFill="1" applyBorder="1" applyAlignment="1">
      <alignment horizontal="center" vertical="center" wrapText="1"/>
    </xf>
    <xf numFmtId="49" fontId="7" fillId="0" borderId="0" xfId="0" applyNumberFormat="1" applyFont="1"/>
    <xf numFmtId="49" fontId="4" fillId="0" borderId="0" xfId="0" applyNumberFormat="1" applyFont="1" applyAlignment="1">
      <alignment horizontal="left"/>
    </xf>
    <xf numFmtId="0" fontId="10" fillId="0" borderId="20" xfId="0" applyFont="1" applyBorder="1" applyAlignment="1">
      <alignment horizontal="center"/>
    </xf>
    <xf numFmtId="0" fontId="10" fillId="0" borderId="0" xfId="0" applyFont="1" applyBorder="1" applyAlignment="1">
      <alignment horizontal="left"/>
    </xf>
    <xf numFmtId="0" fontId="10" fillId="0" borderId="6" xfId="0" applyFont="1" applyBorder="1"/>
    <xf numFmtId="0" fontId="0" fillId="0" borderId="6" xfId="0" applyFont="1" applyBorder="1" applyAlignment="1"/>
    <xf numFmtId="0" fontId="0" fillId="0" borderId="6" xfId="0" applyBorder="1" applyAlignment="1">
      <alignment horizontal="center"/>
    </xf>
    <xf numFmtId="167" fontId="0" fillId="0" borderId="6" xfId="0" applyNumberFormat="1" applyFont="1" applyBorder="1"/>
    <xf numFmtId="0" fontId="0" fillId="0" borderId="6" xfId="0" applyFont="1" applyBorder="1"/>
    <xf numFmtId="0" fontId="0" fillId="0" borderId="6" xfId="0" applyFont="1" applyBorder="1" applyAlignment="1">
      <alignment horizontal="center"/>
    </xf>
    <xf numFmtId="0" fontId="11" fillId="0" borderId="6" xfId="0" applyFont="1" applyBorder="1" applyAlignment="1">
      <alignment horizontal="center"/>
    </xf>
    <xf numFmtId="0" fontId="0" fillId="0" borderId="6" xfId="0" applyBorder="1"/>
    <xf numFmtId="0" fontId="11" fillId="0" borderId="6" xfId="0" applyFont="1" applyBorder="1"/>
    <xf numFmtId="0" fontId="0" fillId="0" borderId="6" xfId="0" applyFont="1" applyBorder="1" applyAlignment="1">
      <alignment wrapText="1"/>
    </xf>
    <xf numFmtId="0" fontId="10" fillId="0" borderId="6" xfId="0" applyFont="1" applyBorder="1" applyAlignment="1">
      <alignment wrapText="1"/>
    </xf>
    <xf numFmtId="167" fontId="11" fillId="0" borderId="6" xfId="0" applyNumberFormat="1" applyFont="1" applyBorder="1"/>
    <xf numFmtId="0" fontId="1" fillId="0" borderId="20" xfId="1" applyBorder="1" applyProtection="1"/>
    <xf numFmtId="0" fontId="0" fillId="0" borderId="0" xfId="0" applyAlignment="1">
      <alignment vertical="center"/>
    </xf>
    <xf numFmtId="0" fontId="5" fillId="0" borderId="0" xfId="0" applyFont="1" applyBorder="1" applyAlignment="1">
      <alignment horizontal="left" vertical="center" wrapText="1"/>
    </xf>
    <xf numFmtId="0" fontId="1" fillId="0" borderId="20" xfId="1" applyBorder="1" applyAlignment="1" applyProtection="1">
      <alignment vertical="center"/>
    </xf>
    <xf numFmtId="0" fontId="7" fillId="0" borderId="0" xfId="0" applyFont="1" applyAlignment="1">
      <alignment horizontal="left" vertical="center" wrapText="1"/>
    </xf>
    <xf numFmtId="49" fontId="2" fillId="0" borderId="0" xfId="0" applyNumberFormat="1" applyFont="1" applyAlignment="1">
      <alignment vertical="center"/>
    </xf>
    <xf numFmtId="0" fontId="0" fillId="0" borderId="0" xfId="0" applyFont="1" applyAlignment="1">
      <alignment horizontal="left" vertical="center" wrapText="1"/>
    </xf>
    <xf numFmtId="0" fontId="0" fillId="0" borderId="0" xfId="0" applyFont="1" applyAlignment="1">
      <alignment vertical="center"/>
    </xf>
    <xf numFmtId="0" fontId="0" fillId="0" borderId="0" xfId="0" applyFont="1" applyBorder="1" applyAlignment="1">
      <alignment horizontal="left" vertical="center" wrapText="1"/>
    </xf>
    <xf numFmtId="49" fontId="0" fillId="0" borderId="0" xfId="0" applyNumberFormat="1" applyFont="1" applyAlignment="1">
      <alignment vertical="center"/>
    </xf>
    <xf numFmtId="0" fontId="7" fillId="0" borderId="0" xfId="0" applyFont="1" applyBorder="1" applyAlignment="1">
      <alignment vertical="center"/>
    </xf>
    <xf numFmtId="0" fontId="7" fillId="0" borderId="0" xfId="0" applyFont="1" applyAlignment="1">
      <alignment vertical="center"/>
    </xf>
    <xf numFmtId="0" fontId="0" fillId="0" borderId="0" xfId="0" applyAlignment="1">
      <alignment vertical="center" wrapText="1"/>
    </xf>
    <xf numFmtId="0" fontId="0" fillId="0" borderId="0" xfId="0" applyBorder="1" applyAlignment="1">
      <alignment vertical="center"/>
    </xf>
    <xf numFmtId="0" fontId="8" fillId="0" borderId="0" xfId="1" applyFont="1" applyBorder="1" applyAlignment="1" applyProtection="1">
      <alignment horizontal="left" vertical="center" wrapText="1"/>
    </xf>
    <xf numFmtId="0" fontId="3" fillId="7" borderId="23" xfId="0" applyFont="1" applyFill="1" applyBorder="1" applyAlignment="1">
      <alignment horizontal="left" vertical="center" wrapText="1"/>
    </xf>
    <xf numFmtId="0" fontId="3" fillId="7" borderId="21" xfId="0" applyFont="1" applyFill="1" applyBorder="1" applyAlignment="1">
      <alignment horizontal="left" vertical="center" wrapText="1"/>
    </xf>
    <xf numFmtId="49" fontId="7" fillId="0" borderId="0" xfId="0" applyNumberFormat="1" applyFont="1" applyAlignment="1">
      <alignment vertical="center"/>
    </xf>
    <xf numFmtId="49" fontId="4" fillId="0" borderId="0" xfId="0" applyNumberFormat="1" applyFont="1" applyAlignment="1">
      <alignment horizontal="left" vertical="center"/>
    </xf>
    <xf numFmtId="0" fontId="3" fillId="7" borderId="25" xfId="0" applyFont="1" applyFill="1" applyBorder="1" applyAlignment="1">
      <alignment horizontal="left" vertical="center" wrapText="1"/>
    </xf>
    <xf numFmtId="49" fontId="7" fillId="0" borderId="6" xfId="0" applyNumberFormat="1" applyFont="1" applyBorder="1" applyAlignment="1">
      <alignment vertical="center" wrapText="1"/>
    </xf>
    <xf numFmtId="0" fontId="7" fillId="0" borderId="6" xfId="0" applyFont="1" applyBorder="1" applyAlignment="1">
      <alignment horizontal="left" vertical="center" wrapText="1"/>
    </xf>
    <xf numFmtId="49" fontId="0" fillId="0" borderId="0" xfId="0" applyNumberFormat="1" applyAlignment="1">
      <alignment vertical="center"/>
    </xf>
    <xf numFmtId="0" fontId="0" fillId="0" borderId="0" xfId="0" applyAlignment="1">
      <alignment horizontal="left" vertical="center" wrapText="1"/>
    </xf>
    <xf numFmtId="0" fontId="14" fillId="0" borderId="0" xfId="0" applyFont="1"/>
    <xf numFmtId="0" fontId="13" fillId="0" borderId="0" xfId="0" applyFont="1" applyBorder="1"/>
    <xf numFmtId="0" fontId="13" fillId="0" borderId="0" xfId="0" applyFont="1"/>
    <xf numFmtId="0" fontId="15" fillId="0" borderId="0" xfId="0" applyFont="1" applyBorder="1"/>
    <xf numFmtId="0" fontId="15" fillId="0" borderId="0" xfId="0" applyFont="1"/>
    <xf numFmtId="49" fontId="15" fillId="0" borderId="0" xfId="0" applyNumberFormat="1" applyFont="1" applyBorder="1"/>
    <xf numFmtId="0" fontId="15" fillId="0" borderId="0" xfId="0" applyFont="1" applyBorder="1" applyAlignment="1">
      <alignment horizontal="left" vertical="top" wrapText="1"/>
    </xf>
    <xf numFmtId="49" fontId="17" fillId="7" borderId="15" xfId="0" applyNumberFormat="1" applyFont="1" applyFill="1" applyBorder="1" applyAlignment="1">
      <alignment horizontal="center" vertical="center" wrapText="1"/>
    </xf>
    <xf numFmtId="49" fontId="17" fillId="7" borderId="16" xfId="0" applyNumberFormat="1" applyFont="1" applyFill="1" applyBorder="1" applyAlignment="1">
      <alignment horizontal="center" vertical="center" wrapText="1"/>
    </xf>
    <xf numFmtId="0" fontId="17" fillId="7" borderId="16" xfId="0" applyFont="1" applyFill="1" applyBorder="1" applyAlignment="1">
      <alignment horizontal="left" vertical="top" wrapText="1"/>
    </xf>
    <xf numFmtId="0" fontId="17" fillId="7" borderId="16" xfId="0" applyFont="1" applyFill="1" applyBorder="1" applyAlignment="1">
      <alignment horizontal="center" vertical="center" wrapText="1"/>
    </xf>
    <xf numFmtId="0" fontId="17" fillId="7" borderId="16" xfId="0" applyFont="1" applyFill="1" applyBorder="1" applyAlignment="1">
      <alignment horizontal="center" vertical="top" wrapText="1"/>
    </xf>
    <xf numFmtId="0" fontId="17" fillId="7" borderId="17" xfId="0" applyFont="1" applyFill="1" applyBorder="1" applyAlignment="1">
      <alignment horizontal="center" vertical="top" wrapText="1"/>
    </xf>
    <xf numFmtId="49" fontId="16" fillId="8" borderId="18" xfId="0" applyNumberFormat="1" applyFont="1" applyFill="1" applyBorder="1" applyAlignment="1">
      <alignment horizontal="center" vertical="center" wrapText="1"/>
    </xf>
    <xf numFmtId="49" fontId="16" fillId="8" borderId="0" xfId="0" applyNumberFormat="1" applyFont="1" applyFill="1" applyBorder="1" applyAlignment="1">
      <alignment horizontal="center" vertical="center" wrapText="1"/>
    </xf>
    <xf numFmtId="0" fontId="16" fillId="8" borderId="0" xfId="0" applyFont="1" applyFill="1" applyBorder="1" applyAlignment="1">
      <alignment horizontal="left" vertical="top" wrapText="1"/>
    </xf>
    <xf numFmtId="0" fontId="16" fillId="8" borderId="0" xfId="0" applyFont="1" applyFill="1" applyBorder="1" applyAlignment="1">
      <alignment horizontal="center" vertical="center" wrapText="1"/>
    </xf>
    <xf numFmtId="0" fontId="16" fillId="8" borderId="19" xfId="0" applyFont="1" applyFill="1" applyBorder="1" applyAlignment="1">
      <alignment horizontal="left" vertical="top" wrapText="1"/>
    </xf>
    <xf numFmtId="0" fontId="16" fillId="8" borderId="20" xfId="0" applyFont="1" applyFill="1" applyBorder="1" applyAlignment="1">
      <alignment horizontal="left" vertical="top" wrapText="1"/>
    </xf>
    <xf numFmtId="49" fontId="17" fillId="9" borderId="18" xfId="0" applyNumberFormat="1" applyFont="1" applyFill="1" applyBorder="1" applyAlignment="1">
      <alignment horizontal="center" vertical="center" wrapText="1"/>
    </xf>
    <xf numFmtId="49" fontId="17" fillId="9" borderId="0" xfId="0" applyNumberFormat="1" applyFont="1" applyFill="1" applyBorder="1" applyAlignment="1">
      <alignment horizontal="center" vertical="center" wrapText="1"/>
    </xf>
    <xf numFmtId="0" fontId="18" fillId="0" borderId="0" xfId="2" applyFont="1" applyBorder="1" applyAlignment="1">
      <alignment horizontal="left" vertical="center" wrapText="1"/>
    </xf>
    <xf numFmtId="0" fontId="18" fillId="10" borderId="0" xfId="0" applyFont="1" applyFill="1" applyBorder="1" applyAlignment="1">
      <alignment horizontal="center" vertical="center" wrapText="1"/>
    </xf>
    <xf numFmtId="0" fontId="18" fillId="11" borderId="0" xfId="0" applyFont="1" applyFill="1" applyBorder="1" applyAlignment="1">
      <alignment horizontal="center" vertical="center" wrapText="1"/>
    </xf>
    <xf numFmtId="0" fontId="18" fillId="0" borderId="0" xfId="0" applyFont="1" applyBorder="1" applyAlignment="1">
      <alignment horizontal="center" vertical="center" wrapText="1"/>
    </xf>
    <xf numFmtId="0" fontId="19" fillId="0" borderId="0" xfId="1" applyFont="1" applyBorder="1" applyAlignment="1" applyProtection="1">
      <alignment vertical="center" wrapText="1"/>
    </xf>
    <xf numFmtId="0" fontId="20" fillId="0" borderId="0" xfId="1" applyFont="1" applyBorder="1" applyAlignment="1" applyProtection="1">
      <alignment wrapText="1"/>
    </xf>
    <xf numFmtId="0" fontId="18" fillId="0" borderId="21" xfId="0" applyFont="1" applyBorder="1" applyAlignment="1">
      <alignment horizontal="left" vertical="top" wrapText="1"/>
    </xf>
    <xf numFmtId="0" fontId="18" fillId="0" borderId="0" xfId="0" applyFont="1" applyBorder="1" applyAlignment="1">
      <alignment vertical="center" wrapText="1"/>
    </xf>
    <xf numFmtId="0" fontId="19" fillId="0" borderId="0" xfId="1" applyFont="1" applyBorder="1" applyAlignment="1" applyProtection="1">
      <alignment vertical="center"/>
    </xf>
    <xf numFmtId="0" fontId="18" fillId="0" borderId="0" xfId="0" applyFont="1" applyBorder="1" applyAlignment="1">
      <alignment horizontal="left" vertical="top" wrapText="1"/>
    </xf>
    <xf numFmtId="49" fontId="21" fillId="8" borderId="18" xfId="0" applyNumberFormat="1" applyFont="1" applyFill="1" applyBorder="1" applyAlignment="1">
      <alignment horizontal="center" vertical="center" wrapText="1"/>
    </xf>
    <xf numFmtId="49" fontId="21" fillId="8" borderId="0" xfId="0" applyNumberFormat="1" applyFont="1" applyFill="1" applyBorder="1" applyAlignment="1">
      <alignment horizontal="center" vertical="center" wrapText="1"/>
    </xf>
    <xf numFmtId="0" fontId="21" fillId="8" borderId="0" xfId="0" applyFont="1" applyFill="1" applyBorder="1" applyAlignment="1">
      <alignment horizontal="left" vertical="top" wrapText="1"/>
    </xf>
    <xf numFmtId="0" fontId="21" fillId="8" borderId="0" xfId="0" applyFont="1" applyFill="1" applyBorder="1" applyAlignment="1">
      <alignment vertical="center" wrapText="1"/>
    </xf>
    <xf numFmtId="0" fontId="21" fillId="8" borderId="0" xfId="0" applyFont="1" applyFill="1" applyBorder="1" applyAlignment="1">
      <alignment horizontal="center" vertical="center" wrapText="1"/>
    </xf>
    <xf numFmtId="0" fontId="21" fillId="8" borderId="0" xfId="0" applyFont="1" applyFill="1" applyAlignment="1">
      <alignment vertical="center" wrapText="1"/>
    </xf>
    <xf numFmtId="0" fontId="21" fillId="8" borderId="21" xfId="0" applyFont="1" applyFill="1" applyBorder="1" applyAlignment="1">
      <alignment horizontal="left" vertical="top" wrapText="1"/>
    </xf>
    <xf numFmtId="0" fontId="22" fillId="0" borderId="21" xfId="0" applyFont="1" applyBorder="1" applyAlignment="1">
      <alignment horizontal="left" vertical="top" wrapText="1"/>
    </xf>
    <xf numFmtId="0" fontId="15" fillId="0" borderId="0" xfId="0" applyFont="1" applyAlignment="1">
      <alignment horizontal="left" vertical="center" wrapText="1"/>
    </xf>
    <xf numFmtId="0" fontId="18" fillId="0" borderId="0" xfId="0" applyFont="1" applyBorder="1" applyAlignment="1">
      <alignment wrapText="1"/>
    </xf>
    <xf numFmtId="49" fontId="17" fillId="9" borderId="18" xfId="0" applyNumberFormat="1" applyFont="1" applyFill="1" applyBorder="1" applyAlignment="1">
      <alignment horizontal="center" wrapText="1"/>
    </xf>
    <xf numFmtId="49" fontId="17" fillId="9" borderId="0" xfId="0" applyNumberFormat="1" applyFont="1" applyFill="1" applyBorder="1" applyAlignment="1">
      <alignment horizontal="center" wrapText="1"/>
    </xf>
    <xf numFmtId="0" fontId="18" fillId="0" borderId="0" xfId="0" applyFont="1" applyBorder="1" applyAlignment="1">
      <alignment horizontal="left" vertical="center" wrapText="1"/>
    </xf>
    <xf numFmtId="0" fontId="19" fillId="0" borderId="0" xfId="1" applyFont="1" applyBorder="1" applyAlignment="1" applyProtection="1">
      <alignment horizontal="left" wrapText="1"/>
    </xf>
    <xf numFmtId="0" fontId="19" fillId="0" borderId="20" xfId="1" applyFont="1" applyBorder="1" applyAlignment="1" applyProtection="1">
      <alignment horizontal="left" vertical="top" wrapText="1"/>
    </xf>
    <xf numFmtId="0" fontId="20" fillId="0" borderId="0" xfId="1" applyFont="1" applyBorder="1" applyAlignment="1" applyProtection="1">
      <alignment vertical="center" wrapText="1"/>
    </xf>
    <xf numFmtId="0" fontId="19" fillId="0" borderId="21" xfId="1" applyFont="1" applyBorder="1" applyAlignment="1" applyProtection="1">
      <alignment horizontal="left" vertical="top" wrapText="1"/>
    </xf>
    <xf numFmtId="0" fontId="18" fillId="0" borderId="26" xfId="0" applyFont="1" applyBorder="1" applyAlignment="1">
      <alignment horizontal="left" vertical="top" wrapText="1"/>
    </xf>
    <xf numFmtId="0" fontId="18" fillId="0" borderId="27" xfId="0" applyFont="1" applyBorder="1" applyAlignment="1">
      <alignment vertical="center" wrapText="1"/>
    </xf>
    <xf numFmtId="0" fontId="23" fillId="0" borderId="21" xfId="0" applyFont="1" applyBorder="1" applyAlignment="1">
      <alignment horizontal="left" vertical="top" wrapText="1"/>
    </xf>
    <xf numFmtId="0" fontId="23" fillId="0" borderId="0" xfId="0" applyFont="1" applyBorder="1"/>
    <xf numFmtId="49" fontId="17" fillId="7" borderId="22" xfId="0" applyNumberFormat="1" applyFont="1" applyFill="1" applyBorder="1" applyAlignment="1">
      <alignment horizontal="center" vertical="center" wrapText="1"/>
    </xf>
    <xf numFmtId="49" fontId="17" fillId="7" borderId="23" xfId="0" applyNumberFormat="1" applyFont="1" applyFill="1" applyBorder="1" applyAlignment="1">
      <alignment horizontal="center" vertical="center" wrapText="1"/>
    </xf>
    <xf numFmtId="0" fontId="17" fillId="7" borderId="23" xfId="0" applyFont="1" applyFill="1" applyBorder="1" applyAlignment="1">
      <alignment horizontal="left" vertical="top" wrapText="1"/>
    </xf>
    <xf numFmtId="0" fontId="17" fillId="7" borderId="23" xfId="0" applyFont="1" applyFill="1" applyBorder="1" applyAlignment="1">
      <alignment horizontal="center" vertical="center" wrapText="1"/>
    </xf>
    <xf numFmtId="0" fontId="17" fillId="7" borderId="24" xfId="0" applyFont="1" applyFill="1" applyBorder="1" applyAlignment="1">
      <alignment horizontal="center" vertical="center" wrapText="1"/>
    </xf>
    <xf numFmtId="0" fontId="17" fillId="7" borderId="24" xfId="0" applyFont="1" applyFill="1" applyBorder="1" applyAlignment="1">
      <alignment horizontal="left" vertical="top" wrapText="1"/>
    </xf>
    <xf numFmtId="49" fontId="16" fillId="0" borderId="0" xfId="0" applyNumberFormat="1" applyFont="1" applyBorder="1" applyAlignment="1">
      <alignment horizontal="left"/>
    </xf>
    <xf numFmtId="49" fontId="17" fillId="7" borderId="25" xfId="0" applyNumberFormat="1" applyFont="1" applyFill="1" applyBorder="1" applyAlignment="1">
      <alignment vertical="center" wrapText="1"/>
    </xf>
    <xf numFmtId="0" fontId="17" fillId="7" borderId="25" xfId="0" applyFont="1" applyFill="1" applyBorder="1" applyAlignment="1">
      <alignment horizontal="left" vertical="top" wrapText="1"/>
    </xf>
    <xf numFmtId="49" fontId="15" fillId="0" borderId="6" xfId="0" applyNumberFormat="1" applyFont="1" applyBorder="1" applyAlignment="1">
      <alignment vertical="top" wrapText="1"/>
    </xf>
    <xf numFmtId="0" fontId="15" fillId="0" borderId="6" xfId="0" applyFont="1" applyBorder="1" applyAlignment="1">
      <alignment horizontal="left" vertical="top" wrapText="1"/>
    </xf>
    <xf numFmtId="0" fontId="15" fillId="0" borderId="6" xfId="0" applyFont="1" applyBorder="1" applyAlignment="1">
      <alignment horizontal="center"/>
    </xf>
    <xf numFmtId="0" fontId="24" fillId="6" borderId="14" xfId="1" applyFont="1" applyFill="1" applyBorder="1" applyAlignment="1" applyProtection="1">
      <alignment vertical="center"/>
    </xf>
    <xf numFmtId="0" fontId="15" fillId="0" borderId="6" xfId="0" applyFont="1" applyBorder="1"/>
    <xf numFmtId="0" fontId="15" fillId="0" borderId="14" xfId="0" applyFont="1" applyBorder="1"/>
    <xf numFmtId="166" fontId="15" fillId="0" borderId="6" xfId="0" applyNumberFormat="1" applyFont="1" applyBorder="1"/>
    <xf numFmtId="0" fontId="21" fillId="3" borderId="3" xfId="0" applyFont="1" applyFill="1" applyBorder="1" applyAlignment="1" applyProtection="1">
      <alignment vertical="center"/>
    </xf>
    <xf numFmtId="0" fontId="21" fillId="3" borderId="4" xfId="0" applyFont="1" applyFill="1" applyBorder="1" applyAlignment="1" applyProtection="1">
      <alignment vertical="center"/>
    </xf>
    <xf numFmtId="0" fontId="21" fillId="3" borderId="5" xfId="0" applyFont="1" applyFill="1" applyBorder="1" applyAlignment="1" applyProtection="1">
      <alignment vertical="center"/>
    </xf>
    <xf numFmtId="0" fontId="21" fillId="0" borderId="7" xfId="0" applyFont="1" applyBorder="1" applyAlignment="1" applyProtection="1">
      <alignment vertical="center"/>
    </xf>
    <xf numFmtId="0" fontId="18" fillId="0" borderId="1" xfId="0" applyFont="1" applyBorder="1" applyAlignment="1" applyProtection="1">
      <alignment horizontal="left" vertical="center" wrapText="1"/>
      <protection locked="0"/>
    </xf>
    <xf numFmtId="0" fontId="21" fillId="3" borderId="10" xfId="0" applyFont="1" applyFill="1" applyBorder="1" applyAlignment="1" applyProtection="1">
      <alignment vertical="center"/>
    </xf>
    <xf numFmtId="0" fontId="21" fillId="3" borderId="11" xfId="0" applyFont="1" applyFill="1" applyBorder="1" applyAlignment="1" applyProtection="1">
      <alignment vertical="center"/>
    </xf>
    <xf numFmtId="0" fontId="21" fillId="3" borderId="2" xfId="0" applyFont="1" applyFill="1" applyBorder="1" applyAlignment="1" applyProtection="1">
      <alignment vertical="center"/>
    </xf>
    <xf numFmtId="0" fontId="21" fillId="0" borderId="10" xfId="0" applyFont="1" applyBorder="1" applyAlignment="1" applyProtection="1">
      <alignment vertical="center"/>
    </xf>
    <xf numFmtId="0" fontId="21" fillId="0" borderId="12" xfId="0" applyFont="1" applyBorder="1" applyAlignment="1" applyProtection="1">
      <alignment vertical="center"/>
    </xf>
    <xf numFmtId="0" fontId="15" fillId="0" borderId="2" xfId="0" applyFont="1" applyBorder="1" applyAlignment="1" applyProtection="1">
      <alignment vertical="center" wrapText="1"/>
      <protection locked="0"/>
    </xf>
    <xf numFmtId="164" fontId="15" fillId="0" borderId="2" xfId="0" applyNumberFormat="1" applyFont="1" applyBorder="1" applyAlignment="1" applyProtection="1">
      <alignment vertical="center" wrapText="1"/>
      <protection locked="0"/>
    </xf>
    <xf numFmtId="0" fontId="19" fillId="0" borderId="7" xfId="1" applyFont="1" applyBorder="1" applyAlignment="1" applyProtection="1">
      <alignment vertical="center"/>
    </xf>
    <xf numFmtId="0" fontId="19" fillId="0" borderId="1" xfId="1" applyFont="1" applyBorder="1" applyAlignment="1" applyProtection="1">
      <alignment horizontal="left" vertical="center" wrapText="1"/>
    </xf>
    <xf numFmtId="0" fontId="16" fillId="0" borderId="0" xfId="0" applyFont="1"/>
    <xf numFmtId="0" fontId="21" fillId="3" borderId="13" xfId="0" applyFont="1" applyFill="1" applyBorder="1" applyAlignment="1" applyProtection="1">
      <alignment vertical="center"/>
    </xf>
    <xf numFmtId="0" fontId="17" fillId="5" borderId="0" xfId="0" applyFont="1" applyFill="1" applyBorder="1" applyAlignment="1">
      <alignment horizontal="center" vertical="center" wrapText="1"/>
    </xf>
    <xf numFmtId="0" fontId="15" fillId="5" borderId="0" xfId="0" applyFont="1" applyFill="1" applyBorder="1" applyAlignment="1">
      <alignment horizontal="left" wrapText="1"/>
    </xf>
    <xf numFmtId="0" fontId="15" fillId="5" borderId="0" xfId="0" applyFont="1" applyFill="1" applyBorder="1"/>
    <xf numFmtId="0" fontId="15" fillId="5" borderId="0" xfId="0" applyFont="1" applyFill="1" applyBorder="1" applyAlignment="1" applyProtection="1">
      <alignment horizontal="center" vertical="center"/>
    </xf>
    <xf numFmtId="0" fontId="18" fillId="5" borderId="0" xfId="0" applyFont="1" applyFill="1" applyBorder="1" applyAlignment="1">
      <alignment horizontal="center" vertical="center" wrapText="1"/>
    </xf>
    <xf numFmtId="165" fontId="15" fillId="5" borderId="0" xfId="0" applyNumberFormat="1" applyFont="1" applyFill="1" applyBorder="1" applyAlignment="1">
      <alignment horizontal="right" vertical="center" indent="1"/>
    </xf>
    <xf numFmtId="0" fontId="21" fillId="2" borderId="1" xfId="0" applyFont="1" applyFill="1" applyBorder="1" applyAlignment="1" applyProtection="1">
      <alignment horizontal="left" vertical="top" wrapText="1"/>
    </xf>
    <xf numFmtId="0" fontId="15" fillId="0" borderId="2" xfId="0" applyFont="1" applyBorder="1" applyAlignment="1" applyProtection="1">
      <alignment horizontal="center"/>
    </xf>
    <xf numFmtId="0" fontId="21" fillId="0" borderId="6" xfId="0" applyFont="1" applyBorder="1" applyAlignment="1" applyProtection="1">
      <alignment horizontal="left" vertical="center"/>
    </xf>
    <xf numFmtId="0" fontId="21" fillId="0" borderId="8" xfId="0" applyFont="1" applyBorder="1" applyAlignment="1" applyProtection="1">
      <alignment horizontal="left" vertical="center"/>
    </xf>
    <xf numFmtId="0" fontId="21" fillId="0" borderId="9" xfId="0" applyFont="1" applyBorder="1" applyAlignment="1" applyProtection="1">
      <alignment vertical="center"/>
    </xf>
    <xf numFmtId="0" fontId="21" fillId="0" borderId="1" xfId="0" applyFont="1" applyBorder="1" applyAlignment="1" applyProtection="1">
      <alignment horizontal="left" vertical="center" wrapText="1"/>
    </xf>
    <xf numFmtId="0" fontId="21" fillId="0" borderId="8" xfId="0" applyFont="1" applyBorder="1" applyAlignment="1" applyProtection="1">
      <alignment vertical="center"/>
    </xf>
    <xf numFmtId="0" fontId="21" fillId="0" borderId="8" xfId="0" applyFont="1" applyBorder="1" applyAlignment="1" applyProtection="1">
      <alignment vertical="center" wrapText="1"/>
    </xf>
    <xf numFmtId="0" fontId="15" fillId="4" borderId="1" xfId="0" applyFont="1" applyFill="1" applyBorder="1" applyAlignment="1" applyProtection="1">
      <alignment horizontal="center" vertical="center"/>
    </xf>
    <xf numFmtId="0" fontId="21" fillId="0" borderId="1" xfId="0" applyFont="1" applyBorder="1" applyAlignment="1" applyProtection="1">
      <alignment horizontal="left" vertical="center"/>
    </xf>
    <xf numFmtId="0" fontId="17" fillId="6" borderId="14" xfId="1" applyFont="1" applyFill="1" applyBorder="1" applyAlignment="1" applyProtection="1">
      <alignment horizontal="center" vertical="center"/>
    </xf>
    <xf numFmtId="0" fontId="15" fillId="0" borderId="0" xfId="0" applyFont="1" applyBorder="1"/>
    <xf numFmtId="0" fontId="16" fillId="13" borderId="13" xfId="0" applyFont="1" applyFill="1" applyBorder="1" applyAlignment="1">
      <alignment horizontal="center"/>
    </xf>
    <xf numFmtId="1" fontId="25" fillId="0" borderId="13" xfId="0" applyNumberFormat="1" applyFont="1" applyBorder="1" applyAlignment="1">
      <alignment horizontal="center" vertical="center"/>
    </xf>
    <xf numFmtId="0" fontId="17" fillId="5" borderId="0" xfId="0" applyFont="1" applyFill="1" applyBorder="1" applyAlignment="1">
      <alignment horizontal="center" vertical="center" wrapText="1"/>
    </xf>
    <xf numFmtId="0" fontId="16" fillId="0" borderId="0" xfId="0" applyFont="1" applyBorder="1" applyAlignment="1">
      <alignment horizontal="left" vertical="top"/>
    </xf>
    <xf numFmtId="0" fontId="17" fillId="7" borderId="16" xfId="0" applyFont="1" applyFill="1" applyBorder="1" applyAlignment="1">
      <alignment horizontal="center" wrapText="1"/>
    </xf>
    <xf numFmtId="0" fontId="10" fillId="0" borderId="23" xfId="0" applyFont="1" applyBorder="1" applyAlignment="1">
      <alignment horizontal="left"/>
    </xf>
    <xf numFmtId="0" fontId="17" fillId="7" borderId="16" xfId="0" applyFont="1" applyFill="1" applyBorder="1" applyAlignment="1">
      <alignment horizontal="left" vertical="center" wrapText="1"/>
    </xf>
    <xf numFmtId="0" fontId="17" fillId="7" borderId="17" xfId="0" applyFont="1" applyFill="1" applyBorder="1" applyAlignment="1">
      <alignment horizontal="center" vertical="center" wrapText="1"/>
    </xf>
    <xf numFmtId="0" fontId="17" fillId="7" borderId="17" xfId="0" applyFont="1" applyFill="1" applyBorder="1" applyAlignment="1">
      <alignment horizontal="left" vertical="center" wrapText="1"/>
    </xf>
    <xf numFmtId="0" fontId="16" fillId="8" borderId="0" xfId="0" applyFont="1" applyFill="1" applyBorder="1" applyAlignment="1">
      <alignment horizontal="left" vertical="center" wrapText="1"/>
    </xf>
    <xf numFmtId="0" fontId="16" fillId="8" borderId="19" xfId="0" applyFont="1" applyFill="1" applyBorder="1" applyAlignment="1">
      <alignment horizontal="left" vertical="center" wrapText="1"/>
    </xf>
    <xf numFmtId="0" fontId="16" fillId="8" borderId="20" xfId="0" applyFont="1" applyFill="1" applyBorder="1" applyAlignment="1">
      <alignment horizontal="left" vertical="center" wrapText="1"/>
    </xf>
    <xf numFmtId="0" fontId="18" fillId="0" borderId="21" xfId="0" applyFont="1" applyBorder="1" applyAlignment="1">
      <alignment vertical="center" wrapText="1"/>
    </xf>
    <xf numFmtId="0" fontId="18" fillId="0" borderId="21" xfId="0" applyFont="1" applyBorder="1" applyAlignment="1">
      <alignment horizontal="left" vertical="center" wrapText="1"/>
    </xf>
    <xf numFmtId="0" fontId="19" fillId="0" borderId="0" xfId="1" applyFont="1" applyBorder="1" applyAlignment="1" applyProtection="1">
      <alignment horizontal="left" vertical="center"/>
    </xf>
    <xf numFmtId="0" fontId="19" fillId="0" borderId="20" xfId="1" applyFont="1" applyBorder="1" applyAlignment="1" applyProtection="1">
      <alignment vertical="center"/>
    </xf>
    <xf numFmtId="0" fontId="19" fillId="0" borderId="21" xfId="1" applyFont="1" applyBorder="1" applyAlignment="1" applyProtection="1">
      <alignment vertical="center" wrapText="1"/>
    </xf>
    <xf numFmtId="0" fontId="21" fillId="8" borderId="0" xfId="0" applyFont="1" applyFill="1" applyBorder="1" applyAlignment="1">
      <alignment horizontal="left" vertical="center" wrapText="1"/>
    </xf>
    <xf numFmtId="0" fontId="21" fillId="8" borderId="21" xfId="0" applyFont="1" applyFill="1" applyBorder="1" applyAlignment="1">
      <alignment vertical="center" wrapText="1"/>
    </xf>
    <xf numFmtId="0" fontId="21" fillId="8" borderId="21" xfId="0" applyFont="1" applyFill="1" applyBorder="1" applyAlignment="1">
      <alignment horizontal="left" vertical="center" wrapText="1"/>
    </xf>
    <xf numFmtId="0" fontId="19" fillId="0" borderId="0" xfId="1" applyFont="1" applyBorder="1" applyAlignment="1" applyProtection="1">
      <alignment horizontal="left" vertical="center" wrapText="1"/>
    </xf>
    <xf numFmtId="0" fontId="19" fillId="0" borderId="19" xfId="1" applyFont="1" applyBorder="1" applyAlignment="1" applyProtection="1">
      <alignment vertical="center"/>
    </xf>
    <xf numFmtId="0" fontId="18" fillId="0" borderId="20" xfId="0" applyFont="1" applyBorder="1" applyAlignment="1">
      <alignment horizontal="left" vertical="center" wrapText="1"/>
    </xf>
    <xf numFmtId="0" fontId="19" fillId="0" borderId="19" xfId="1" applyFont="1" applyBorder="1" applyAlignment="1" applyProtection="1">
      <alignment horizontal="left" vertical="center" wrapText="1"/>
    </xf>
    <xf numFmtId="0" fontId="19" fillId="0" borderId="20" xfId="1" applyFont="1" applyBorder="1" applyAlignment="1" applyProtection="1">
      <alignment horizontal="left" vertical="center" wrapText="1"/>
    </xf>
    <xf numFmtId="0" fontId="19" fillId="0" borderId="21" xfId="1" applyFont="1" applyBorder="1" applyAlignment="1" applyProtection="1">
      <alignment horizontal="left" vertical="center" wrapText="1"/>
    </xf>
    <xf numFmtId="0" fontId="18" fillId="14" borderId="29" xfId="0" applyFont="1" applyFill="1" applyBorder="1" applyAlignment="1">
      <alignment horizontal="center" vertical="center" wrapText="1"/>
    </xf>
    <xf numFmtId="0" fontId="18" fillId="14" borderId="28" xfId="0" applyFont="1" applyFill="1" applyBorder="1" applyAlignment="1">
      <alignment horizontal="center" vertical="center" wrapText="1"/>
    </xf>
    <xf numFmtId="0" fontId="17" fillId="7" borderId="6" xfId="0" applyFont="1" applyFill="1" applyBorder="1" applyAlignment="1">
      <alignment horizontal="center" vertical="center" wrapText="1"/>
    </xf>
    <xf numFmtId="0" fontId="17" fillId="7" borderId="17" xfId="0" applyFont="1" applyFill="1" applyBorder="1" applyAlignment="1">
      <alignment horizontal="left" vertical="top" wrapText="1"/>
    </xf>
    <xf numFmtId="0" fontId="21" fillId="8" borderId="20" xfId="0" applyFont="1" applyFill="1" applyBorder="1" applyAlignment="1">
      <alignment vertical="center" wrapText="1"/>
    </xf>
    <xf numFmtId="0" fontId="21" fillId="8" borderId="20" xfId="0" applyFont="1" applyFill="1" applyBorder="1" applyAlignment="1">
      <alignment horizontal="left" vertical="top" wrapText="1"/>
    </xf>
    <xf numFmtId="0" fontId="18" fillId="12" borderId="0" xfId="0" applyFont="1" applyFill="1" applyBorder="1" applyAlignment="1">
      <alignment horizontal="center" vertical="center" wrapText="1"/>
    </xf>
    <xf numFmtId="0" fontId="19" fillId="0" borderId="20" xfId="1" applyFont="1" applyBorder="1" applyProtection="1"/>
    <xf numFmtId="0" fontId="18" fillId="0" borderId="20" xfId="0" applyFont="1" applyBorder="1" applyAlignment="1">
      <alignment horizontal="left" vertical="top" wrapText="1"/>
    </xf>
    <xf numFmtId="0" fontId="15" fillId="0" borderId="0" xfId="0" applyFont="1" applyAlignment="1">
      <alignment horizontal="left" vertical="top" wrapText="1"/>
    </xf>
    <xf numFmtId="0" fontId="26" fillId="5" borderId="20" xfId="1" applyFont="1" applyFill="1" applyBorder="1" applyAlignment="1" applyProtection="1">
      <alignment horizontal="center" wrapText="1"/>
    </xf>
    <xf numFmtId="0" fontId="26" fillId="0" borderId="20" xfId="1" applyFont="1" applyBorder="1" applyAlignment="1" applyProtection="1">
      <alignment horizontal="center" wrapText="1"/>
    </xf>
  </cellXfs>
  <cellStyles count="3">
    <cellStyle name="Hyperlink" xfId="1" builtinId="8"/>
    <cellStyle name="Normal" xfId="0" builtinId="0"/>
    <cellStyle name="Normal 3" xfId="2" xr:uid="{00000000-0005-0000-0000-000006000000}"/>
  </cellStyles>
  <dxfs count="14">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ill>
        <patternFill>
          <bgColor rgb="FFFFC7CE"/>
        </patternFill>
      </fill>
    </dxf>
    <dxf>
      <font>
        <color rgb="FF9C0006"/>
      </font>
      <fill>
        <patternFill>
          <bgColor rgb="FFFFC7CE"/>
        </patternFill>
      </fill>
    </dxf>
    <dxf>
      <fill>
        <patternFill>
          <bgColor rgb="FFF2F2F2"/>
        </patternFill>
      </fill>
    </dxf>
    <dxf>
      <fill>
        <patternFill>
          <bgColor rgb="FFF2F2F2"/>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A5A5A5"/>
      <rgbColor rgb="FF993366"/>
      <rgbColor rgb="FFF2F2F2"/>
      <rgbColor rgb="FFEBEBEB"/>
      <rgbColor rgb="FF660066"/>
      <rgbColor rgb="FFFF8080"/>
      <rgbColor rgb="FF0066CC"/>
      <rgbColor rgb="FFCFE2F3"/>
      <rgbColor rgb="FF000080"/>
      <rgbColor rgb="FFFF00FF"/>
      <rgbColor rgb="FFFFFF00"/>
      <rgbColor rgb="FF00FFFF"/>
      <rgbColor rgb="FF800080"/>
      <rgbColor rgb="FF800000"/>
      <rgbColor rgb="FF008080"/>
      <rgbColor rgb="FF0000FF"/>
      <rgbColor rgb="FF00B0F0"/>
      <rgbColor rgb="FFCCFFFF"/>
      <rgbColor rgb="FFDDDDDD"/>
      <rgbColor rgb="FFFFFF99"/>
      <rgbColor rgb="FFAFD7FF"/>
      <rgbColor rgb="FFFF99CC"/>
      <rgbColor rgb="FFB3B3B3"/>
      <rgbColor rgb="FFFFC7CE"/>
      <rgbColor rgb="FF3366FF"/>
      <rgbColor rgb="FF33CCCC"/>
      <rgbColor rgb="FF92D050"/>
      <rgbColor rgb="FFFFC000"/>
      <rgbColor rgb="FFFF9900"/>
      <rgbColor rgb="FFFF6600"/>
      <rgbColor rgb="FF5F5F5F"/>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300" b="1" u="sng" strike="noStrike" spc="-1">
                <a:solidFill>
                  <a:srgbClr val="000000"/>
                </a:solidFill>
                <a:uFillTx/>
                <a:latin typeface="Trebuchet MS"/>
                <a:ea typeface="Arial"/>
              </a:defRPr>
            </a:pPr>
            <a:r>
              <a:rPr lang="en-US" sz="1200" b="1" u="sng" strike="noStrike" spc="-1">
                <a:solidFill>
                  <a:srgbClr val="000000"/>
                </a:solidFill>
                <a:uFillTx/>
                <a:latin typeface="微软雅黑" panose="020B0503020204020204" pitchFamily="34" charset="-122"/>
                <a:ea typeface="微软雅黑" panose="020B0503020204020204" pitchFamily="34" charset="-122"/>
              </a:rPr>
              <a:t>MASVS 合规</a:t>
            </a:r>
            <a:r>
              <a:rPr lang="zh-CN" altLang="en-US" sz="1200" b="1" u="sng" strike="noStrike" spc="-1">
                <a:solidFill>
                  <a:srgbClr val="000000"/>
                </a:solidFill>
                <a:uFillTx/>
                <a:latin typeface="微软雅黑" panose="020B0503020204020204" pitchFamily="34" charset="-122"/>
                <a:ea typeface="微软雅黑" panose="020B0503020204020204" pitchFamily="34" charset="-122"/>
              </a:rPr>
              <a:t> </a:t>
            </a:r>
            <a:r>
              <a:rPr lang="en-US" sz="1200" b="1" u="sng" strike="noStrike" spc="-1">
                <a:solidFill>
                  <a:srgbClr val="000000"/>
                </a:solidFill>
                <a:uFillTx/>
                <a:latin typeface="微软雅黑" panose="020B0503020204020204" pitchFamily="34" charset="-122"/>
                <a:ea typeface="微软雅黑" panose="020B0503020204020204" pitchFamily="34" charset="-122"/>
              </a:rPr>
              <a:t>蜘蛛图 - Android</a:t>
            </a:r>
          </a:p>
        </c:rich>
      </c:tx>
      <c:layout>
        <c:manualLayout>
          <c:xMode val="edge"/>
          <c:yMode val="edge"/>
          <c:x val="0.61985388912763195"/>
          <c:y val="2.4754304293209201E-2"/>
        </c:manualLayout>
      </c:layout>
      <c:overlay val="0"/>
      <c:spPr>
        <a:noFill/>
        <a:ln w="25560">
          <a:noFill/>
        </a:ln>
      </c:spPr>
    </c:title>
    <c:autoTitleDeleted val="0"/>
    <c:plotArea>
      <c:layout>
        <c:manualLayout>
          <c:layoutTarget val="inner"/>
          <c:xMode val="edge"/>
          <c:yMode val="edge"/>
          <c:x val="0.221443919209282"/>
          <c:y val="0.112613611172689"/>
          <c:w val="0.50249247958745202"/>
          <c:h val="0.84090741151259896"/>
        </c:manualLayout>
      </c:layout>
      <c:radarChart>
        <c:radarStyle val="filled"/>
        <c:varyColors val="0"/>
        <c:ser>
          <c:idx val="0"/>
          <c:order val="0"/>
          <c:tx>
            <c:v>Android</c:v>
          </c:tx>
          <c:spPr>
            <a:solidFill>
              <a:srgbClr val="C0C0C0"/>
            </a:solidFill>
            <a:ln w="25560">
              <a:noFill/>
            </a:ln>
          </c:spPr>
          <c:dLbls>
            <c:spPr>
              <a:noFill/>
              <a:ln>
                <a:noFill/>
              </a:ln>
              <a:effectLst/>
            </c:spPr>
            <c:txPr>
              <a:bodyPr/>
              <a:lstStyle/>
              <a:p>
                <a:pPr>
                  <a:defRPr sz="1000" b="0" strike="noStrike" spc="-1">
                    <a:solidFill>
                      <a:srgbClr val="000000"/>
                    </a:solidFill>
                    <a:latin typeface="Arial"/>
                    <a:ea typeface="Arial"/>
                  </a:defRPr>
                </a:pPr>
                <a:endParaRPr lang="en-US"/>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'Management Summary'!$C$43:$C$50</c:f>
              <c:strCache>
                <c:ptCount val="8"/>
                <c:pt idx="0">
                  <c:v>V1: 架构，设计和威胁建模 (Architecture, Design an Threat Modelling)</c:v>
                </c:pt>
                <c:pt idx="1">
                  <c:v>V2: 数据存储和隐私 (Data Storage and Privacy)</c:v>
                </c:pt>
                <c:pt idx="2">
                  <c:v>V3: 密码学验证 (Cryptography Verification)</c:v>
                </c:pt>
                <c:pt idx="3">
                  <c:v>V4: 身份验证和会话管理 (Authentication &amp; Session Management)</c:v>
                </c:pt>
                <c:pt idx="4">
                  <c:v>V5: 网络通讯 (Network Communication)</c:v>
                </c:pt>
                <c:pt idx="5">
                  <c:v>V6: 平台互动 (Platform Interaction)</c:v>
                </c:pt>
                <c:pt idx="6">
                  <c:v>V7: 代码质量和构建设置 (Code Quality &amp; Build Settings)</c:v>
                </c:pt>
                <c:pt idx="7">
                  <c:v>V8: 逆向工程的弹性 (Resiliency Against Reverse Engineering)</c:v>
                </c:pt>
              </c:strCache>
            </c:strRef>
          </c:cat>
          <c:val>
            <c:numRef>
              <c:f>'Management Summary'!$G$43:$G$50</c:f>
              <c:numCache>
                <c:formatCode>0.00\ %</c:formatCode>
                <c:ptCount val="8"/>
                <c:pt idx="0">
                  <c:v>1</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B8DB-5D4E-BC39-2B405FE7773B}"/>
            </c:ext>
          </c:extLst>
        </c:ser>
        <c:dLbls>
          <c:showLegendKey val="0"/>
          <c:showVal val="0"/>
          <c:showCatName val="0"/>
          <c:showSerName val="0"/>
          <c:showPercent val="0"/>
          <c:showBubbleSize val="0"/>
        </c:dLbls>
        <c:axId val="57926455"/>
        <c:axId val="10768888"/>
      </c:radarChart>
      <c:catAx>
        <c:axId val="57926455"/>
        <c:scaling>
          <c:orientation val="maxMin"/>
        </c:scaling>
        <c:delete val="0"/>
        <c:axPos val="b"/>
        <c:majorGridlines>
          <c:spPr>
            <a:ln w="3240">
              <a:solidFill>
                <a:srgbClr val="B3B3B3"/>
              </a:solidFill>
              <a:round/>
            </a:ln>
          </c:spPr>
        </c:majorGridlines>
        <c:numFmt formatCode="General" sourceLinked="1"/>
        <c:majorTickMark val="out"/>
        <c:minorTickMark val="none"/>
        <c:tickLblPos val="nextTo"/>
        <c:spPr>
          <a:ln w="9360">
            <a:noFill/>
          </a:ln>
        </c:spPr>
        <c:txPr>
          <a:bodyPr/>
          <a:lstStyle/>
          <a:p>
            <a:pPr>
              <a:defRPr sz="900" b="0" strike="noStrike" spc="-1">
                <a:solidFill>
                  <a:srgbClr val="000000"/>
                </a:solidFill>
                <a:latin typeface="Arial"/>
                <a:ea typeface="Arial"/>
              </a:defRPr>
            </a:pPr>
            <a:endParaRPr lang="en-US"/>
          </a:p>
        </c:txPr>
        <c:crossAx val="10768888"/>
        <c:crosses val="autoZero"/>
        <c:auto val="1"/>
        <c:lblAlgn val="ctr"/>
        <c:lblOffset val="100"/>
        <c:noMultiLvlLbl val="1"/>
      </c:catAx>
      <c:valAx>
        <c:axId val="10768888"/>
        <c:scaling>
          <c:orientation val="minMax"/>
        </c:scaling>
        <c:delete val="0"/>
        <c:axPos val="l"/>
        <c:majorGridlines>
          <c:spPr>
            <a:ln w="3240">
              <a:solidFill>
                <a:srgbClr val="B3B3B3"/>
              </a:solidFill>
              <a:round/>
            </a:ln>
          </c:spPr>
        </c:majorGridlines>
        <c:numFmt formatCode="#,##0.00_);\(#,##0.00\)" sourceLinked="0"/>
        <c:majorTickMark val="out"/>
        <c:minorTickMark val="none"/>
        <c:tickLblPos val="nextTo"/>
        <c:spPr>
          <a:ln w="3240">
            <a:solidFill>
              <a:srgbClr val="B3B3B3"/>
            </a:solidFill>
            <a:round/>
          </a:ln>
        </c:spPr>
        <c:txPr>
          <a:bodyPr/>
          <a:lstStyle/>
          <a:p>
            <a:pPr>
              <a:defRPr sz="1000" b="0" strike="noStrike" spc="-1">
                <a:solidFill>
                  <a:srgbClr val="000000"/>
                </a:solidFill>
                <a:latin typeface="Arial"/>
                <a:ea typeface="Arial"/>
              </a:defRPr>
            </a:pPr>
            <a:endParaRPr lang="en-US"/>
          </a:p>
        </c:txPr>
        <c:crossAx val="57926455"/>
        <c:crosses val="autoZero"/>
        <c:crossBetween val="between"/>
      </c:valAx>
      <c:spPr>
        <a:noFill/>
        <a:ln w="25560">
          <a:noFill/>
        </a:ln>
      </c:spPr>
    </c:plotArea>
    <c:legend>
      <c:legendPos val="r"/>
      <c:layout>
        <c:manualLayout>
          <c:xMode val="edge"/>
          <c:yMode val="edge"/>
          <c:x val="0.82355605203328797"/>
          <c:y val="8.6753817934920305E-2"/>
          <c:w val="0.15225397863329401"/>
          <c:h val="4.6333465073622501E-2"/>
        </c:manualLayout>
      </c:layout>
      <c:overlay val="1"/>
      <c:spPr>
        <a:noFill/>
        <a:ln w="25560">
          <a:noFill/>
        </a:ln>
      </c:spPr>
      <c:txPr>
        <a:bodyPr/>
        <a:lstStyle/>
        <a:p>
          <a:pPr>
            <a:defRPr sz="845" b="0" strike="noStrike" spc="-1">
              <a:solidFill>
                <a:srgbClr val="000000"/>
              </a:solidFill>
              <a:latin typeface="Arial"/>
              <a:ea typeface="Arial"/>
            </a:defRPr>
          </a:pPr>
          <a:endParaRPr lang="en-US"/>
        </a:p>
      </c:txPr>
    </c:legend>
    <c:plotVisOnly val="1"/>
    <c:dispBlanksAs val="gap"/>
    <c:showDLblsOverMax val="1"/>
  </c:chart>
  <c:spPr>
    <a:solidFill>
      <a:srgbClr val="FFFFFF"/>
    </a:solidFill>
    <a:ln w="6480">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300" b="1" u="sng" strike="noStrike" spc="-1">
                <a:solidFill>
                  <a:srgbClr val="000000"/>
                </a:solidFill>
                <a:uFillTx/>
                <a:latin typeface="Trebuchet MS"/>
                <a:ea typeface="Arial"/>
              </a:defRPr>
            </a:pPr>
            <a:r>
              <a:rPr lang="en-US" sz="1200" b="1" u="sng" strike="noStrike" spc="-1">
                <a:solidFill>
                  <a:srgbClr val="000000"/>
                </a:solidFill>
                <a:uFillTx/>
                <a:latin typeface="微软雅黑" panose="020B0503020204020204" pitchFamily="34" charset="-122"/>
                <a:ea typeface="微软雅黑" panose="020B0503020204020204" pitchFamily="34" charset="-122"/>
              </a:rPr>
              <a:t>MASVS 合规</a:t>
            </a:r>
            <a:r>
              <a:rPr lang="zh-CN" altLang="en-US" sz="1200" b="1" u="sng" strike="noStrike" spc="-1">
                <a:solidFill>
                  <a:srgbClr val="000000"/>
                </a:solidFill>
                <a:uFillTx/>
                <a:latin typeface="微软雅黑" panose="020B0503020204020204" pitchFamily="34" charset="-122"/>
                <a:ea typeface="微软雅黑" panose="020B0503020204020204" pitchFamily="34" charset="-122"/>
              </a:rPr>
              <a:t> </a:t>
            </a:r>
            <a:r>
              <a:rPr lang="en-US" sz="1200" b="1" u="sng" strike="noStrike" spc="-1">
                <a:solidFill>
                  <a:srgbClr val="000000"/>
                </a:solidFill>
                <a:uFillTx/>
                <a:latin typeface="微软雅黑" panose="020B0503020204020204" pitchFamily="34" charset="-122"/>
                <a:ea typeface="微软雅黑" panose="020B0503020204020204" pitchFamily="34" charset="-122"/>
              </a:rPr>
              <a:t>蜘蛛图 - iOS</a:t>
            </a:r>
          </a:p>
        </c:rich>
      </c:tx>
      <c:layout>
        <c:manualLayout>
          <c:xMode val="edge"/>
          <c:yMode val="edge"/>
          <c:x val="0.64895274363856703"/>
          <c:y val="2.4731341086412499E-2"/>
        </c:manualLayout>
      </c:layout>
      <c:overlay val="0"/>
      <c:spPr>
        <a:noFill/>
        <a:ln w="25560">
          <a:noFill/>
        </a:ln>
      </c:spPr>
    </c:title>
    <c:autoTitleDeleted val="0"/>
    <c:plotArea>
      <c:layout>
        <c:manualLayout>
          <c:layoutTarget val="inner"/>
          <c:xMode val="edge"/>
          <c:yMode val="edge"/>
          <c:x val="0.22143846287000199"/>
          <c:y val="0.112615928161343"/>
          <c:w val="0.502466678206682"/>
          <c:h val="0.84093920211982898"/>
        </c:manualLayout>
      </c:layout>
      <c:radarChart>
        <c:radarStyle val="filled"/>
        <c:varyColors val="0"/>
        <c:ser>
          <c:idx val="0"/>
          <c:order val="0"/>
          <c:tx>
            <c:v>IOS</c:v>
          </c:tx>
          <c:spPr>
            <a:solidFill>
              <a:srgbClr val="DDDDDD"/>
            </a:solidFill>
            <a:ln w="25560">
              <a:noFill/>
            </a:ln>
          </c:spPr>
          <c:dLbls>
            <c:spPr>
              <a:noFill/>
              <a:ln>
                <a:noFill/>
              </a:ln>
              <a:effectLst/>
            </c:spPr>
            <c:txPr>
              <a:bodyPr/>
              <a:lstStyle/>
              <a:p>
                <a:pPr>
                  <a:defRPr sz="1000" b="0" strike="noStrike" spc="-1">
                    <a:solidFill>
                      <a:srgbClr val="000000"/>
                    </a:solidFill>
                    <a:latin typeface="Arial"/>
                    <a:ea typeface="Arial"/>
                  </a:defRPr>
                </a:pPr>
                <a:endParaRPr lang="en-US"/>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'Management Summary'!$C$43:$C$50</c:f>
              <c:strCache>
                <c:ptCount val="8"/>
                <c:pt idx="0">
                  <c:v>V1: 架构，设计和威胁建模 (Architecture, Design an Threat Modelling)</c:v>
                </c:pt>
                <c:pt idx="1">
                  <c:v>V2: 数据存储和隐私 (Data Storage and Privacy)</c:v>
                </c:pt>
                <c:pt idx="2">
                  <c:v>V3: 密码学验证 (Cryptography Verification)</c:v>
                </c:pt>
                <c:pt idx="3">
                  <c:v>V4: 身份验证和会话管理 (Authentication &amp; Session Management)</c:v>
                </c:pt>
                <c:pt idx="4">
                  <c:v>V5: 网络通讯 (Network Communication)</c:v>
                </c:pt>
                <c:pt idx="5">
                  <c:v>V6: 平台互动 (Platform Interaction)</c:v>
                </c:pt>
                <c:pt idx="6">
                  <c:v>V7: 代码质量和构建设置 (Code Quality &amp; Build Settings)</c:v>
                </c:pt>
                <c:pt idx="7">
                  <c:v>V8: 逆向工程的弹性 (Resiliency Against Reverse Engineering)</c:v>
                </c:pt>
              </c:strCache>
            </c:strRef>
          </c:cat>
          <c:val>
            <c:numRef>
              <c:f>'Management Summary'!$K$43:$K$50</c:f>
              <c:numCache>
                <c:formatCode>0.00\ %</c:formatCode>
                <c:ptCount val="8"/>
                <c:pt idx="0">
                  <c:v>1</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B8E2-DA48-B524-EC5FFAE27987}"/>
            </c:ext>
          </c:extLst>
        </c:ser>
        <c:dLbls>
          <c:showLegendKey val="0"/>
          <c:showVal val="0"/>
          <c:showCatName val="0"/>
          <c:showSerName val="0"/>
          <c:showPercent val="0"/>
          <c:showBubbleSize val="0"/>
        </c:dLbls>
        <c:axId val="44602735"/>
        <c:axId val="96135864"/>
      </c:radarChart>
      <c:catAx>
        <c:axId val="44602735"/>
        <c:scaling>
          <c:orientation val="maxMin"/>
        </c:scaling>
        <c:delete val="0"/>
        <c:axPos val="b"/>
        <c:majorGridlines>
          <c:spPr>
            <a:ln w="3240">
              <a:solidFill>
                <a:srgbClr val="B3B3B3"/>
              </a:solidFill>
              <a:round/>
            </a:ln>
          </c:spPr>
        </c:majorGridlines>
        <c:numFmt formatCode="General" sourceLinked="1"/>
        <c:majorTickMark val="out"/>
        <c:minorTickMark val="none"/>
        <c:tickLblPos val="nextTo"/>
        <c:spPr>
          <a:ln w="9360">
            <a:noFill/>
          </a:ln>
        </c:spPr>
        <c:txPr>
          <a:bodyPr/>
          <a:lstStyle/>
          <a:p>
            <a:pPr>
              <a:defRPr sz="900" b="0" strike="noStrike" spc="-1">
                <a:solidFill>
                  <a:srgbClr val="000000"/>
                </a:solidFill>
                <a:latin typeface="Arial"/>
                <a:ea typeface="Arial"/>
              </a:defRPr>
            </a:pPr>
            <a:endParaRPr lang="en-US"/>
          </a:p>
        </c:txPr>
        <c:crossAx val="96135864"/>
        <c:crosses val="autoZero"/>
        <c:auto val="1"/>
        <c:lblAlgn val="ctr"/>
        <c:lblOffset val="100"/>
        <c:noMultiLvlLbl val="1"/>
      </c:catAx>
      <c:valAx>
        <c:axId val="96135864"/>
        <c:scaling>
          <c:orientation val="minMax"/>
        </c:scaling>
        <c:delete val="0"/>
        <c:axPos val="l"/>
        <c:majorGridlines>
          <c:spPr>
            <a:ln w="3240">
              <a:solidFill>
                <a:srgbClr val="B3B3B3"/>
              </a:solidFill>
              <a:round/>
            </a:ln>
          </c:spPr>
        </c:majorGridlines>
        <c:numFmt formatCode="#,##0.00_);\(#,##0.00\)" sourceLinked="0"/>
        <c:majorTickMark val="out"/>
        <c:minorTickMark val="none"/>
        <c:tickLblPos val="nextTo"/>
        <c:spPr>
          <a:ln w="3240">
            <a:solidFill>
              <a:srgbClr val="B3B3B3"/>
            </a:solidFill>
            <a:round/>
          </a:ln>
        </c:spPr>
        <c:txPr>
          <a:bodyPr/>
          <a:lstStyle/>
          <a:p>
            <a:pPr>
              <a:defRPr sz="1000" b="0" strike="noStrike" spc="-1">
                <a:solidFill>
                  <a:srgbClr val="000000"/>
                </a:solidFill>
                <a:latin typeface="Arial"/>
                <a:ea typeface="Arial"/>
              </a:defRPr>
            </a:pPr>
            <a:endParaRPr lang="en-US"/>
          </a:p>
        </c:txPr>
        <c:crossAx val="44602735"/>
        <c:crosses val="autoZero"/>
        <c:crossBetween val="between"/>
      </c:valAx>
      <c:spPr>
        <a:noFill/>
        <a:ln w="25560">
          <a:noFill/>
        </a:ln>
      </c:spPr>
    </c:plotArea>
    <c:legend>
      <c:legendPos val="r"/>
      <c:layout>
        <c:manualLayout>
          <c:xMode val="edge"/>
          <c:yMode val="edge"/>
          <c:x val="0.82355605203328797"/>
          <c:y val="8.6753817934920305E-2"/>
          <c:w val="4.4674738528106002E-2"/>
          <c:h val="3.9075202039654602E-2"/>
        </c:manualLayout>
      </c:layout>
      <c:overlay val="1"/>
      <c:spPr>
        <a:noFill/>
        <a:ln w="25560">
          <a:noFill/>
        </a:ln>
      </c:spPr>
      <c:txPr>
        <a:bodyPr/>
        <a:lstStyle/>
        <a:p>
          <a:pPr>
            <a:defRPr sz="845" b="0" strike="noStrike" spc="-1">
              <a:solidFill>
                <a:srgbClr val="000000"/>
              </a:solidFill>
              <a:latin typeface="Arial"/>
              <a:ea typeface="Arial"/>
            </a:defRPr>
          </a:pPr>
          <a:endParaRPr lang="en-US"/>
        </a:p>
      </c:txPr>
    </c:legend>
    <c:plotVisOnly val="1"/>
    <c:dispBlanksAs val="gap"/>
    <c:showDLblsOverMax val="1"/>
  </c:chart>
  <c:spPr>
    <a:solidFill>
      <a:srgbClr val="FFFFFF"/>
    </a:solidFill>
    <a:ln w="6480">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5943600</xdr:colOff>
      <xdr:row>1</xdr:row>
      <xdr:rowOff>120240</xdr:rowOff>
    </xdr:from>
    <xdr:to>
      <xdr:col>3</xdr:col>
      <xdr:colOff>6613200</xdr:colOff>
      <xdr:row>5</xdr:row>
      <xdr:rowOff>22710</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8134200" y="221040"/>
          <a:ext cx="669600" cy="71388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274320</xdr:colOff>
      <xdr:row>11</xdr:row>
      <xdr:rowOff>55080</xdr:rowOff>
    </xdr:from>
    <xdr:to>
      <xdr:col>8</xdr:col>
      <xdr:colOff>22954</xdr:colOff>
      <xdr:row>36</xdr:row>
      <xdr:rowOff>26429</xdr:rowOff>
    </xdr:to>
    <xdr:graphicFrame macro="">
      <xdr:nvGraphicFramePr>
        <xdr:cNvPr id="2" name="Graphique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175680</xdr:colOff>
      <xdr:row>11</xdr:row>
      <xdr:rowOff>65520</xdr:rowOff>
    </xdr:from>
    <xdr:to>
      <xdr:col>24</xdr:col>
      <xdr:colOff>317880</xdr:colOff>
      <xdr:row>36</xdr:row>
      <xdr:rowOff>55949</xdr:rowOff>
    </xdr:to>
    <xdr:graphicFrame macro="">
      <xdr:nvGraphicFramePr>
        <xdr:cNvPr id="3" name="Graphique 1">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D50"/>
  <sheetViews>
    <sheetView showGridLines="0" zoomScaleNormal="100" workbookViewId="0">
      <selection activeCell="I22" sqref="I22"/>
    </sheetView>
  </sheetViews>
  <sheetFormatPr defaultColWidth="8.875" defaultRowHeight="16.5" x14ac:dyDescent="0.35"/>
  <cols>
    <col min="1" max="1" width="2.375" style="89" customWidth="1"/>
    <col min="2" max="2" width="8.875" style="89" customWidth="1"/>
    <col min="3" max="3" width="17.125" style="89" customWidth="1"/>
    <col min="4" max="4" width="92.5" style="89" customWidth="1"/>
    <col min="5" max="1025" width="8.875" style="89" customWidth="1"/>
    <col min="1026" max="16384" width="8.875" style="89"/>
  </cols>
  <sheetData>
    <row r="1" spans="2:4" ht="8.1" customHeight="1" x14ac:dyDescent="0.35"/>
    <row r="2" spans="2:4" ht="15.6" customHeight="1" x14ac:dyDescent="0.35">
      <c r="B2" s="175" t="s">
        <v>359</v>
      </c>
      <c r="C2" s="175"/>
      <c r="D2" s="175"/>
    </row>
    <row r="3" spans="2:4" x14ac:dyDescent="0.35">
      <c r="B3" s="175"/>
      <c r="C3" s="175"/>
      <c r="D3" s="175"/>
    </row>
    <row r="4" spans="2:4" x14ac:dyDescent="0.35">
      <c r="B4" s="175"/>
      <c r="C4" s="175"/>
      <c r="D4" s="175"/>
    </row>
    <row r="5" spans="2:4" x14ac:dyDescent="0.35">
      <c r="B5" s="175"/>
      <c r="C5" s="175"/>
      <c r="D5" s="175"/>
    </row>
    <row r="6" spans="2:4" x14ac:dyDescent="0.35">
      <c r="B6" s="175"/>
      <c r="C6" s="175"/>
      <c r="D6" s="175"/>
    </row>
    <row r="7" spans="2:4" x14ac:dyDescent="0.35">
      <c r="B7" s="175"/>
      <c r="C7" s="175"/>
      <c r="D7" s="175"/>
    </row>
    <row r="8" spans="2:4" hidden="1" x14ac:dyDescent="0.35">
      <c r="B8" s="175"/>
      <c r="C8" s="175"/>
      <c r="D8" s="175"/>
    </row>
    <row r="9" spans="2:4" x14ac:dyDescent="0.35">
      <c r="B9" s="176"/>
      <c r="C9" s="176"/>
      <c r="D9" s="176"/>
    </row>
    <row r="10" spans="2:4" x14ac:dyDescent="0.35">
      <c r="B10" s="153" t="s">
        <v>231</v>
      </c>
      <c r="C10" s="154"/>
      <c r="D10" s="155"/>
    </row>
    <row r="11" spans="2:4" x14ac:dyDescent="0.35">
      <c r="B11" s="177" t="s">
        <v>232</v>
      </c>
      <c r="C11" s="177"/>
      <c r="D11" s="156" t="s">
        <v>0</v>
      </c>
    </row>
    <row r="12" spans="2:4" x14ac:dyDescent="0.35">
      <c r="B12" s="178" t="s">
        <v>233</v>
      </c>
      <c r="C12" s="178"/>
      <c r="D12" s="165" t="str">
        <f>HYPERLINK(CONCATENATE( "https://github.com/OWASP/owasp-masvs/blob/", MASVS_VERSION, "/Document/"))</f>
        <v>https://github.com/OWASP/owasp-masvs/blob/1.1.4/Document/</v>
      </c>
    </row>
    <row r="13" spans="2:4" x14ac:dyDescent="0.35">
      <c r="B13" s="179" t="s">
        <v>244</v>
      </c>
      <c r="C13" s="179"/>
      <c r="D13" s="157" t="s">
        <v>1</v>
      </c>
    </row>
    <row r="14" spans="2:4" x14ac:dyDescent="0.35">
      <c r="B14" s="178" t="s">
        <v>234</v>
      </c>
      <c r="C14" s="178"/>
      <c r="D14" s="166" t="str">
        <f>HYPERLINK(CONCATENATE( "https://github.com/OWASP/owasp-mstg/blob/", MSTG_VERSION, "/Document/"))</f>
        <v>https://github.com/OWASP/owasp-mstg/blob/1.1.3/Document/</v>
      </c>
    </row>
    <row r="15" spans="2:4" ht="32.1" customHeight="1" x14ac:dyDescent="0.35">
      <c r="B15" s="180" t="s">
        <v>367</v>
      </c>
      <c r="C15" s="180"/>
      <c r="D15" s="180"/>
    </row>
    <row r="16" spans="2:4" x14ac:dyDescent="0.35">
      <c r="B16" s="181" t="s">
        <v>235</v>
      </c>
      <c r="C16" s="181"/>
      <c r="D16" s="157"/>
    </row>
    <row r="17" spans="2:4" x14ac:dyDescent="0.35">
      <c r="B17" s="178" t="s">
        <v>236</v>
      </c>
      <c r="C17" s="178"/>
      <c r="D17" s="157"/>
    </row>
    <row r="18" spans="2:4" x14ac:dyDescent="0.35">
      <c r="B18" s="181" t="s">
        <v>237</v>
      </c>
      <c r="C18" s="181"/>
      <c r="D18" s="157"/>
    </row>
    <row r="19" spans="2:4" x14ac:dyDescent="0.35">
      <c r="B19" s="181" t="s">
        <v>238</v>
      </c>
      <c r="C19" s="181"/>
      <c r="D19" s="157"/>
    </row>
    <row r="20" spans="2:4" x14ac:dyDescent="0.35">
      <c r="B20" s="181" t="s">
        <v>239</v>
      </c>
      <c r="C20" s="181"/>
      <c r="D20" s="157"/>
    </row>
    <row r="21" spans="2:4" x14ac:dyDescent="0.35">
      <c r="B21" s="181" t="s">
        <v>240</v>
      </c>
      <c r="C21" s="181"/>
      <c r="D21" s="157" t="s">
        <v>241</v>
      </c>
    </row>
    <row r="22" spans="2:4" ht="70.5" customHeight="1" x14ac:dyDescent="0.35">
      <c r="B22" s="181" t="s">
        <v>242</v>
      </c>
      <c r="C22" s="181"/>
      <c r="D22" s="157" t="s">
        <v>243</v>
      </c>
    </row>
    <row r="23" spans="2:4" x14ac:dyDescent="0.35">
      <c r="B23" s="176"/>
      <c r="C23" s="176"/>
      <c r="D23" s="176"/>
    </row>
    <row r="24" spans="2:4" x14ac:dyDescent="0.35">
      <c r="B24" s="158" t="s">
        <v>245</v>
      </c>
      <c r="C24" s="159"/>
      <c r="D24" s="160"/>
    </row>
    <row r="25" spans="2:4" x14ac:dyDescent="0.35">
      <c r="B25" s="161" t="s">
        <v>246</v>
      </c>
      <c r="C25" s="162"/>
      <c r="D25" s="157"/>
    </row>
    <row r="26" spans="2:4" x14ac:dyDescent="0.35">
      <c r="B26" s="181" t="s">
        <v>247</v>
      </c>
      <c r="C26" s="181"/>
      <c r="D26" s="157"/>
    </row>
    <row r="27" spans="2:4" x14ac:dyDescent="0.35">
      <c r="B27" s="181" t="s">
        <v>248</v>
      </c>
      <c r="C27" s="181"/>
      <c r="D27" s="157"/>
    </row>
    <row r="28" spans="2:4" x14ac:dyDescent="0.35">
      <c r="B28" s="181" t="s">
        <v>249</v>
      </c>
      <c r="C28" s="181"/>
      <c r="D28" s="157"/>
    </row>
    <row r="29" spans="2:4" ht="66" customHeight="1" x14ac:dyDescent="0.35">
      <c r="B29" s="182" t="s">
        <v>250</v>
      </c>
      <c r="C29" s="182"/>
      <c r="D29" s="157"/>
    </row>
    <row r="30" spans="2:4" x14ac:dyDescent="0.35">
      <c r="B30" s="176"/>
      <c r="C30" s="176"/>
      <c r="D30" s="176"/>
    </row>
    <row r="31" spans="2:4" x14ac:dyDescent="0.35">
      <c r="B31" s="158" t="s">
        <v>251</v>
      </c>
      <c r="C31" s="159"/>
      <c r="D31" s="160"/>
    </row>
    <row r="32" spans="2:4" x14ac:dyDescent="0.35">
      <c r="B32" s="161" t="s">
        <v>252</v>
      </c>
      <c r="C32" s="162"/>
      <c r="D32" s="157"/>
    </row>
    <row r="33" spans="2:4" x14ac:dyDescent="0.35">
      <c r="B33" s="181" t="s">
        <v>253</v>
      </c>
      <c r="C33" s="181"/>
      <c r="D33" s="157"/>
    </row>
    <row r="34" spans="2:4" x14ac:dyDescent="0.35">
      <c r="B34" s="181" t="s">
        <v>254</v>
      </c>
      <c r="C34" s="181"/>
      <c r="D34" s="157"/>
    </row>
    <row r="35" spans="2:4" x14ac:dyDescent="0.35">
      <c r="B35" s="181" t="s">
        <v>249</v>
      </c>
      <c r="C35" s="181"/>
      <c r="D35" s="157"/>
    </row>
    <row r="36" spans="2:4" ht="63" customHeight="1" x14ac:dyDescent="0.35">
      <c r="B36" s="182" t="s">
        <v>255</v>
      </c>
      <c r="C36" s="182"/>
      <c r="D36" s="157"/>
    </row>
    <row r="37" spans="2:4" x14ac:dyDescent="0.35">
      <c r="B37" s="176"/>
      <c r="C37" s="176"/>
      <c r="D37" s="176"/>
    </row>
    <row r="38" spans="2:4" x14ac:dyDescent="0.35">
      <c r="B38" s="158" t="s">
        <v>256</v>
      </c>
      <c r="C38" s="159"/>
      <c r="D38" s="160"/>
    </row>
    <row r="39" spans="2:4" x14ac:dyDescent="0.35">
      <c r="B39" s="183"/>
      <c r="C39" s="183"/>
      <c r="D39" s="183"/>
    </row>
    <row r="40" spans="2:4" x14ac:dyDescent="0.35">
      <c r="B40" s="184" t="s">
        <v>261</v>
      </c>
      <c r="C40" s="184"/>
      <c r="D40" s="163"/>
    </row>
    <row r="41" spans="2:4" x14ac:dyDescent="0.35">
      <c r="B41" s="184" t="s">
        <v>257</v>
      </c>
      <c r="C41" s="184"/>
      <c r="D41" s="163"/>
    </row>
    <row r="42" spans="2:4" x14ac:dyDescent="0.35">
      <c r="B42" s="184" t="s">
        <v>258</v>
      </c>
      <c r="C42" s="184"/>
      <c r="D42" s="163"/>
    </row>
    <row r="43" spans="2:4" x14ac:dyDescent="0.35">
      <c r="B43" s="184" t="s">
        <v>259</v>
      </c>
      <c r="C43" s="184"/>
      <c r="D43" s="164"/>
    </row>
    <row r="44" spans="2:4" x14ac:dyDescent="0.35">
      <c r="B44" s="184" t="s">
        <v>260</v>
      </c>
      <c r="C44" s="184"/>
      <c r="D44" s="163"/>
    </row>
    <row r="45" spans="2:4" x14ac:dyDescent="0.35">
      <c r="B45" s="183"/>
      <c r="C45" s="183"/>
      <c r="D45" s="183"/>
    </row>
    <row r="46" spans="2:4" x14ac:dyDescent="0.35">
      <c r="B46" s="184" t="s">
        <v>261</v>
      </c>
      <c r="C46" s="184"/>
      <c r="D46" s="163"/>
    </row>
    <row r="47" spans="2:4" x14ac:dyDescent="0.35">
      <c r="B47" s="184" t="s">
        <v>257</v>
      </c>
      <c r="C47" s="184"/>
      <c r="D47" s="163"/>
    </row>
    <row r="48" spans="2:4" x14ac:dyDescent="0.35">
      <c r="B48" s="184" t="s">
        <v>258</v>
      </c>
      <c r="C48" s="184"/>
      <c r="D48" s="163"/>
    </row>
    <row r="49" spans="2:4" x14ac:dyDescent="0.35">
      <c r="B49" s="184" t="s">
        <v>259</v>
      </c>
      <c r="C49" s="184"/>
      <c r="D49" s="164"/>
    </row>
    <row r="50" spans="2:4" x14ac:dyDescent="0.35">
      <c r="B50" s="184" t="s">
        <v>260</v>
      </c>
      <c r="C50" s="184"/>
      <c r="D50" s="163"/>
    </row>
  </sheetData>
  <mergeCells count="37">
    <mergeCell ref="B49:C49"/>
    <mergeCell ref="B50:C50"/>
    <mergeCell ref="B44:C44"/>
    <mergeCell ref="B45:D45"/>
    <mergeCell ref="B46:C46"/>
    <mergeCell ref="B47:C47"/>
    <mergeCell ref="B48:C48"/>
    <mergeCell ref="B39:D39"/>
    <mergeCell ref="B40:C40"/>
    <mergeCell ref="B41:C41"/>
    <mergeCell ref="B42:C42"/>
    <mergeCell ref="B43:C43"/>
    <mergeCell ref="B33:C33"/>
    <mergeCell ref="B34:C34"/>
    <mergeCell ref="B35:C35"/>
    <mergeCell ref="B36:C36"/>
    <mergeCell ref="B37:D37"/>
    <mergeCell ref="B26:C26"/>
    <mergeCell ref="B27:C27"/>
    <mergeCell ref="B28:C28"/>
    <mergeCell ref="B29:C29"/>
    <mergeCell ref="B30:D30"/>
    <mergeCell ref="B19:C19"/>
    <mergeCell ref="B20:C20"/>
    <mergeCell ref="B21:C21"/>
    <mergeCell ref="B22:C22"/>
    <mergeCell ref="B23:D23"/>
    <mergeCell ref="B14:C14"/>
    <mergeCell ref="B15:D15"/>
    <mergeCell ref="B16:C16"/>
    <mergeCell ref="B17:C17"/>
    <mergeCell ref="B18:C18"/>
    <mergeCell ref="B2:D8"/>
    <mergeCell ref="B9:D9"/>
    <mergeCell ref="B11:C11"/>
    <mergeCell ref="B12:C12"/>
    <mergeCell ref="B13:C13"/>
  </mergeCells>
  <pageMargins left="0.7" right="0.7" top="0.75" bottom="0.75" header="0.51180555555555496" footer="0.51180555555555496"/>
  <pageSetup paperSize="9" firstPageNumber="0" orientation="portrait"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MK50"/>
  <sheetViews>
    <sheetView showGridLines="0" topLeftCell="B10" zoomScale="94" zoomScaleNormal="94" workbookViewId="0">
      <selection activeCell="I49" sqref="I49"/>
    </sheetView>
  </sheetViews>
  <sheetFormatPr defaultColWidth="8.875" defaultRowHeight="17.25" x14ac:dyDescent="0.3"/>
  <cols>
    <col min="1" max="1" width="1.875" style="87" customWidth="1"/>
    <col min="2" max="2" width="9.5" style="87" customWidth="1"/>
    <col min="3" max="3" width="61.125" style="87" bestFit="1" customWidth="1"/>
    <col min="4" max="4" width="8.625" style="87" customWidth="1"/>
    <col min="5" max="5" width="6.25" style="87" customWidth="1"/>
    <col min="6" max="7" width="8.625" style="87" customWidth="1"/>
    <col min="8" max="1025" width="8.875" style="87" customWidth="1"/>
    <col min="1026" max="16384" width="8.875" style="85"/>
  </cols>
  <sheetData>
    <row r="2" spans="2:24" ht="18" x14ac:dyDescent="0.35">
      <c r="B2" s="167"/>
      <c r="C2" s="168" t="s">
        <v>293</v>
      </c>
      <c r="D2" s="89"/>
      <c r="E2" s="89"/>
      <c r="F2" s="89"/>
    </row>
    <row r="3" spans="2:24" ht="18" x14ac:dyDescent="0.35">
      <c r="B3" s="89"/>
      <c r="C3" s="89"/>
      <c r="D3" s="89"/>
      <c r="E3" s="89"/>
      <c r="F3" s="89"/>
    </row>
    <row r="4" spans="2:24" ht="18" x14ac:dyDescent="0.35">
      <c r="B4" s="186"/>
      <c r="C4" s="186"/>
      <c r="D4" s="186"/>
      <c r="E4" s="186"/>
      <c r="F4" s="186"/>
    </row>
    <row r="5" spans="2:24" ht="15.95" customHeight="1" x14ac:dyDescent="0.3">
      <c r="B5" s="169"/>
      <c r="C5" s="169"/>
      <c r="D5" s="169"/>
      <c r="E5" s="169"/>
      <c r="F5" s="169"/>
    </row>
    <row r="6" spans="2:24" ht="18.95" customHeight="1" x14ac:dyDescent="0.35">
      <c r="B6" s="170"/>
      <c r="C6" s="170"/>
      <c r="D6" s="170"/>
      <c r="E6" s="170"/>
      <c r="F6" s="170"/>
      <c r="G6" s="187" t="s">
        <v>262</v>
      </c>
      <c r="H6" s="187"/>
      <c r="I6" s="187"/>
      <c r="V6" s="187" t="s">
        <v>262</v>
      </c>
      <c r="W6" s="187"/>
      <c r="X6" s="187"/>
    </row>
    <row r="7" spans="2:24" ht="18" x14ac:dyDescent="0.35">
      <c r="B7" s="171"/>
      <c r="C7" s="171"/>
      <c r="D7" s="171"/>
      <c r="E7" s="171"/>
      <c r="F7" s="171"/>
    </row>
    <row r="8" spans="2:24" ht="15.95" customHeight="1" x14ac:dyDescent="0.3">
      <c r="B8" s="169"/>
      <c r="C8" s="169"/>
      <c r="D8" s="169"/>
      <c r="E8" s="169"/>
      <c r="F8" s="169"/>
      <c r="G8" s="188">
        <f>AVERAGE(G43:G50)*5</f>
        <v>0.625</v>
      </c>
      <c r="H8" s="188"/>
      <c r="I8" s="188"/>
      <c r="V8" s="188">
        <f>AVERAGE(K43:K50)*5</f>
        <v>0.625</v>
      </c>
      <c r="W8" s="188"/>
      <c r="X8" s="188"/>
    </row>
    <row r="9" spans="2:24" ht="90.95" customHeight="1" x14ac:dyDescent="0.35">
      <c r="B9" s="170"/>
      <c r="C9" s="170"/>
      <c r="D9" s="170"/>
      <c r="E9" s="170"/>
      <c r="F9" s="170"/>
      <c r="G9" s="188"/>
      <c r="H9" s="188"/>
      <c r="I9" s="188"/>
      <c r="V9" s="188"/>
      <c r="W9" s="188"/>
      <c r="X9" s="188"/>
    </row>
    <row r="10" spans="2:24" ht="16.5" customHeight="1" x14ac:dyDescent="0.35">
      <c r="B10" s="171"/>
      <c r="C10" s="171"/>
      <c r="D10" s="171"/>
      <c r="E10" s="171"/>
      <c r="F10" s="171"/>
      <c r="G10" s="188"/>
      <c r="H10" s="188"/>
      <c r="I10" s="188"/>
      <c r="V10" s="188"/>
      <c r="W10" s="188"/>
      <c r="X10" s="188"/>
    </row>
    <row r="11" spans="2:24" ht="17.25" customHeight="1" x14ac:dyDescent="0.35">
      <c r="B11" s="171"/>
      <c r="C11" s="171"/>
      <c r="D11" s="171"/>
      <c r="E11" s="171"/>
      <c r="F11" s="171"/>
      <c r="G11" s="188"/>
      <c r="H11" s="188"/>
      <c r="I11" s="188"/>
      <c r="V11" s="188"/>
      <c r="W11" s="188"/>
      <c r="X11" s="188"/>
    </row>
    <row r="12" spans="2:24" ht="15.95" customHeight="1" x14ac:dyDescent="0.3">
      <c r="B12" s="189"/>
      <c r="C12" s="189"/>
      <c r="D12" s="189"/>
      <c r="E12" s="189"/>
      <c r="F12" s="189"/>
    </row>
    <row r="13" spans="2:24" x14ac:dyDescent="0.3">
      <c r="B13" s="172"/>
      <c r="C13" s="172"/>
      <c r="D13" s="172"/>
      <c r="E13" s="172"/>
      <c r="F13" s="172"/>
    </row>
    <row r="14" spans="2:24" x14ac:dyDescent="0.3">
      <c r="B14" s="173"/>
      <c r="C14" s="173"/>
      <c r="D14" s="173"/>
      <c r="E14" s="173"/>
      <c r="F14" s="174"/>
    </row>
    <row r="15" spans="2:24" ht="18" x14ac:dyDescent="0.35">
      <c r="B15" s="171"/>
      <c r="C15" s="171"/>
      <c r="D15" s="171"/>
      <c r="E15" s="171"/>
      <c r="F15" s="171"/>
    </row>
    <row r="16" spans="2:24" ht="15.95" customHeight="1" x14ac:dyDescent="0.3">
      <c r="B16" s="189"/>
      <c r="C16" s="189"/>
      <c r="D16" s="189"/>
      <c r="E16" s="189"/>
      <c r="F16" s="189"/>
    </row>
    <row r="17" spans="2:6" x14ac:dyDescent="0.3">
      <c r="B17" s="172"/>
      <c r="C17" s="172"/>
      <c r="D17" s="172"/>
      <c r="E17" s="172"/>
      <c r="F17" s="172"/>
    </row>
    <row r="18" spans="2:6" x14ac:dyDescent="0.3">
      <c r="B18" s="173"/>
      <c r="C18" s="173"/>
      <c r="D18" s="173"/>
      <c r="E18" s="173"/>
      <c r="F18" s="174"/>
    </row>
    <row r="20" spans="2:6" x14ac:dyDescent="0.3">
      <c r="B20" s="87" t="s">
        <v>3</v>
      </c>
    </row>
    <row r="23" spans="2:6" x14ac:dyDescent="0.3">
      <c r="C23" s="86"/>
    </row>
    <row r="24" spans="2:6" x14ac:dyDescent="0.3">
      <c r="C24" s="86"/>
    </row>
    <row r="25" spans="2:6" x14ac:dyDescent="0.3">
      <c r="C25" s="86"/>
    </row>
    <row r="26" spans="2:6" x14ac:dyDescent="0.3">
      <c r="C26" s="86"/>
    </row>
    <row r="27" spans="2:6" x14ac:dyDescent="0.3">
      <c r="C27" s="86"/>
    </row>
    <row r="28" spans="2:6" x14ac:dyDescent="0.3">
      <c r="C28" s="86"/>
    </row>
    <row r="29" spans="2:6" x14ac:dyDescent="0.3">
      <c r="C29" s="86"/>
    </row>
    <row r="30" spans="2:6" x14ac:dyDescent="0.3">
      <c r="C30" s="86"/>
    </row>
    <row r="31" spans="2:6" x14ac:dyDescent="0.3">
      <c r="C31" s="86"/>
    </row>
    <row r="32" spans="2:6" x14ac:dyDescent="0.3">
      <c r="C32" s="86"/>
    </row>
    <row r="35" spans="3:11" ht="15.75" customHeight="1" x14ac:dyDescent="0.3"/>
    <row r="41" spans="3:11" ht="18" x14ac:dyDescent="0.35">
      <c r="C41" s="89"/>
      <c r="D41" s="185" t="s">
        <v>4</v>
      </c>
      <c r="E41" s="185"/>
      <c r="F41" s="185"/>
      <c r="G41" s="185"/>
      <c r="H41" s="185" t="s">
        <v>5</v>
      </c>
      <c r="I41" s="185"/>
      <c r="J41" s="185"/>
      <c r="K41" s="185"/>
    </row>
    <row r="42" spans="3:11" ht="18" x14ac:dyDescent="0.35">
      <c r="C42" s="89"/>
      <c r="D42" s="148" t="s">
        <v>313</v>
      </c>
      <c r="E42" s="148" t="s">
        <v>314</v>
      </c>
      <c r="F42" s="148" t="s">
        <v>6</v>
      </c>
      <c r="G42" s="148" t="s">
        <v>7</v>
      </c>
      <c r="H42" s="148" t="s">
        <v>313</v>
      </c>
      <c r="I42" s="148" t="s">
        <v>314</v>
      </c>
      <c r="J42" s="148" t="s">
        <v>6</v>
      </c>
      <c r="K42" s="148" t="s">
        <v>7</v>
      </c>
    </row>
    <row r="43" spans="3:11" ht="18" x14ac:dyDescent="0.35">
      <c r="C43" s="149" t="s">
        <v>294</v>
      </c>
      <c r="D43" s="150">
        <f>COUNTIFS('SR - Android'!G5:G16,'SR - Android'!B88)</f>
        <v>1</v>
      </c>
      <c r="E43" s="150">
        <f>COUNTIFS('SR - Android'!G5:G16,'SR - Android'!B89)</f>
        <v>0</v>
      </c>
      <c r="F43" s="151">
        <f>COUNTIFS('SR - Android'!G5:G16,'SR - Android'!B90)</f>
        <v>11</v>
      </c>
      <c r="G43" s="152">
        <f t="shared" ref="G43:G50" si="0">IF(D43+E43=0, 0, D43/(E43+D43))</f>
        <v>1</v>
      </c>
      <c r="H43" s="150">
        <f>COUNTIFS('SR - iOS'!G5:G16,'SR - Android'!B88)</f>
        <v>1</v>
      </c>
      <c r="I43" s="150">
        <f>COUNTIFS('SR - iOS'!G5:G16,'SR - Android'!B89)</f>
        <v>0</v>
      </c>
      <c r="J43" s="151">
        <f>COUNTIFS('SR - iOS'!G5:G16,'SR - Android'!B90)</f>
        <v>8</v>
      </c>
      <c r="K43" s="152">
        <f t="shared" ref="K43:K50" si="1">IF(H43+I43=0, 0, H43/(H43+I43))</f>
        <v>1</v>
      </c>
    </row>
    <row r="44" spans="3:11" ht="18" x14ac:dyDescent="0.35">
      <c r="C44" s="149" t="s">
        <v>295</v>
      </c>
      <c r="D44" s="150">
        <f>COUNTIFS('SR - Android'!G18:G32,'SR - Android'!B88)</f>
        <v>0</v>
      </c>
      <c r="E44" s="150">
        <f>COUNTIFS('SR - Android'!G18:G32,'SR - Android'!B89)</f>
        <v>0</v>
      </c>
      <c r="F44" s="150">
        <f>COUNTIFS('SR - Android'!G18:G32,'SR - Android'!B90)</f>
        <v>5</v>
      </c>
      <c r="G44" s="152">
        <f t="shared" si="0"/>
        <v>0</v>
      </c>
      <c r="H44" s="150">
        <f>COUNTIFS('SR - iOS'!G18:G32,'SR - Android'!B88)</f>
        <v>0</v>
      </c>
      <c r="I44" s="150">
        <f>COUNTIFS('SR - iOS'!G18:G32,'SR - Android'!B89)</f>
        <v>0</v>
      </c>
      <c r="J44" s="150">
        <f>COUNTIFS('SR - iOS'!G18:G32,'SR - Android'!B90)</f>
        <v>5</v>
      </c>
      <c r="K44" s="152">
        <f t="shared" si="1"/>
        <v>0</v>
      </c>
    </row>
    <row r="45" spans="3:11" ht="18" x14ac:dyDescent="0.35">
      <c r="C45" s="149" t="s">
        <v>296</v>
      </c>
      <c r="D45" s="150">
        <f>COUNTIFS('SR - Android'!G34:G39,'SR - Android'!B88)</f>
        <v>0</v>
      </c>
      <c r="E45" s="150">
        <f>COUNTIFS('SR - Android'!G34:G39,'SR - Android'!B89)</f>
        <v>0</v>
      </c>
      <c r="F45" s="150">
        <f>COUNTIFS('SR - Android'!G34:G39,'SR - Android'!B90)</f>
        <v>0</v>
      </c>
      <c r="G45" s="152">
        <f t="shared" si="0"/>
        <v>0</v>
      </c>
      <c r="H45" s="150">
        <f>COUNTIFS('SR - iOS'!G34:G39,'SR - Android'!B88)</f>
        <v>0</v>
      </c>
      <c r="I45" s="150">
        <f>COUNTIFS('SR - iOS'!G34:G39,'SR - Android'!B89)</f>
        <v>0</v>
      </c>
      <c r="J45" s="150">
        <f>COUNTIFS('SR - iOS'!G34:G39,'SR - Android'!B90)</f>
        <v>0</v>
      </c>
      <c r="K45" s="152">
        <f t="shared" si="1"/>
        <v>0</v>
      </c>
    </row>
    <row r="46" spans="3:11" ht="18" x14ac:dyDescent="0.35">
      <c r="C46" s="149" t="s">
        <v>297</v>
      </c>
      <c r="D46" s="150">
        <f>COUNTIFS('SR - Android'!G41:G52,'SR - Android'!B88)</f>
        <v>0</v>
      </c>
      <c r="E46" s="150">
        <f>COUNTIFS('SR - Android'!G41:G52,'SR - Android'!B89)</f>
        <v>0</v>
      </c>
      <c r="F46" s="150">
        <f>COUNTIFS('SR - Android'!G41:G52,'SR - Android'!B90)</f>
        <v>4</v>
      </c>
      <c r="G46" s="152">
        <f t="shared" si="0"/>
        <v>0</v>
      </c>
      <c r="H46" s="150">
        <f>COUNTIFS('SR - iOS'!G41:G52,'SR - Android'!B88)</f>
        <v>0</v>
      </c>
      <c r="I46" s="150">
        <f>COUNTIFS('SR - iOS'!G41:G52,'SR - Android'!B89)</f>
        <v>0</v>
      </c>
      <c r="J46" s="150">
        <f>COUNTIFS('SR - iOS'!G41:G52,'SR - Android'!B90)</f>
        <v>4</v>
      </c>
      <c r="K46" s="152">
        <f t="shared" si="1"/>
        <v>0</v>
      </c>
    </row>
    <row r="47" spans="3:11" ht="18" x14ac:dyDescent="0.35">
      <c r="C47" s="149" t="s">
        <v>298</v>
      </c>
      <c r="D47" s="150">
        <f>COUNTIFS('SR - Android'!G54:G59,'SR - Android'!B88)</f>
        <v>0</v>
      </c>
      <c r="E47" s="150">
        <f>COUNTIFS('SR - Android'!G54:G59,'SR - Android'!B89)</f>
        <v>0</v>
      </c>
      <c r="F47" s="150">
        <f>COUNTIFS('SR - Android'!G54:G59,'SR - Android'!B90)</f>
        <v>3</v>
      </c>
      <c r="G47" s="152">
        <f t="shared" si="0"/>
        <v>0</v>
      </c>
      <c r="H47" s="150">
        <f>COUNTIFS('SR - iOS'!G54:G59,'SR - Android'!B88)</f>
        <v>0</v>
      </c>
      <c r="I47" s="150">
        <f>COUNTIFS('SR - iOS'!G54:G59,'SR - Android'!B89)</f>
        <v>0</v>
      </c>
      <c r="J47" s="150">
        <f>COUNTIFS('SR - iOS'!G54:G59,'SR - Android'!B90)</f>
        <v>3</v>
      </c>
      <c r="K47" s="152">
        <f t="shared" si="1"/>
        <v>0</v>
      </c>
    </row>
    <row r="48" spans="3:11" ht="18" x14ac:dyDescent="0.35">
      <c r="C48" s="149" t="s">
        <v>299</v>
      </c>
      <c r="D48" s="150">
        <f>COUNTIFS('SR - Android'!G61:G71,'SR - Android'!B88)</f>
        <v>0</v>
      </c>
      <c r="E48" s="150">
        <f>COUNTIFS('SR - Android'!G61:G71,'SR - Android'!B89)</f>
        <v>0</v>
      </c>
      <c r="F48" s="150">
        <f>COUNTIFS('SR - Android'!G61:G71,'SR - Android'!B90)</f>
        <v>0</v>
      </c>
      <c r="G48" s="152">
        <f t="shared" si="0"/>
        <v>0</v>
      </c>
      <c r="H48" s="150">
        <f>COUNTIFS('SR - iOS'!G61:G68,'SR - Android'!B88)</f>
        <v>0</v>
      </c>
      <c r="I48" s="150">
        <f>COUNTIFS('SR - iOS'!G61:G68,'SR - Android'!B89)</f>
        <v>0</v>
      </c>
      <c r="J48" s="150">
        <f>COUNTIFS('SR - iOS'!G61:G68,'SR - Android'!B90)</f>
        <v>0</v>
      </c>
      <c r="K48" s="152">
        <f t="shared" si="1"/>
        <v>0</v>
      </c>
    </row>
    <row r="49" spans="3:11" ht="18" x14ac:dyDescent="0.35">
      <c r="C49" s="149" t="s">
        <v>300</v>
      </c>
      <c r="D49" s="150">
        <f>COUNTIFS('SR - Android'!G73:G81,'SR - Android'!B88)</f>
        <v>0</v>
      </c>
      <c r="E49" s="150">
        <f>COUNTIFS('SR - Android'!G73:G81,'SR - Android'!B89)</f>
        <v>0</v>
      </c>
      <c r="F49" s="150">
        <f>COUNTIFS('SR - Android'!G73:G81,'SR - Android'!B90)</f>
        <v>0</v>
      </c>
      <c r="G49" s="152">
        <f t="shared" si="0"/>
        <v>0</v>
      </c>
      <c r="H49" s="150">
        <f>COUNTIFS('SR - iOS'!G70:G78,'SR - Android'!B88)</f>
        <v>0</v>
      </c>
      <c r="I49" s="150">
        <f>COUNTIFS('SR - iOS'!G70:G78,'SR - Android'!B89)</f>
        <v>0</v>
      </c>
      <c r="J49" s="150">
        <f>COUNTIFS('SR - iOS'!G70:G78,'SR - Android'!B90)</f>
        <v>0</v>
      </c>
      <c r="K49" s="152">
        <f t="shared" si="1"/>
        <v>0</v>
      </c>
    </row>
    <row r="50" spans="3:11" ht="18" x14ac:dyDescent="0.35">
      <c r="C50" s="149" t="s">
        <v>301</v>
      </c>
      <c r="D50" s="150">
        <f>COUNTIFS('RE - Android'!F4:F20,'SR - Android'!B88)</f>
        <v>0</v>
      </c>
      <c r="E50" s="150">
        <f>COUNTIFS('RE - Android'!F4:F20,'SR - Android'!B89)</f>
        <v>0</v>
      </c>
      <c r="F50" s="150">
        <f>COUNTIFS('RE - Android'!F4:F20,'SR - Android'!B90)</f>
        <v>13</v>
      </c>
      <c r="G50" s="152">
        <f t="shared" si="0"/>
        <v>0</v>
      </c>
      <c r="H50" s="150">
        <f>COUNTIFS('RE - iOS'!F4:F18,'SR - Android'!B88)</f>
        <v>0</v>
      </c>
      <c r="I50" s="150">
        <f>COUNTIFS('RE - iOS'!F4:F18,'SR - Android'!B89)</f>
        <v>0</v>
      </c>
      <c r="J50" s="150">
        <f>COUNTIFS('RE - iOS'!F4:F18,'SR - Android'!B90)</f>
        <v>12</v>
      </c>
      <c r="K50" s="152">
        <f t="shared" si="1"/>
        <v>0</v>
      </c>
    </row>
  </sheetData>
  <mergeCells count="9">
    <mergeCell ref="D41:G41"/>
    <mergeCell ref="H41:K41"/>
    <mergeCell ref="B4:F4"/>
    <mergeCell ref="G6:I6"/>
    <mergeCell ref="V6:X6"/>
    <mergeCell ref="G8:I11"/>
    <mergeCell ref="V8:X11"/>
    <mergeCell ref="B12:F12"/>
    <mergeCell ref="B16:F16"/>
  </mergeCells>
  <conditionalFormatting sqref="F14">
    <cfRule type="iconSet" priority="2">
      <iconSet>
        <cfvo type="percent" val="0"/>
        <cfvo type="num" val="0.4"/>
        <cfvo type="num" val="0.8"/>
      </iconSet>
    </cfRule>
  </conditionalFormatting>
  <conditionalFormatting sqref="F14">
    <cfRule type="expression" dxfId="13" priority="3">
      <formula>MOD(ROW(),2)=1</formula>
    </cfRule>
  </conditionalFormatting>
  <conditionalFormatting sqref="F18">
    <cfRule type="iconSet" priority="4">
      <iconSet>
        <cfvo type="percent" val="0"/>
        <cfvo type="num" val="0.4"/>
        <cfvo type="num" val="0.8"/>
      </iconSet>
    </cfRule>
  </conditionalFormatting>
  <conditionalFormatting sqref="F18">
    <cfRule type="expression" dxfId="12" priority="5">
      <formula>MOD(ROW(),2)=1</formula>
    </cfRule>
  </conditionalFormatting>
  <pageMargins left="0.7" right="0.7" top="0.75" bottom="0.75" header="0.51180555555555496" footer="0.51180555555555496"/>
  <pageSetup paperSize="9" firstPageNumber="0"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L90"/>
  <sheetViews>
    <sheetView zoomScaleNormal="100" workbookViewId="0">
      <selection activeCell="E69" sqref="E69"/>
    </sheetView>
  </sheetViews>
  <sheetFormatPr defaultColWidth="8.875" defaultRowHeight="16.5" x14ac:dyDescent="0.35"/>
  <cols>
    <col min="1" max="1" width="1.875" style="88" customWidth="1"/>
    <col min="2" max="2" width="8" style="90" customWidth="1"/>
    <col min="3" max="3" width="20.625" style="90" customWidth="1"/>
    <col min="4" max="4" width="97.375" style="91" customWidth="1"/>
    <col min="5" max="6" width="6.625" style="88" customWidth="1"/>
    <col min="7" max="7" width="5.875" style="88" customWidth="1"/>
    <col min="8" max="8" width="35.375" style="89" customWidth="1"/>
    <col min="9" max="10" width="29.5" style="89" customWidth="1"/>
    <col min="11" max="11" width="28.75" style="89" customWidth="1"/>
    <col min="12" max="12" width="30.875" style="91" customWidth="1"/>
    <col min="13" max="13" width="11" style="88" customWidth="1"/>
    <col min="14" max="15" width="10.875" style="88" customWidth="1"/>
    <col min="16" max="1026" width="11" style="88" customWidth="1"/>
    <col min="1027" max="16384" width="8.875" style="89"/>
  </cols>
  <sheetData>
    <row r="1" spans="2:12" x14ac:dyDescent="0.35">
      <c r="B1" s="190" t="s">
        <v>292</v>
      </c>
      <c r="C1" s="190"/>
      <c r="D1" s="190"/>
      <c r="E1" s="190"/>
      <c r="F1" s="190"/>
      <c r="G1" s="190"/>
      <c r="H1" s="190"/>
      <c r="I1" s="190"/>
      <c r="J1" s="190"/>
      <c r="K1" s="190"/>
      <c r="L1" s="190"/>
    </row>
    <row r="3" spans="2:12" ht="15.6" customHeight="1" x14ac:dyDescent="0.35">
      <c r="B3" s="92" t="s">
        <v>8</v>
      </c>
      <c r="C3" s="93" t="s">
        <v>9</v>
      </c>
      <c r="D3" s="94" t="s">
        <v>357</v>
      </c>
      <c r="E3" s="95" t="s">
        <v>302</v>
      </c>
      <c r="F3" s="95" t="s">
        <v>303</v>
      </c>
      <c r="G3" s="95" t="s">
        <v>304</v>
      </c>
      <c r="H3" s="191" t="s">
        <v>310</v>
      </c>
      <c r="I3" s="191"/>
      <c r="J3" s="191"/>
      <c r="K3" s="96" t="s">
        <v>311</v>
      </c>
      <c r="L3" s="97" t="s">
        <v>312</v>
      </c>
    </row>
    <row r="4" spans="2:12" ht="33" x14ac:dyDescent="0.35">
      <c r="B4" s="98" t="s">
        <v>15</v>
      </c>
      <c r="C4" s="99"/>
      <c r="D4" s="100" t="s">
        <v>356</v>
      </c>
      <c r="E4" s="101"/>
      <c r="F4" s="101"/>
      <c r="G4" s="101"/>
      <c r="H4" s="100"/>
      <c r="I4" s="100"/>
      <c r="J4" s="100"/>
      <c r="K4" s="102"/>
      <c r="L4" s="103"/>
    </row>
    <row r="5" spans="2:12" ht="45" customHeight="1" x14ac:dyDescent="0.35">
      <c r="B5" s="104" t="s">
        <v>16</v>
      </c>
      <c r="C5" s="105" t="s">
        <v>17</v>
      </c>
      <c r="D5" s="106" t="s">
        <v>321</v>
      </c>
      <c r="E5" s="107" t="s">
        <v>18</v>
      </c>
      <c r="F5" s="108" t="s">
        <v>18</v>
      </c>
      <c r="G5" s="109" t="s">
        <v>149</v>
      </c>
      <c r="H5" s="110" t="str">
        <f>HYPERLINK(CONCATENATE( BASE_URL, "0x04b-Mobile-App-Security-Testing.md#architectural-information"), "架构信息")</f>
        <v>架构信息</v>
      </c>
      <c r="I5" s="110" t="str">
        <f>HYPERLINK(CONCATENATE( BASE_URL, "0x05h-Testing-Platform-Interaction.md#testing-for-insecure-configuration-of-instant-apps-mstg-arch-1-mstg-arch-7"), "测试即时应用程序的不安全配置 (MSTG-ARCH-1, MSTG-ARCH-7)")</f>
        <v>测试即时应用程序的不安全配置 (MSTG-ARCH-1, MSTG-ARCH-7)</v>
      </c>
      <c r="J5" s="110"/>
      <c r="K5" s="111"/>
      <c r="L5" s="112"/>
    </row>
    <row r="6" spans="2:12" ht="45" customHeight="1" x14ac:dyDescent="0.35">
      <c r="B6" s="104" t="s">
        <v>19</v>
      </c>
      <c r="C6" s="105" t="s">
        <v>20</v>
      </c>
      <c r="D6" s="106" t="s">
        <v>322</v>
      </c>
      <c r="E6" s="107" t="s">
        <v>18</v>
      </c>
      <c r="F6" s="108" t="s">
        <v>18</v>
      </c>
      <c r="G6" s="109" t="s">
        <v>27</v>
      </c>
      <c r="H6" s="114" t="str">
        <f>HYPERLINK(CONCATENATE( BASE_URL, "0x04h-Testing-Code-Quality.md#injection-flaws-mstg-arch-2-and-mstg-platform-2"), "注入缺陷")</f>
        <v>注入缺陷</v>
      </c>
      <c r="I6" s="110" t="str">
        <f>HYPERLINK(CONCATENATE(BASE_URL,"0x04e-Testing-Authentication-and-Session-Management.md#verifying-that-appropriate-authentication-is-in-place-mstg-arch-2-and-mstg-auth-1"),"验证适当的身份验证是否到位 (MSTG-ARCH-2 and MSTG-AUTH-1)")</f>
        <v>验证适当的身份验证是否到位 (MSTG-ARCH-2 and MSTG-AUTH-1)</v>
      </c>
      <c r="J6" s="110"/>
      <c r="K6" s="111"/>
      <c r="L6" s="112"/>
    </row>
    <row r="7" spans="2:12" ht="45" customHeight="1" x14ac:dyDescent="0.35">
      <c r="B7" s="104" t="s">
        <v>21</v>
      </c>
      <c r="C7" s="105" t="s">
        <v>22</v>
      </c>
      <c r="D7" s="106" t="s">
        <v>323</v>
      </c>
      <c r="E7" s="107" t="s">
        <v>18</v>
      </c>
      <c r="F7" s="108" t="s">
        <v>18</v>
      </c>
      <c r="G7" s="109" t="s">
        <v>27</v>
      </c>
      <c r="H7" s="110" t="str">
        <f>HYPERLINK(CONCATENATE( BASE_URL, "0x04b-Mobile-App-Security-Testing.md#architectural-information"), "架构信息")</f>
        <v>架构信息</v>
      </c>
      <c r="I7" s="110"/>
      <c r="J7" s="110"/>
      <c r="K7" s="111"/>
      <c r="L7" s="112"/>
    </row>
    <row r="8" spans="2:12" ht="45" customHeight="1" x14ac:dyDescent="0.35">
      <c r="B8" s="104" t="s">
        <v>23</v>
      </c>
      <c r="C8" s="105" t="s">
        <v>24</v>
      </c>
      <c r="D8" s="106" t="s">
        <v>324</v>
      </c>
      <c r="E8" s="107" t="s">
        <v>18</v>
      </c>
      <c r="F8" s="108" t="s">
        <v>18</v>
      </c>
      <c r="G8" s="109" t="s">
        <v>27</v>
      </c>
      <c r="H8" s="110" t="str">
        <f>HYPERLINK(CONCATENATE( BASE_URL, "0x04b-Mobile-App-Security-Testing.md#identifying-sensitive-data"), "识别敏感信息")</f>
        <v>识别敏感信息</v>
      </c>
      <c r="I8" s="110"/>
      <c r="J8" s="110"/>
      <c r="K8" s="111"/>
      <c r="L8" s="112"/>
    </row>
    <row r="9" spans="2:12" ht="45" customHeight="1" x14ac:dyDescent="0.35">
      <c r="B9" s="104" t="s">
        <v>25</v>
      </c>
      <c r="C9" s="105" t="s">
        <v>26</v>
      </c>
      <c r="D9" s="106" t="s">
        <v>325</v>
      </c>
      <c r="E9" s="113"/>
      <c r="F9" s="108" t="s">
        <v>18</v>
      </c>
      <c r="G9" s="109" t="s">
        <v>27</v>
      </c>
      <c r="H9" s="110" t="str">
        <f>HYPERLINK(CONCATENATE( BASE_URL, "0x04b-Mobile-App-Security-Testing.md#environmental-information"), "运行环境信息")</f>
        <v>运行环境信息</v>
      </c>
      <c r="I9" s="110"/>
      <c r="J9" s="110"/>
      <c r="K9" s="111"/>
      <c r="L9" s="112"/>
    </row>
    <row r="10" spans="2:12" ht="45" customHeight="1" x14ac:dyDescent="0.35">
      <c r="B10" s="104" t="s">
        <v>28</v>
      </c>
      <c r="C10" s="105" t="s">
        <v>29</v>
      </c>
      <c r="D10" s="106" t="s">
        <v>326</v>
      </c>
      <c r="E10" s="113"/>
      <c r="F10" s="108" t="s">
        <v>18</v>
      </c>
      <c r="G10" s="109" t="s">
        <v>27</v>
      </c>
      <c r="H10" s="110" t="str">
        <f>HYPERLINK(CONCATENATE( BASE_URL, "0x04b-Mobile-App-Security-Testing.md#mapping-the-application"), "应用关联")</f>
        <v>应用关联</v>
      </c>
      <c r="I10" s="110"/>
      <c r="J10" s="110"/>
      <c r="K10" s="111"/>
      <c r="L10" s="112"/>
    </row>
    <row r="11" spans="2:12" ht="45" customHeight="1" x14ac:dyDescent="0.35">
      <c r="B11" s="104" t="s">
        <v>30</v>
      </c>
      <c r="C11" s="105" t="s">
        <v>31</v>
      </c>
      <c r="D11" s="106" t="s">
        <v>327</v>
      </c>
      <c r="E11" s="113"/>
      <c r="F11" s="108" t="s">
        <v>18</v>
      </c>
      <c r="G11" s="109" t="s">
        <v>27</v>
      </c>
      <c r="H11" s="114" t="str">
        <f>HYPERLINK(CONCATENATE(BASE_URL,"0x05h-Testing-Platform-Interaction.md#testing-for-insecure-configuration-of-instant-apps-mstg-arch-1-mstg-arch-7"),"测试即时应用程序的不安全配置")</f>
        <v>测试即时应用程序的不安全配置</v>
      </c>
      <c r="I11" s="110" t="str">
        <f>HYPERLINK(CONCATENATE( BASE_URL, "0x04b-Mobile-App-Security-Testing.md#principles-of-testing"), "测试原则")</f>
        <v>测试原则</v>
      </c>
      <c r="J11" s="114" t="str">
        <f>HYPERLINK(CONCATENATE( BASE_URL, "0x04b-Mobile-App-Security-Testing.md#penetration-testing-aka-pentesting"), "渗透测试 (a.k.a. Pentesting)")</f>
        <v>渗透测试 (a.k.a. Pentesting)</v>
      </c>
      <c r="K11" s="111"/>
      <c r="L11" s="112"/>
    </row>
    <row r="12" spans="2:12" ht="45" customHeight="1" x14ac:dyDescent="0.35">
      <c r="B12" s="104" t="s">
        <v>32</v>
      </c>
      <c r="C12" s="105" t="s">
        <v>33</v>
      </c>
      <c r="D12" s="106" t="s">
        <v>328</v>
      </c>
      <c r="E12" s="113"/>
      <c r="F12" s="108" t="s">
        <v>18</v>
      </c>
      <c r="G12" s="109" t="s">
        <v>27</v>
      </c>
      <c r="H12" s="110" t="str">
        <f>HYPERLINK(CONCATENATE( BASE_URL, "0x04g-Testing-Cryptography.md#cryptographic-policy"), "加密策略")</f>
        <v>加密策略</v>
      </c>
      <c r="I12" s="110"/>
      <c r="J12" s="110"/>
      <c r="K12" s="111"/>
      <c r="L12" s="112"/>
    </row>
    <row r="13" spans="2:12" ht="45" customHeight="1" x14ac:dyDescent="0.35">
      <c r="B13" s="104" t="s">
        <v>34</v>
      </c>
      <c r="C13" s="105" t="s">
        <v>35</v>
      </c>
      <c r="D13" s="106" t="s">
        <v>329</v>
      </c>
      <c r="E13" s="113"/>
      <c r="F13" s="108" t="s">
        <v>18</v>
      </c>
      <c r="G13" s="109" t="s">
        <v>27</v>
      </c>
      <c r="H13" s="110" t="str">
        <f>HYPERLINK(CONCATENATE( BASE_URL, "0x05h-Testing-Platform-Interaction.md#testing-enforced-updating-mstg-arch-9"), "强制更新测试 (MSTG-ARCH-9)")</f>
        <v>强制更新测试 (MSTG-ARCH-9)</v>
      </c>
      <c r="I13" s="110"/>
      <c r="J13" s="110"/>
      <c r="K13" s="111"/>
      <c r="L13" s="112"/>
    </row>
    <row r="14" spans="2:12" ht="45" customHeight="1" x14ac:dyDescent="0.35">
      <c r="B14" s="104" t="s">
        <v>36</v>
      </c>
      <c r="C14" s="105" t="s">
        <v>37</v>
      </c>
      <c r="D14" s="106" t="s">
        <v>330</v>
      </c>
      <c r="E14" s="113"/>
      <c r="F14" s="108" t="s">
        <v>18</v>
      </c>
      <c r="G14" s="109" t="s">
        <v>27</v>
      </c>
      <c r="H14" s="110" t="str">
        <f>HYPERLINK(CONCATENATE( BASE_URL, "0x04b-Mobile-App-Security-Testing.md#security-testing-and-the-sdlc"), "安全测试 和 软件开发生命周期")</f>
        <v>安全测试 和 软件开发生命周期</v>
      </c>
      <c r="I14" s="110"/>
      <c r="J14" s="110"/>
      <c r="K14" s="111"/>
      <c r="L14" s="112"/>
    </row>
    <row r="15" spans="2:12" ht="45" customHeight="1" x14ac:dyDescent="0.35">
      <c r="B15" s="104" t="s">
        <v>305</v>
      </c>
      <c r="C15" s="105" t="s">
        <v>307</v>
      </c>
      <c r="D15" s="106" t="s">
        <v>331</v>
      </c>
      <c r="E15" s="113"/>
      <c r="F15" s="108" t="s">
        <v>18</v>
      </c>
      <c r="G15" s="109" t="s">
        <v>27</v>
      </c>
      <c r="H15" s="110"/>
      <c r="I15" s="110"/>
      <c r="J15" s="110"/>
      <c r="K15" s="111"/>
      <c r="L15" s="115"/>
    </row>
    <row r="16" spans="2:12" ht="45" customHeight="1" x14ac:dyDescent="0.35">
      <c r="B16" s="104" t="s">
        <v>306</v>
      </c>
      <c r="C16" s="105" t="s">
        <v>308</v>
      </c>
      <c r="D16" s="106" t="s">
        <v>332</v>
      </c>
      <c r="E16" s="113"/>
      <c r="F16" s="108" t="s">
        <v>18</v>
      </c>
      <c r="G16" s="109" t="s">
        <v>27</v>
      </c>
      <c r="H16" s="110"/>
      <c r="I16" s="110"/>
      <c r="J16" s="110"/>
      <c r="K16" s="111" t="s">
        <v>309</v>
      </c>
      <c r="L16" s="115"/>
    </row>
    <row r="17" spans="2:12" ht="33" x14ac:dyDescent="0.35">
      <c r="B17" s="116" t="s">
        <v>38</v>
      </c>
      <c r="C17" s="117"/>
      <c r="D17" s="118" t="s">
        <v>355</v>
      </c>
      <c r="E17" s="119"/>
      <c r="F17" s="120"/>
      <c r="G17" s="119"/>
      <c r="H17" s="121"/>
      <c r="I17" s="119"/>
      <c r="J17" s="119"/>
      <c r="K17" s="119"/>
      <c r="L17" s="122"/>
    </row>
    <row r="18" spans="2:12" ht="45" customHeight="1" x14ac:dyDescent="0.35">
      <c r="B18" s="104" t="s">
        <v>39</v>
      </c>
      <c r="C18" s="105" t="s">
        <v>40</v>
      </c>
      <c r="D18" s="106" t="s">
        <v>333</v>
      </c>
      <c r="E18" s="107" t="s">
        <v>18</v>
      </c>
      <c r="F18" s="108" t="s">
        <v>18</v>
      </c>
      <c r="G18" s="109"/>
      <c r="H18" s="110" t="str">
        <f>HYPERLINK(CONCATENATE(BASE_URL,"0x05d-Testing-Data-Storage.md#testing-local-storage-for-sensitive-data-mstg-storage-1-and-mstg-storage-2"),"本地存储中的敏感数据测试 (MSTG-STORAGE-1 and MSTG-STORAGE-2)")</f>
        <v>本地存储中的敏感数据测试 (MSTG-STORAGE-1 and MSTG-STORAGE-2)</v>
      </c>
      <c r="I18" s="110" t="str">
        <f>HYPERLINK(CONCATENATE(BASE_URL,"0x05e-Testing-Cryptography.md#testing-key-management-mstg-storage-1-mstg-crypto-1-and-mstg-crypto-5"),"测试密钥管理 (MSTG-STORAGE-1, MSTG-CRYPTO-1 and MSTG-CRYPTO-5)")</f>
        <v>测试密钥管理 (MSTG-STORAGE-1, MSTG-CRYPTO-1 and MSTG-CRYPTO-5)</v>
      </c>
      <c r="J18" s="110"/>
      <c r="K18" s="111"/>
      <c r="L18" s="112"/>
    </row>
    <row r="19" spans="2:12" ht="45" customHeight="1" x14ac:dyDescent="0.35">
      <c r="B19" s="104" t="s">
        <v>41</v>
      </c>
      <c r="C19" s="105" t="s">
        <v>42</v>
      </c>
      <c r="D19" s="106" t="s">
        <v>334</v>
      </c>
      <c r="E19" s="107" t="s">
        <v>18</v>
      </c>
      <c r="F19" s="108" t="s">
        <v>18</v>
      </c>
      <c r="G19" s="109"/>
      <c r="H19" s="110" t="str">
        <f>HYPERLINK(CONCATENATE(BASE_URL,"0x05d-Testing-Data-Storage.md#testing-local-storage-for-sensitive-data-mstg-storage-1-and-mstg-storage-2"),"本地存储中的敏感数据测试 (MSTG-STORAGE-1 and MSTG-STORAGE-2)")</f>
        <v>本地存储中的敏感数据测试 (MSTG-STORAGE-1 and MSTG-STORAGE-2)</v>
      </c>
      <c r="I19" s="110"/>
      <c r="J19" s="110"/>
      <c r="K19" s="111"/>
      <c r="L19" s="123"/>
    </row>
    <row r="20" spans="2:12" ht="45" customHeight="1" x14ac:dyDescent="0.35">
      <c r="B20" s="104" t="s">
        <v>43</v>
      </c>
      <c r="C20" s="105" t="s">
        <v>44</v>
      </c>
      <c r="D20" s="106" t="s">
        <v>335</v>
      </c>
      <c r="E20" s="107" t="s">
        <v>18</v>
      </c>
      <c r="F20" s="108" t="s">
        <v>18</v>
      </c>
      <c r="G20" s="109"/>
      <c r="H20" s="110" t="str">
        <f>HYPERLINK(CONCATENATE(BASE_URL,"0x05d-Testing-Data-Storage.md#testing-logs-for-sensitive-data-mstg-storage-3"),"日志中获取敏感数据测试 (MSTG-STORAGE-3)")</f>
        <v>日志中获取敏感数据测试 (MSTG-STORAGE-3)</v>
      </c>
      <c r="I20" s="110"/>
      <c r="J20" s="110"/>
      <c r="K20" s="111"/>
      <c r="L20" s="112"/>
    </row>
    <row r="21" spans="2:12" ht="45" customHeight="1" x14ac:dyDescent="0.35">
      <c r="B21" s="104" t="s">
        <v>45</v>
      </c>
      <c r="C21" s="105" t="s">
        <v>46</v>
      </c>
      <c r="D21" s="106" t="s">
        <v>336</v>
      </c>
      <c r="E21" s="107" t="s">
        <v>18</v>
      </c>
      <c r="F21" s="108" t="s">
        <v>18</v>
      </c>
      <c r="G21" s="109"/>
      <c r="H21" s="110" t="str">
        <f>HYPERLINK(CONCATENATE(BASE_URL,"0x05d-Testing-Data-Storage.md#determining-whether-sensitive-data-is-sent-to-third-parties-mstg-storage-4"),"确定是否将敏感数据发送给第三方 (MSTG-STORAGE-4)")</f>
        <v>确定是否将敏感数据发送给第三方 (MSTG-STORAGE-4)</v>
      </c>
      <c r="I21" s="110"/>
      <c r="J21" s="110"/>
      <c r="K21" s="111"/>
      <c r="L21" s="112"/>
    </row>
    <row r="22" spans="2:12" ht="45" customHeight="1" x14ac:dyDescent="0.35">
      <c r="B22" s="104" t="s">
        <v>47</v>
      </c>
      <c r="C22" s="105" t="s">
        <v>48</v>
      </c>
      <c r="D22" s="124" t="s">
        <v>337</v>
      </c>
      <c r="E22" s="107" t="s">
        <v>18</v>
      </c>
      <c r="F22" s="108" t="s">
        <v>18</v>
      </c>
      <c r="G22" s="109"/>
      <c r="H22" s="110" t="str">
        <f>HYPERLINK(CONCATENATE(BASE_URL,"0x05d-Testing-Data-Storage.md#determining-whether-the-keyboard-cache-is-disabled-for-text-input-fields-mstg-storage-5"),"确定是否为文本输入字段禁用了键盘缓存 (MSTG-STORAGE-5)")</f>
        <v>确定是否为文本输入字段禁用了键盘缓存 (MSTG-STORAGE-5)</v>
      </c>
      <c r="I22" s="110"/>
      <c r="J22" s="110"/>
      <c r="K22" s="111"/>
      <c r="L22" s="112"/>
    </row>
    <row r="23" spans="2:12" ht="45" customHeight="1" x14ac:dyDescent="0.35">
      <c r="B23" s="104" t="s">
        <v>49</v>
      </c>
      <c r="C23" s="105" t="s">
        <v>50</v>
      </c>
      <c r="D23" s="124" t="s">
        <v>338</v>
      </c>
      <c r="E23" s="107" t="s">
        <v>18</v>
      </c>
      <c r="F23" s="108" t="s">
        <v>18</v>
      </c>
      <c r="G23" s="109"/>
      <c r="H23" s="110" t="str">
        <f>HYPERLINK(CONCATENATE(BASE_URL,"0x05d-Testing-Data-Storage.md#determining-whether-sensitive-stored-data-has-been-exposed-via-ipc-mechanisms-mstg-storage-6"),"确定是否已通过IPC机制公开了敏感的存储数据 (MSTG-STORAGE-6)")</f>
        <v>确定是否已通过IPC机制公开了敏感的存储数据 (MSTG-STORAGE-6)</v>
      </c>
      <c r="I23" s="110"/>
      <c r="J23" s="110"/>
      <c r="K23" s="111"/>
      <c r="L23" s="112"/>
    </row>
    <row r="24" spans="2:12" ht="45" customHeight="1" x14ac:dyDescent="0.35">
      <c r="B24" s="104" t="s">
        <v>51</v>
      </c>
      <c r="C24" s="105" t="s">
        <v>52</v>
      </c>
      <c r="D24" s="124" t="s">
        <v>339</v>
      </c>
      <c r="E24" s="107" t="s">
        <v>18</v>
      </c>
      <c r="F24" s="108" t="s">
        <v>18</v>
      </c>
      <c r="G24" s="109"/>
      <c r="H24" s="110" t="str">
        <f>HYPERLINK(CONCATENATE(BASE_URL,"0x05d-Testing-Data-Storage.md#checking-for-sensitive-data-disclosure-through-the-user-interface-mstg-storage-7"),"通过用户界面检查敏感数据披露 (MSTG-STORAGE-7)")</f>
        <v>通过用户界面检查敏感数据披露 (MSTG-STORAGE-7)</v>
      </c>
      <c r="I24" s="110"/>
      <c r="J24" s="110"/>
      <c r="K24" s="111"/>
      <c r="L24" s="112"/>
    </row>
    <row r="25" spans="2:12" ht="45" customHeight="1" x14ac:dyDescent="0.35">
      <c r="B25" s="104" t="s">
        <v>53</v>
      </c>
      <c r="C25" s="105" t="s">
        <v>54</v>
      </c>
      <c r="D25" s="124" t="s">
        <v>340</v>
      </c>
      <c r="E25" s="125"/>
      <c r="F25" s="108" t="s">
        <v>18</v>
      </c>
      <c r="G25" s="109" t="s">
        <v>27</v>
      </c>
      <c r="H25" s="110" t="str">
        <f>HYPERLINK(CONCATENATE(BASE_URL,"0x05d-Testing-Data-Storage.md#testing-backups-for-sensitive-data-mstg-storage-8"),"备份中获取敏感数据测试 (MSTG-STORAGE-8)")</f>
        <v>备份中获取敏感数据测试 (MSTG-STORAGE-8)</v>
      </c>
      <c r="I25" s="110"/>
      <c r="J25" s="110"/>
      <c r="K25" s="111"/>
      <c r="L25" s="112"/>
    </row>
    <row r="26" spans="2:12" ht="45" customHeight="1" x14ac:dyDescent="0.35">
      <c r="B26" s="104" t="s">
        <v>55</v>
      </c>
      <c r="C26" s="105" t="s">
        <v>56</v>
      </c>
      <c r="D26" s="124" t="s">
        <v>341</v>
      </c>
      <c r="E26" s="125"/>
      <c r="F26" s="108" t="s">
        <v>18</v>
      </c>
      <c r="G26" s="109" t="s">
        <v>27</v>
      </c>
      <c r="H26" s="110" t="str">
        <f>HYPERLINK(CONCATENATE(BASE_URL,"0x05d-Testing-Data-Storage.md#finding-sensitive-information-in-auto-generated-screenshots-mstg-storage-9"),"在自动生成的屏幕截图中查找敏感信息 (MSTG-STORAGE-9)")</f>
        <v>在自动生成的屏幕截图中查找敏感信息 (MSTG-STORAGE-9)</v>
      </c>
      <c r="I26" s="110"/>
      <c r="J26" s="110"/>
      <c r="K26" s="111"/>
      <c r="L26" s="112"/>
    </row>
    <row r="27" spans="2:12" ht="45" customHeight="1" x14ac:dyDescent="0.35">
      <c r="B27" s="104" t="s">
        <v>57</v>
      </c>
      <c r="C27" s="105" t="s">
        <v>58</v>
      </c>
      <c r="D27" s="124" t="s">
        <v>342</v>
      </c>
      <c r="E27" s="125"/>
      <c r="F27" s="108" t="s">
        <v>18</v>
      </c>
      <c r="G27" s="109" t="s">
        <v>27</v>
      </c>
      <c r="H27" s="110" t="str">
        <f>HYPERLINK(CONCATENATE(BASE_URL,"0x05d-Testing-Data-Storage.md#checking-memory-for-sensitive-data-mstg-storage-10"),"检查内存中的敏感数据 (MSTG-STORAGE-10)")</f>
        <v>检查内存中的敏感数据 (MSTG-STORAGE-10)</v>
      </c>
      <c r="I27" s="110"/>
      <c r="J27" s="110"/>
      <c r="K27" s="111"/>
      <c r="L27" s="112"/>
    </row>
    <row r="28" spans="2:12" ht="45" customHeight="1" x14ac:dyDescent="0.35">
      <c r="B28" s="104" t="s">
        <v>59</v>
      </c>
      <c r="C28" s="105" t="s">
        <v>60</v>
      </c>
      <c r="D28" s="124" t="s">
        <v>343</v>
      </c>
      <c r="E28" s="125"/>
      <c r="F28" s="108" t="s">
        <v>18</v>
      </c>
      <c r="G28" s="109" t="s">
        <v>27</v>
      </c>
      <c r="H28" s="110" t="str">
        <f>HYPERLINK(CONCATENATE(BASE_URL,"0x05d-Testing-Data-Storage.md#testing-the-device-access-security-policy-mstg-storage-11"),"设备访问安全策略测试 (MSTG-STORAGE-11)")</f>
        <v>设备访问安全策略测试 (MSTG-STORAGE-11)</v>
      </c>
      <c r="I28" s="110" t="str">
        <f>HYPERLINK(CONCATENATE(BASE_URL,"0x05f-Testing-Local-Authentication.md#testing-confirm-credentials-mstg-auth-1-and-mstg-storage-11"),"测试确认凭证 (MSTG-AUTH-1 and MSTG-STORAGE-11)")</f>
        <v>测试确认凭证 (MSTG-AUTH-1 and MSTG-STORAGE-11)</v>
      </c>
      <c r="J28" s="110"/>
      <c r="K28" s="111"/>
      <c r="L28" s="112"/>
    </row>
    <row r="29" spans="2:12" ht="45" customHeight="1" x14ac:dyDescent="0.35">
      <c r="B29" s="104" t="s">
        <v>61</v>
      </c>
      <c r="C29" s="105" t="s">
        <v>62</v>
      </c>
      <c r="D29" s="106" t="s">
        <v>344</v>
      </c>
      <c r="E29" s="125"/>
      <c r="F29" s="108" t="s">
        <v>18</v>
      </c>
      <c r="G29" s="109" t="s">
        <v>27</v>
      </c>
      <c r="H29" s="110" t="str">
        <f>HYPERLINK(CONCATENATE(BASE_URL,"0x04i-Testing-user-interaction.md#testing-user-education-mstg-storage-12"),"用户教育测试 (MSTG-STORAGE-12)")</f>
        <v>用户教育测试 (MSTG-STORAGE-12)</v>
      </c>
      <c r="I29" s="110"/>
      <c r="J29" s="110"/>
      <c r="K29" s="111"/>
      <c r="L29" s="112"/>
    </row>
    <row r="30" spans="2:12" ht="45" customHeight="1" x14ac:dyDescent="0.35">
      <c r="B30" s="104" t="s">
        <v>315</v>
      </c>
      <c r="C30" s="105" t="s">
        <v>317</v>
      </c>
      <c r="D30" s="106" t="s">
        <v>345</v>
      </c>
      <c r="E30" s="125"/>
      <c r="F30" s="108"/>
      <c r="G30" s="109"/>
      <c r="H30" s="110"/>
      <c r="I30" s="110"/>
      <c r="J30" s="110"/>
      <c r="K30" s="111"/>
      <c r="L30" s="112"/>
    </row>
    <row r="31" spans="2:12" ht="45" customHeight="1" x14ac:dyDescent="0.35">
      <c r="B31" s="104" t="s">
        <v>316</v>
      </c>
      <c r="C31" s="105" t="s">
        <v>318</v>
      </c>
      <c r="D31" s="106" t="s">
        <v>346</v>
      </c>
      <c r="E31" s="125"/>
      <c r="F31" s="108"/>
      <c r="G31" s="109"/>
      <c r="H31" s="110"/>
      <c r="I31" s="110"/>
      <c r="J31" s="110"/>
      <c r="K31" s="111"/>
      <c r="L31" s="112"/>
    </row>
    <row r="32" spans="2:12" ht="45" customHeight="1" x14ac:dyDescent="0.35">
      <c r="B32" s="104" t="s">
        <v>319</v>
      </c>
      <c r="C32" s="105" t="s">
        <v>320</v>
      </c>
      <c r="D32" s="124" t="s">
        <v>347</v>
      </c>
      <c r="E32" s="125"/>
      <c r="F32" s="108"/>
      <c r="G32" s="109"/>
      <c r="H32" s="110"/>
      <c r="I32" s="110"/>
      <c r="J32" s="110"/>
      <c r="K32" s="111"/>
      <c r="L32" s="112"/>
    </row>
    <row r="33" spans="2:14" ht="33" x14ac:dyDescent="0.35">
      <c r="B33" s="116" t="s">
        <v>63</v>
      </c>
      <c r="C33" s="117"/>
      <c r="D33" s="118" t="s">
        <v>384</v>
      </c>
      <c r="E33" s="119"/>
      <c r="F33" s="120"/>
      <c r="G33" s="119"/>
      <c r="H33" s="121"/>
      <c r="I33" s="119"/>
      <c r="J33" s="119"/>
      <c r="K33" s="119"/>
      <c r="L33" s="122"/>
    </row>
    <row r="34" spans="2:14" ht="45" customHeight="1" x14ac:dyDescent="0.35">
      <c r="B34" s="104" t="s">
        <v>64</v>
      </c>
      <c r="C34" s="105" t="s">
        <v>65</v>
      </c>
      <c r="D34" s="124" t="s">
        <v>348</v>
      </c>
      <c r="E34" s="107" t="s">
        <v>18</v>
      </c>
      <c r="F34" s="108" t="s">
        <v>18</v>
      </c>
      <c r="G34" s="109"/>
      <c r="H34" s="110" t="str">
        <f>HYPERLINK(CONCATENATE(BASE_URL,"0x05e-Testing-Cryptography.md#testing-key-management-mstg-storage-1-mstg-crypto-1-and-mstg-crypto-5"),"测试密钥管理 (MSTG-STORAGE-1, MSTG-CRYPTO-1 and MSTG-CRYPTO-5)")</f>
        <v>测试密钥管理 (MSTG-STORAGE-1, MSTG-CRYPTO-1 and MSTG-CRYPTO-5)</v>
      </c>
      <c r="I34" s="110" t="str">
        <f>HYPERLINK(CONCATENATE(BASE_URL,"0x04g-Testing-Cryptography.md#common-configuration-issues-mstg-crypto-1-mstg-crypto-2-and-mstg-crypto-3"),"常见配置问题 (MSTG-CRYPTO-1, MSTG-CRYPTO-2 and MSTG-CRYPTO-3)")</f>
        <v>常见配置问题 (MSTG-CRYPTO-1, MSTG-CRYPTO-2 and MSTG-CRYPTO-3)</v>
      </c>
      <c r="J34" s="110"/>
      <c r="K34" s="111"/>
      <c r="L34" s="112"/>
    </row>
    <row r="35" spans="2:14" ht="45" customHeight="1" x14ac:dyDescent="0.35">
      <c r="B35" s="104" t="s">
        <v>66</v>
      </c>
      <c r="C35" s="105" t="s">
        <v>67</v>
      </c>
      <c r="D35" s="124" t="s">
        <v>349</v>
      </c>
      <c r="E35" s="107" t="s">
        <v>18</v>
      </c>
      <c r="F35" s="108" t="s">
        <v>18</v>
      </c>
      <c r="G35" s="109"/>
      <c r="H35" s="110" t="str">
        <f>HYPERLINK(CONCATENATE(BASE_URL,"0x04g-Testing-Cryptography.md#common-configuration-issues-mstg-crypto-1-mstg-crypto-2-and-mstg-crypto-3"),"常见配置问题 (MSTG-CRYPTO-1, MSTG-CRYPTO-2 and MSTG-CRYPTO-3)")</f>
        <v>常见配置问题 (MSTG-CRYPTO-1, MSTG-CRYPTO-2 and MSTG-CRYPTO-3)</v>
      </c>
      <c r="I35" s="110" t="str">
        <f>HYPERLINK(CONCATENATE(BASE_URL,"0x05e-Testing-Cryptography.md#testing-the-configuration-of-cryptographic-standard-algorithms-mstg-crypto-2-mstg-crypto-3-and-mstg-crypto-4"),"测试密码标准算法的配置 (MSTG-CRYPTO-2, MSTG-CRYPTO-3 and MSTG-CRYPTO-4)")</f>
        <v>测试密码标准算法的配置 (MSTG-CRYPTO-2, MSTG-CRYPTO-3 and MSTG-CRYPTO-4)</v>
      </c>
      <c r="J35" s="110"/>
      <c r="K35" s="111"/>
      <c r="L35" s="112"/>
    </row>
    <row r="36" spans="2:14" ht="45" customHeight="1" x14ac:dyDescent="0.35">
      <c r="B36" s="104" t="s">
        <v>68</v>
      </c>
      <c r="C36" s="105" t="s">
        <v>69</v>
      </c>
      <c r="D36" s="106" t="s">
        <v>350</v>
      </c>
      <c r="E36" s="107" t="s">
        <v>18</v>
      </c>
      <c r="F36" s="108" t="s">
        <v>18</v>
      </c>
      <c r="G36" s="109"/>
      <c r="H36" s="110" t="str">
        <f>HYPERLINK(CONCATENATE(BASE_URL,"0x05e-Testing-Cryptography.md#testing-the-configuration-of-cryptographic-standard-algorithms-mstg-crypto-2-mstg-crypto-3-and-mstg-crypto-4"),"测试密码标准算法的配置 (MSTG-CRYPTO-2, MSTG-CRYPTO-3 and MSTG-CRYPTO-4)")</f>
        <v>测试密码标准算法的配置 (MSTG-CRYPTO-2, MSTG-CRYPTO-3 and MSTG-CRYPTO-4)</v>
      </c>
      <c r="I36" s="110" t="str">
        <f>HYPERLINK(CONCATENATE(BASE_URL,"0x04g-Testing-Cryptography.md#common-configuration-issues-mstg-crypto-1-mstg-crypto-2-and-mstg-crypto-3"),"常见配置问题 (MSTG-CRYPTO-1, MSTG-CRYPTO-2 and MSTG-CRYPTO-3)")</f>
        <v>常见配置问题 (MSTG-CRYPTO-1, MSTG-CRYPTO-2 and MSTG-CRYPTO-3)</v>
      </c>
      <c r="J36" s="110"/>
      <c r="K36" s="111"/>
      <c r="L36" s="112"/>
    </row>
    <row r="37" spans="2:14" ht="45" customHeight="1" x14ac:dyDescent="0.35">
      <c r="B37" s="104" t="s">
        <v>70</v>
      </c>
      <c r="C37" s="105" t="s">
        <v>71</v>
      </c>
      <c r="D37" s="124" t="s">
        <v>351</v>
      </c>
      <c r="E37" s="107" t="s">
        <v>18</v>
      </c>
      <c r="F37" s="108" t="s">
        <v>18</v>
      </c>
      <c r="G37" s="109"/>
      <c r="H37" s="110" t="str">
        <f>HYPERLINK(CONCATENATE(BASE_URL,"0x04g-Testing-Cryptography.md#identifying-insecure-andor-deprecated-cryptographic-algorithms-mstg-crypto-4"),"识别不安全和/或不建议使用的加密算法 (MSTG-CRYPTO-4)")</f>
        <v>识别不安全和/或不建议使用的加密算法 (MSTG-CRYPTO-4)</v>
      </c>
      <c r="I37" s="110" t="str">
        <f>HYPERLINK(CONCATENATE(BASE_URL,"0x05e-Testing-Cryptography.md#testing-the-configuration-of-cryptographic-standard-algorithms-mstg-crypto-2-mstg-crypto-3-and-mstg-crypto-4"),"测试密码标准算法的配置 (MSTG-CRYPTO-2, MSTG-CRYPTO-3 and MSTG-CRYPTO-4)")</f>
        <v>测试密码标准算法的配置 (MSTG-CRYPTO-2, MSTG-CRYPTO-3 and MSTG-CRYPTO-4)</v>
      </c>
      <c r="J37" s="110"/>
      <c r="K37" s="111"/>
      <c r="L37" s="112"/>
    </row>
    <row r="38" spans="2:14" ht="45" customHeight="1" x14ac:dyDescent="0.35">
      <c r="B38" s="104" t="s">
        <v>72</v>
      </c>
      <c r="C38" s="105" t="s">
        <v>73</v>
      </c>
      <c r="D38" s="124" t="s">
        <v>352</v>
      </c>
      <c r="E38" s="107" t="s">
        <v>18</v>
      </c>
      <c r="F38" s="108" t="s">
        <v>18</v>
      </c>
      <c r="G38" s="109"/>
      <c r="H38" s="110" t="str">
        <f>HYPERLINK(CONCATENATE(BASE_URL,"0x05e-Testing-Cryptography.md#testing-key-management-mstg-storage-1-mstg-crypto-1-and-mstg-crypto-5"),"测试密钥管理 (MSTG-STORAGE-1, MSTG-CRYPTO-1 and MSTG-CRYPTO-5)")</f>
        <v>测试密钥管理 (MSTG-STORAGE-1, MSTG-CRYPTO-1 and MSTG-CRYPTO-5)</v>
      </c>
      <c r="I38" s="110"/>
      <c r="J38" s="110"/>
      <c r="K38" s="111"/>
      <c r="L38" s="112"/>
    </row>
    <row r="39" spans="2:14" ht="45" customHeight="1" x14ac:dyDescent="0.35">
      <c r="B39" s="126" t="s">
        <v>74</v>
      </c>
      <c r="C39" s="127" t="s">
        <v>75</v>
      </c>
      <c r="D39" s="124" t="s">
        <v>353</v>
      </c>
      <c r="E39" s="107" t="s">
        <v>18</v>
      </c>
      <c r="F39" s="108" t="s">
        <v>18</v>
      </c>
      <c r="G39" s="109"/>
      <c r="H39" s="110" t="str">
        <f>HYPERLINK(CONCATENATE(BASE_URL,"0x05e-Testing-Cryptography.md#testing-random-number-generation-mstg-crypto-6"),"测试随机数生成 (MSTG-CRYPTO-6)")</f>
        <v>测试随机数生成 (MSTG-CRYPTO-6)</v>
      </c>
      <c r="I39" s="110"/>
      <c r="J39" s="110"/>
      <c r="K39" s="111"/>
      <c r="L39" s="112"/>
    </row>
    <row r="40" spans="2:14" ht="33" x14ac:dyDescent="0.35">
      <c r="B40" s="116" t="s">
        <v>76</v>
      </c>
      <c r="C40" s="117"/>
      <c r="D40" s="118" t="s">
        <v>383</v>
      </c>
      <c r="E40" s="119"/>
      <c r="F40" s="120"/>
      <c r="G40" s="119"/>
      <c r="H40" s="121"/>
      <c r="I40" s="119"/>
      <c r="J40" s="119"/>
      <c r="K40" s="119"/>
      <c r="L40" s="122"/>
    </row>
    <row r="41" spans="2:14" ht="45" customHeight="1" x14ac:dyDescent="0.35">
      <c r="B41" s="104" t="s">
        <v>77</v>
      </c>
      <c r="C41" s="105" t="s">
        <v>78</v>
      </c>
      <c r="D41" s="128" t="s">
        <v>360</v>
      </c>
      <c r="E41" s="107" t="s">
        <v>18</v>
      </c>
      <c r="F41" s="108" t="s">
        <v>18</v>
      </c>
      <c r="G41" s="109"/>
      <c r="H41" s="110" t="str">
        <f>HYPERLINK(CONCATENATE(BASE_URL,"0x05f-Testing-Local-Authentication.md#testing-confirm-credentials-mstg-auth-1-and-mstg-storage-11"),"测试确认凭证 (MSTG-AUTH-1 and MSTG-STORAGE-11)")</f>
        <v>测试确认凭证 (MSTG-AUTH-1 and MSTG-STORAGE-11)</v>
      </c>
      <c r="I41" s="110" t="str">
        <f>HYPERLINK(CONCATENATE(BASE_URL,"0x04e-Testing-Authentication-and-Session-Management.md#verifying-that-appropriate-authentication-is-in-place-mstg-arch-2-and-mstg-auth-1"),"验证适当的身份验证是否到位 (MSTG-ARCH-2 and MSTG-AUTH-1)")</f>
        <v>验证适当的身份验证是否到位 (MSTG-ARCH-2 and MSTG-AUTH-1)</v>
      </c>
      <c r="J41" s="110" t="str">
        <f>HYPERLINK(CONCATENATE(BASE_URL,"0x04e-Testing-Authentication-and-Session-Management.md#testing-oauth-20-flows-mstg-auth-1-and-mstg-auth-3"),"测试OAuth 2.0流程 (MSTG-AUTH-1 and MSTG-AUTH-3)")</f>
        <v>测试OAuth 2.0流程 (MSTG-AUTH-1 and MSTG-AUTH-3)</v>
      </c>
      <c r="K41" s="111"/>
      <c r="L41" s="112"/>
    </row>
    <row r="42" spans="2:14" ht="45" customHeight="1" x14ac:dyDescent="0.35">
      <c r="B42" s="104" t="s">
        <v>79</v>
      </c>
      <c r="C42" s="105" t="s">
        <v>80</v>
      </c>
      <c r="D42" s="128" t="s">
        <v>361</v>
      </c>
      <c r="E42" s="107" t="s">
        <v>18</v>
      </c>
      <c r="F42" s="108" t="s">
        <v>18</v>
      </c>
      <c r="G42" s="109"/>
      <c r="H42" s="110" t="str">
        <f>HYPERLINK(CONCATENATE(BASE_URL,"0x04e-Testing-Authentication-and-Session-Management.md#testing-stateful-session-management-mstg-auth-2"),"测试状态会话管理 (MSTG-AUTH-2)")</f>
        <v>测试状态会话管理 (MSTG-AUTH-2)</v>
      </c>
      <c r="I42" s="110"/>
      <c r="J42" s="110"/>
      <c r="K42" s="111"/>
      <c r="L42" s="112"/>
    </row>
    <row r="43" spans="2:14" ht="45" customHeight="1" x14ac:dyDescent="0.35">
      <c r="B43" s="104" t="s">
        <v>81</v>
      </c>
      <c r="C43" s="105" t="s">
        <v>82</v>
      </c>
      <c r="D43" s="128" t="s">
        <v>364</v>
      </c>
      <c r="E43" s="107" t="s">
        <v>18</v>
      </c>
      <c r="F43" s="108" t="s">
        <v>18</v>
      </c>
      <c r="G43" s="109"/>
      <c r="H43" s="110" t="str">
        <f>HYPERLINK(CONCATENATE(BASE_URL,"0x04e-Testing-Authentication-and-Session-Management.md#testing-stateless-token-based-authentication-mstg-auth-3"),"测试无状态（基于令牌）身份验证 (MSTG-AUTH-3)")</f>
        <v>测试无状态（基于令牌）身份验证 (MSTG-AUTH-3)</v>
      </c>
      <c r="I43" s="110" t="str">
        <f>HYPERLINK(CONCATENATE(BASE_URL,"0x04e-Testing-Authentication-and-Session-Management.md#testing-oauth-20-flows-mstg-auth-1-and-mstg-auth-3"),"测试OAuth 2.0流程 (MSTG-AUTH-1 and MSTG-AUTH-3)")</f>
        <v>测试OAuth 2.0流程 (MSTG-AUTH-1 and MSTG-AUTH-3)</v>
      </c>
      <c r="J43" s="110"/>
      <c r="K43" s="111"/>
      <c r="L43" s="112"/>
      <c r="N43" s="129"/>
    </row>
    <row r="44" spans="2:14" ht="45" customHeight="1" x14ac:dyDescent="0.35">
      <c r="B44" s="104" t="s">
        <v>83</v>
      </c>
      <c r="C44" s="105" t="s">
        <v>84</v>
      </c>
      <c r="D44" s="128" t="s">
        <v>365</v>
      </c>
      <c r="E44" s="107"/>
      <c r="F44" s="108"/>
      <c r="G44" s="109"/>
      <c r="H44" s="110" t="str">
        <f>HYPERLINK(CONCATENATE(BASE_URL,"0x04e-Testing-Authentication-and-Session-Management.md#testing-user-logout-mstg-auth-4"),"测试用户注销 (MSTG-AUTH-4)")</f>
        <v>测试用户注销 (MSTG-AUTH-4)</v>
      </c>
      <c r="I44" s="110"/>
      <c r="J44" s="110"/>
      <c r="K44" s="111"/>
      <c r="L44" s="112"/>
      <c r="N44" s="129"/>
    </row>
    <row r="45" spans="2:14" ht="45" customHeight="1" x14ac:dyDescent="0.35">
      <c r="B45" s="104" t="s">
        <v>85</v>
      </c>
      <c r="C45" s="105" t="s">
        <v>86</v>
      </c>
      <c r="D45" s="128" t="s">
        <v>366</v>
      </c>
      <c r="E45" s="107" t="s">
        <v>18</v>
      </c>
      <c r="F45" s="108" t="s">
        <v>18</v>
      </c>
      <c r="G45" s="109"/>
      <c r="H45" s="114" t="str">
        <f>HYPERLINK(CONCATENATE(BASE_URL,"0x04e-Testing-Authentication-and-Session-Management.md#testing-best-practices-for-passwords-mstg-auth-5-and-mstg-auth-6"),"测试密码最佳做法")</f>
        <v>测试密码最佳做法</v>
      </c>
      <c r="I45" s="110"/>
      <c r="J45" s="110"/>
      <c r="K45" s="111"/>
      <c r="L45" s="112"/>
    </row>
    <row r="46" spans="2:14" ht="45" customHeight="1" x14ac:dyDescent="0.35">
      <c r="B46" s="104" t="s">
        <v>87</v>
      </c>
      <c r="C46" s="105" t="s">
        <v>88</v>
      </c>
      <c r="D46" s="128" t="s">
        <v>368</v>
      </c>
      <c r="E46" s="107" t="s">
        <v>18</v>
      </c>
      <c r="F46" s="108" t="s">
        <v>18</v>
      </c>
      <c r="G46" s="109"/>
      <c r="H46" s="110" t="str">
        <f>HYPERLINK(CONCATENATE(BASE_URL,"0x04e-Testing-Authentication-and-Session-Management.md#testing-best-practices-for-passwords-mstg-auth-5-and-mstg-auth-6"),"测试密码最佳做法 (MSTG-AUTH-5 and MSTG-AUTH-6)")</f>
        <v>测试密码最佳做法 (MSTG-AUTH-5 and MSTG-AUTH-6)</v>
      </c>
      <c r="I46" s="110" t="str">
        <f>HYPERLINK(CONCATENATE(BASE_URL,"0x04e-Testing-Authentication-and-Session-Management.md#dynamic-testing-mstg-auth-6"),"动态测试 (MSTG-AUTH-6)")</f>
        <v>动态测试 (MSTG-AUTH-6)</v>
      </c>
      <c r="J46" s="110"/>
      <c r="K46" s="111"/>
      <c r="L46" s="112"/>
    </row>
    <row r="47" spans="2:14" ht="45" customHeight="1" x14ac:dyDescent="0.35">
      <c r="B47" s="104" t="s">
        <v>89</v>
      </c>
      <c r="C47" s="105" t="s">
        <v>90</v>
      </c>
      <c r="D47" s="128" t="s">
        <v>369</v>
      </c>
      <c r="E47" s="107" t="s">
        <v>18</v>
      </c>
      <c r="F47" s="108" t="s">
        <v>18</v>
      </c>
      <c r="G47" s="109"/>
      <c r="H47" s="110" t="str">
        <f>HYPERLINK(CONCATENATE(BASE_URL,"0x04e-Testing-Authentication-and-Session-Management.md#testing-session-timeout-mstg-auth-7"),"测试会话超时 (MSTG-AUTH-7)")</f>
        <v>测试会话超时 (MSTG-AUTH-7)</v>
      </c>
      <c r="I47" s="110"/>
      <c r="J47" s="110"/>
      <c r="K47" s="111"/>
      <c r="L47" s="130"/>
    </row>
    <row r="48" spans="2:14" ht="45" customHeight="1" x14ac:dyDescent="0.35">
      <c r="B48" s="104" t="s">
        <v>91</v>
      </c>
      <c r="C48" s="105" t="s">
        <v>92</v>
      </c>
      <c r="D48" s="128" t="s">
        <v>370</v>
      </c>
      <c r="E48" s="125"/>
      <c r="F48" s="108" t="s">
        <v>18</v>
      </c>
      <c r="G48" s="109" t="s">
        <v>27</v>
      </c>
      <c r="H48" s="110" t="str">
        <f>HYPERLINK(CONCATENATE(BASE_URL,"0x05f-Testing-Local-Authentication.md#testing-biometric-authentication-mstg-auth-8"),"测试生物特征认证 (MSTG-AUTH-8)")</f>
        <v>测试生物特征认证 (MSTG-AUTH-8)</v>
      </c>
      <c r="I48" s="110"/>
      <c r="J48" s="110"/>
      <c r="K48" s="111"/>
      <c r="L48" s="112"/>
    </row>
    <row r="49" spans="2:12" ht="45" customHeight="1" x14ac:dyDescent="0.35">
      <c r="B49" s="104" t="s">
        <v>93</v>
      </c>
      <c r="C49" s="105" t="s">
        <v>94</v>
      </c>
      <c r="D49" s="128" t="s">
        <v>371</v>
      </c>
      <c r="E49" s="125"/>
      <c r="F49" s="108" t="s">
        <v>18</v>
      </c>
      <c r="G49" s="109" t="s">
        <v>27</v>
      </c>
      <c r="H49" s="110" t="str">
        <f>HYPERLINK(CONCATENATE(BASE_URL,"0x04e-Testing-Authentication-and-Session-Management.md#testing-two-factor-authentication-and-step-up-authentication-mstg-auth-9-and-mstg-auth-10"),"测试两因素身份验证和逐步身份验证 (MSTG-AUTH-9 and MSTG-AUTH-10)")</f>
        <v>测试两因素身份验证和逐步身份验证 (MSTG-AUTH-9 and MSTG-AUTH-10)</v>
      </c>
      <c r="I49" s="110"/>
      <c r="J49" s="110"/>
      <c r="K49" s="111"/>
      <c r="L49" s="112"/>
    </row>
    <row r="50" spans="2:12" ht="45" customHeight="1" x14ac:dyDescent="0.35">
      <c r="B50" s="104" t="s">
        <v>95</v>
      </c>
      <c r="C50" s="105" t="s">
        <v>96</v>
      </c>
      <c r="D50" s="128" t="s">
        <v>372</v>
      </c>
      <c r="E50" s="125"/>
      <c r="F50" s="108" t="s">
        <v>18</v>
      </c>
      <c r="G50" s="109" t="s">
        <v>27</v>
      </c>
      <c r="H50" s="110" t="str">
        <f>HYPERLINK(CONCATENATE(BASE_URL,"0x04e-Testing-Authentication-and-Session-Management.md#testing-two-factor-authentication-and-step-up-authentication-mstg-auth-9-and-mstg-auth-10"),"测试两因素身份验证和逐步身份验证 (MSTG-AUTH-9 and MSTG-AUTH-10)")</f>
        <v>测试两因素身份验证和逐步身份验证 (MSTG-AUTH-9 and MSTG-AUTH-10)</v>
      </c>
      <c r="I50" s="110"/>
      <c r="J50" s="110"/>
      <c r="K50" s="111"/>
      <c r="L50" s="112"/>
    </row>
    <row r="51" spans="2:12" ht="45" customHeight="1" x14ac:dyDescent="0.35">
      <c r="B51" s="104" t="s">
        <v>97</v>
      </c>
      <c r="C51" s="105" t="s">
        <v>98</v>
      </c>
      <c r="D51" s="128" t="s">
        <v>373</v>
      </c>
      <c r="E51" s="125"/>
      <c r="F51" s="108" t="s">
        <v>18</v>
      </c>
      <c r="G51" s="109" t="s">
        <v>27</v>
      </c>
      <c r="H51" s="110" t="s">
        <v>362</v>
      </c>
      <c r="I51" s="110"/>
      <c r="J51" s="110"/>
      <c r="K51" s="111"/>
      <c r="L51" s="112"/>
    </row>
    <row r="52" spans="2:12" ht="45" customHeight="1" x14ac:dyDescent="0.35">
      <c r="B52" s="104" t="s">
        <v>375</v>
      </c>
      <c r="C52" s="105" t="s">
        <v>363</v>
      </c>
      <c r="D52" s="128" t="s">
        <v>374</v>
      </c>
      <c r="E52" s="125"/>
      <c r="F52" s="108"/>
      <c r="G52" s="109"/>
      <c r="H52" s="110"/>
      <c r="I52" s="110"/>
      <c r="J52" s="110"/>
      <c r="K52" s="111"/>
      <c r="L52" s="112"/>
    </row>
    <row r="53" spans="2:12" ht="33" x14ac:dyDescent="0.35">
      <c r="B53" s="116" t="s">
        <v>99</v>
      </c>
      <c r="C53" s="117"/>
      <c r="D53" s="118" t="s">
        <v>376</v>
      </c>
      <c r="E53" s="119"/>
      <c r="F53" s="120"/>
      <c r="G53" s="119"/>
      <c r="H53" s="121"/>
      <c r="I53" s="119"/>
      <c r="J53" s="119"/>
      <c r="K53" s="119"/>
      <c r="L53" s="122"/>
    </row>
    <row r="54" spans="2:12" ht="45" customHeight="1" x14ac:dyDescent="0.35">
      <c r="B54" s="104" t="s">
        <v>100</v>
      </c>
      <c r="C54" s="105" t="s">
        <v>101</v>
      </c>
      <c r="D54" s="124" t="s">
        <v>377</v>
      </c>
      <c r="E54" s="107" t="s">
        <v>18</v>
      </c>
      <c r="F54" s="108" t="s">
        <v>18</v>
      </c>
      <c r="G54" s="109"/>
      <c r="H54" s="114" t="str">
        <f>HYPERLINK(CONCATENATE(BASE_URL,"0x04f-Testing-Network-Communication.md#verifying-data-encryption-on-the-network-mstg-network-1-and-mstg-network-2"),"验证网络上的数据加密")</f>
        <v>验证网络上的数据加密</v>
      </c>
      <c r="I54" s="110"/>
      <c r="J54" s="110"/>
      <c r="K54" s="131"/>
      <c r="L54" s="112"/>
    </row>
    <row r="55" spans="2:12" ht="45" customHeight="1" x14ac:dyDescent="0.35">
      <c r="B55" s="104" t="s">
        <v>102</v>
      </c>
      <c r="C55" s="105" t="s">
        <v>103</v>
      </c>
      <c r="D55" s="128" t="s">
        <v>378</v>
      </c>
      <c r="E55" s="107" t="s">
        <v>18</v>
      </c>
      <c r="F55" s="108" t="s">
        <v>18</v>
      </c>
      <c r="G55" s="109"/>
      <c r="H55" s="114" t="str">
        <f>HYPERLINK(CONCATENATE(BASE_URL,"0x04f-Testing-Network-Communication.md#verifying-data-encryption-on-the-network-mstg-network-1-and-mstg-network-2"),"验证网络上的数据加密")</f>
        <v>验证网络上的数据加密</v>
      </c>
      <c r="I55" s="110"/>
      <c r="J55" s="110"/>
      <c r="K55" s="131"/>
      <c r="L55" s="112"/>
    </row>
    <row r="56" spans="2:12" ht="45" customHeight="1" x14ac:dyDescent="0.35">
      <c r="B56" s="104" t="s">
        <v>104</v>
      </c>
      <c r="C56" s="105" t="s">
        <v>105</v>
      </c>
      <c r="D56" s="128" t="s">
        <v>379</v>
      </c>
      <c r="E56" s="107" t="s">
        <v>18</v>
      </c>
      <c r="F56" s="108" t="s">
        <v>18</v>
      </c>
      <c r="G56" s="109"/>
      <c r="H56" s="110" t="str">
        <f>HYPERLINK(CONCATENATE(BASE_URL,"0x05g-Testing-Network-Communication.md#testing-endpoint-identify-verification-mstg-network-3"),"测试端点身份验证 (MSTG-NETWORK-3)")</f>
        <v>测试端点身份验证 (MSTG-NETWORK-3)</v>
      </c>
      <c r="I56" s="110"/>
      <c r="J56" s="110"/>
      <c r="K56" s="131"/>
      <c r="L56" s="132"/>
    </row>
    <row r="57" spans="2:12" ht="45" customHeight="1" x14ac:dyDescent="0.35">
      <c r="B57" s="104" t="s">
        <v>106</v>
      </c>
      <c r="C57" s="105" t="s">
        <v>107</v>
      </c>
      <c r="D57" s="128" t="s">
        <v>380</v>
      </c>
      <c r="E57" s="125"/>
      <c r="F57" s="108" t="s">
        <v>18</v>
      </c>
      <c r="G57" s="109" t="s">
        <v>27</v>
      </c>
      <c r="H57" s="110" t="str">
        <f>HYPERLINK(CONCATENATE(BASE_URL,"0x05g-Testing-Network-Communication.md#testing-custom-certificate-stores-and-certificate-pinning-mstg-network-4"),"测试自定义证书存储和证书固定 (MSTG-NETWORK-4)")</f>
        <v>测试自定义证书存储和证书固定 (MSTG-NETWORK-4)</v>
      </c>
      <c r="I57" s="110" t="str">
        <f>HYPERLINK(CONCATENATE(BASE_URL,"0x05g-Testing-Network-Communication.md#testing-the-network-security-configuration-settings-mstg-network-4"),"测试网络安全配置设置 (MSTG-NETWORK-4)")</f>
        <v>测试网络安全配置设置 (MSTG-NETWORK-4)</v>
      </c>
      <c r="J57" s="110"/>
      <c r="K57" s="131"/>
      <c r="L57" s="112"/>
    </row>
    <row r="58" spans="2:12" ht="45" customHeight="1" x14ac:dyDescent="0.35">
      <c r="B58" s="104" t="s">
        <v>108</v>
      </c>
      <c r="C58" s="105" t="s">
        <v>109</v>
      </c>
      <c r="D58" s="128" t="s">
        <v>381</v>
      </c>
      <c r="E58" s="125"/>
      <c r="F58" s="108" t="s">
        <v>18</v>
      </c>
      <c r="G58" s="109" t="s">
        <v>27</v>
      </c>
      <c r="H58" s="110" t="str">
        <f>HYPERLINK(CONCATENATE(BASE_URL,"0x04f-Testing-Network-Communication.md#making-sure-that-critical-operations-use-secure-communication-channels-mstg-network-5"),"确保关键操作使用安全的通信通道 (MSTG-NETWORK-5)")</f>
        <v>确保关键操作使用安全的通信通道 (MSTG-NETWORK-5)</v>
      </c>
      <c r="I58" s="110"/>
      <c r="J58" s="110"/>
      <c r="K58" s="131"/>
      <c r="L58" s="112"/>
    </row>
    <row r="59" spans="2:12" ht="45" customHeight="1" x14ac:dyDescent="0.35">
      <c r="B59" s="104" t="s">
        <v>110</v>
      </c>
      <c r="C59" s="105" t="s">
        <v>111</v>
      </c>
      <c r="D59" s="128" t="s">
        <v>382</v>
      </c>
      <c r="E59" s="125"/>
      <c r="F59" s="108" t="s">
        <v>18</v>
      </c>
      <c r="G59" s="109" t="s">
        <v>27</v>
      </c>
      <c r="H59" s="110" t="str">
        <f>HYPERLINK(CONCATENATE(BASE_URL,"0x05g-Testing-Network-Communication.md#testing-the-security-provider-mstg-network-6"),"测试安全提供者 (MSTG-NETWORK-6)")</f>
        <v>测试安全提供者 (MSTG-NETWORK-6)</v>
      </c>
      <c r="I59" s="110"/>
      <c r="J59" s="110"/>
      <c r="K59" s="131"/>
      <c r="L59" s="112"/>
    </row>
    <row r="60" spans="2:12" ht="33" x14ac:dyDescent="0.35">
      <c r="B60" s="116" t="s">
        <v>112</v>
      </c>
      <c r="C60" s="117"/>
      <c r="D60" s="118" t="s">
        <v>385</v>
      </c>
      <c r="E60" s="119"/>
      <c r="F60" s="120"/>
      <c r="G60" s="119"/>
      <c r="H60" s="121"/>
      <c r="I60" s="119"/>
      <c r="J60" s="119"/>
      <c r="K60" s="119"/>
      <c r="L60" s="122"/>
    </row>
    <row r="61" spans="2:12" ht="45" customHeight="1" x14ac:dyDescent="0.35">
      <c r="B61" s="104" t="s">
        <v>113</v>
      </c>
      <c r="C61" s="105" t="s">
        <v>114</v>
      </c>
      <c r="D61" s="124" t="s">
        <v>392</v>
      </c>
      <c r="E61" s="107" t="s">
        <v>18</v>
      </c>
      <c r="F61" s="108" t="s">
        <v>18</v>
      </c>
      <c r="G61" s="109"/>
      <c r="H61" s="110" t="str">
        <f>HYPERLINK(CONCATENATE(BASE_URL,"0x05h-Testing-Platform-Interaction.md#testing-app-permissions-mstg-platform-1"),"测试应用权限 (MSTG-PLATFORM-1)")</f>
        <v>测试应用权限 (MSTG-PLATFORM-1)</v>
      </c>
      <c r="I61" s="110"/>
      <c r="J61" s="110"/>
      <c r="K61" s="113"/>
      <c r="L61" s="133"/>
    </row>
    <row r="62" spans="2:12" ht="45" customHeight="1" x14ac:dyDescent="0.35">
      <c r="B62" s="104" t="s">
        <v>115</v>
      </c>
      <c r="C62" s="105" t="s">
        <v>116</v>
      </c>
      <c r="D62" s="128" t="s">
        <v>394</v>
      </c>
      <c r="E62" s="107" t="s">
        <v>18</v>
      </c>
      <c r="F62" s="108" t="s">
        <v>18</v>
      </c>
      <c r="G62" s="109"/>
      <c r="H62" s="110" t="str">
        <f>HYPERLINK(CONCATENATE(BASE_URL,"0x04h-Testing-Code-Quality.md#testing-for-injection-flaws-mstg-platform-2"),"测试注入缺陷 (MSTG-PLATFORM-2)")</f>
        <v>测试注入缺陷 (MSTG-PLATFORM-2)</v>
      </c>
      <c r="I62" s="110" t="str">
        <f>HYPERLINK(CONCATENATE(BASE_URL,"0x04h-Testing-Code-Quality.md#testing-for-fragment-injection-mstg-platform-2"),"测试片段注入 (MSTG-PLATFORM-2)")</f>
        <v>测试片段注入 (MSTG-PLATFORM-2)</v>
      </c>
      <c r="J62" s="110"/>
      <c r="K62" s="134"/>
      <c r="L62" s="133"/>
    </row>
    <row r="63" spans="2:12" ht="45" customHeight="1" x14ac:dyDescent="0.35">
      <c r="B63" s="104" t="s">
        <v>117</v>
      </c>
      <c r="C63" s="105" t="s">
        <v>118</v>
      </c>
      <c r="D63" s="124" t="s">
        <v>393</v>
      </c>
      <c r="E63" s="107" t="s">
        <v>18</v>
      </c>
      <c r="F63" s="108" t="s">
        <v>18</v>
      </c>
      <c r="G63" s="109"/>
      <c r="H63" s="110" t="str">
        <f>HYPERLINK(CONCATENATE(BASE_URL,"0x05h-Testing-Platform-Interaction.md#testing-custom-url-schemes-mstg-platform-3"),"测试自定义连接 (MSTG-PLATFORM-3)")</f>
        <v>测试自定义连接 (MSTG-PLATFORM-3)</v>
      </c>
      <c r="I63" s="110"/>
      <c r="J63" s="110"/>
      <c r="K63" s="113"/>
      <c r="L63" s="133"/>
    </row>
    <row r="64" spans="2:12" ht="45" customHeight="1" x14ac:dyDescent="0.35">
      <c r="B64" s="104" t="s">
        <v>119</v>
      </c>
      <c r="C64" s="105" t="s">
        <v>120</v>
      </c>
      <c r="D64" s="124" t="s">
        <v>396</v>
      </c>
      <c r="E64" s="107" t="s">
        <v>18</v>
      </c>
      <c r="F64" s="108" t="s">
        <v>18</v>
      </c>
      <c r="G64" s="109"/>
      <c r="H64" s="110" t="str">
        <f>HYPERLINK(CONCATENATE(BASE_URL,"0x05h-Testing-Platform-Interaction.md#testing-for-sensitive-functionality-exposure-through-ipc-mstg-platform-4"),"测试铭感功能通过IPC 暴露 (MSTG-PLATFORM-4)")</f>
        <v>测试铭感功能通过IPC 暴露 (MSTG-PLATFORM-4)</v>
      </c>
      <c r="I64" s="110"/>
      <c r="J64" s="110"/>
      <c r="K64" s="113"/>
      <c r="L64" s="133"/>
    </row>
    <row r="65" spans="2:13" ht="45" customHeight="1" x14ac:dyDescent="0.35">
      <c r="B65" s="104" t="s">
        <v>121</v>
      </c>
      <c r="C65" s="105" t="s">
        <v>122</v>
      </c>
      <c r="D65" s="124" t="s">
        <v>395</v>
      </c>
      <c r="E65" s="107" t="s">
        <v>18</v>
      </c>
      <c r="F65" s="108" t="s">
        <v>18</v>
      </c>
      <c r="G65" s="109"/>
      <c r="H65" s="110" t="str">
        <f>HYPERLINK(CONCATENATE(BASE_URL,"0x05h-Testing-Platform-Interaction.md#testing-javascript-execution-in-webviews-mstg-platform-5"),"测试在网页浏览模式中的JAVASCRIPT (MSTG-PLATFORM-5)")</f>
        <v>测试在网页浏览模式中的JAVASCRIPT (MSTG-PLATFORM-5)</v>
      </c>
      <c r="I65" s="110"/>
      <c r="J65" s="110"/>
      <c r="K65" s="113"/>
      <c r="L65" s="133"/>
    </row>
    <row r="66" spans="2:13" ht="45" customHeight="1" x14ac:dyDescent="0.35">
      <c r="B66" s="104" t="s">
        <v>123</v>
      </c>
      <c r="C66" s="105" t="s">
        <v>124</v>
      </c>
      <c r="D66" s="128" t="s">
        <v>397</v>
      </c>
      <c r="E66" s="107" t="s">
        <v>18</v>
      </c>
      <c r="F66" s="108" t="s">
        <v>18</v>
      </c>
      <c r="G66" s="109"/>
      <c r="H66" s="110" t="str">
        <f>HYPERLINK(CONCATENATE(BASE_URL,"0x05h-Testing-Platform-Interaction.md#testing-webview-protocol-handlers-mstg-platform-6"),"测试网页模式中的协议处理 (MSTG-PLATFORM-6)")</f>
        <v>测试网页模式中的协议处理 (MSTG-PLATFORM-6)</v>
      </c>
      <c r="I66" s="110"/>
      <c r="J66" s="110"/>
      <c r="K66" s="113"/>
      <c r="L66" s="133"/>
    </row>
    <row r="67" spans="2:13" ht="45" customHeight="1" x14ac:dyDescent="0.35">
      <c r="B67" s="104" t="s">
        <v>125</v>
      </c>
      <c r="C67" s="105" t="s">
        <v>126</v>
      </c>
      <c r="D67" s="128" t="s">
        <v>398</v>
      </c>
      <c r="E67" s="107" t="s">
        <v>18</v>
      </c>
      <c r="F67" s="108" t="s">
        <v>18</v>
      </c>
      <c r="G67" s="109"/>
      <c r="H67" s="110" t="str">
        <f>HYPERLINK(CONCATENATE(BASE_URL,"0x05h-Testing-Platform-Interaction.md#determining-whether-java-objects-are-exposed-through-webviews-mstg-platform-7"),"确定Java 对象是否通过网页浏览模式暴露 (MSTG-PLATFORM-7)")</f>
        <v>确定Java 对象是否通过网页浏览模式暴露 (MSTG-PLATFORM-7)</v>
      </c>
      <c r="I67" s="110"/>
      <c r="J67" s="110"/>
      <c r="K67" s="113"/>
      <c r="L67" s="133"/>
    </row>
    <row r="68" spans="2:13" ht="45" customHeight="1" x14ac:dyDescent="0.35">
      <c r="B68" s="104" t="s">
        <v>127</v>
      </c>
      <c r="C68" s="105" t="s">
        <v>128</v>
      </c>
      <c r="D68" s="124" t="s">
        <v>399</v>
      </c>
      <c r="E68" s="107" t="s">
        <v>18</v>
      </c>
      <c r="F68" s="108" t="s">
        <v>18</v>
      </c>
      <c r="G68" s="109"/>
      <c r="H68" s="110" t="str">
        <f>HYPERLINK(CONCATENATE(BASE_URL,"0x05h-Testing-Platform-Interaction.md#testing-object-persistence-mstg-platform-8"),"测试对象持久性(MSTG-PLATFORM-8)")</f>
        <v>测试对象持久性(MSTG-PLATFORM-8)</v>
      </c>
      <c r="I68" s="110"/>
      <c r="J68" s="110"/>
      <c r="K68" s="113"/>
      <c r="L68" s="133"/>
    </row>
    <row r="69" spans="2:13" ht="45" customHeight="1" x14ac:dyDescent="0.35">
      <c r="B69" s="104" t="s">
        <v>386</v>
      </c>
      <c r="C69" s="105" t="s">
        <v>389</v>
      </c>
      <c r="D69" s="128" t="s">
        <v>400</v>
      </c>
      <c r="E69" s="214"/>
      <c r="F69" s="108"/>
      <c r="G69" s="109"/>
      <c r="H69" s="110"/>
      <c r="I69" s="110"/>
      <c r="J69" s="110"/>
      <c r="K69" s="113"/>
      <c r="L69" s="133"/>
    </row>
    <row r="70" spans="2:13" ht="45" customHeight="1" x14ac:dyDescent="0.35">
      <c r="B70" s="104" t="s">
        <v>387</v>
      </c>
      <c r="C70" s="105" t="s">
        <v>390</v>
      </c>
      <c r="D70" s="128" t="s">
        <v>401</v>
      </c>
      <c r="E70" s="214"/>
      <c r="F70" s="108"/>
      <c r="G70" s="109"/>
      <c r="H70" s="110"/>
      <c r="I70" s="110"/>
      <c r="J70" s="110"/>
      <c r="K70" s="113"/>
      <c r="L70" s="133"/>
    </row>
    <row r="71" spans="2:13" ht="45" customHeight="1" x14ac:dyDescent="0.35">
      <c r="B71" s="104" t="s">
        <v>388</v>
      </c>
      <c r="C71" s="105" t="s">
        <v>391</v>
      </c>
      <c r="D71" s="128" t="s">
        <v>402</v>
      </c>
      <c r="E71" s="213"/>
      <c r="F71" s="108"/>
      <c r="G71" s="109"/>
      <c r="H71" s="110"/>
      <c r="I71" s="110"/>
      <c r="J71" s="110"/>
      <c r="K71" s="113"/>
      <c r="L71" s="133"/>
    </row>
    <row r="72" spans="2:13" ht="33" x14ac:dyDescent="0.35">
      <c r="B72" s="116" t="s">
        <v>129</v>
      </c>
      <c r="C72" s="117"/>
      <c r="D72" s="118" t="s">
        <v>403</v>
      </c>
      <c r="E72" s="119"/>
      <c r="F72" s="120"/>
      <c r="G72" s="119"/>
      <c r="H72" s="121"/>
      <c r="I72" s="119"/>
      <c r="J72" s="119"/>
      <c r="K72" s="119"/>
      <c r="L72" s="122"/>
    </row>
    <row r="73" spans="2:13" ht="45" customHeight="1" x14ac:dyDescent="0.35">
      <c r="B73" s="104" t="s">
        <v>130</v>
      </c>
      <c r="C73" s="105" t="s">
        <v>131</v>
      </c>
      <c r="D73" s="124" t="s">
        <v>404</v>
      </c>
      <c r="E73" s="107" t="s">
        <v>18</v>
      </c>
      <c r="F73" s="108" t="s">
        <v>18</v>
      </c>
      <c r="G73" s="109"/>
      <c r="H73" s="110" t="str">
        <f>HYPERLINK(CONCATENATE(BASE_URL,"0x05i-Testing-Code-Quality-and-Build-Settings.md#making-sure-that-the-app-is-properly-signed-mstg-code-1"),"确保应用程序已正确签名 (MSTG-CODE-1)")</f>
        <v>确保应用程序已正确签名 (MSTG-CODE-1)</v>
      </c>
      <c r="I73" s="110"/>
      <c r="J73" s="110"/>
      <c r="K73" s="131"/>
      <c r="L73" s="112"/>
    </row>
    <row r="74" spans="2:13" ht="45" customHeight="1" x14ac:dyDescent="0.35">
      <c r="B74" s="104" t="s">
        <v>132</v>
      </c>
      <c r="C74" s="105" t="s">
        <v>133</v>
      </c>
      <c r="D74" s="124" t="s">
        <v>405</v>
      </c>
      <c r="E74" s="107" t="s">
        <v>18</v>
      </c>
      <c r="F74" s="108" t="s">
        <v>18</v>
      </c>
      <c r="G74" s="109"/>
      <c r="H74" s="110" t="str">
        <f>HYPERLINK(CONCATENATE(BASE_URL,"0x05i-Testing-Code-Quality-and-Build-Settings.md#testing-whether-the-app-is-debuggable-mstg-code-2"),"测试应用程序是否可调试 (MSTG-CODE-2)")</f>
        <v>测试应用程序是否可调试 (MSTG-CODE-2)</v>
      </c>
      <c r="I74" s="110"/>
      <c r="J74" s="110"/>
      <c r="K74" s="131"/>
      <c r="L74" s="112"/>
    </row>
    <row r="75" spans="2:13" ht="45" customHeight="1" x14ac:dyDescent="0.35">
      <c r="B75" s="104" t="s">
        <v>134</v>
      </c>
      <c r="C75" s="105" t="s">
        <v>135</v>
      </c>
      <c r="D75" s="124" t="s">
        <v>406</v>
      </c>
      <c r="E75" s="107" t="s">
        <v>18</v>
      </c>
      <c r="F75" s="108" t="s">
        <v>18</v>
      </c>
      <c r="G75" s="109"/>
      <c r="H75" s="110" t="str">
        <f>HYPERLINK(CONCATENATE(BASE_URL,"0x05i-Testing-Code-Quality-and-Build-Settings.md#testing-for-debugging-symbols-mstg-code-3"),"测试调试符号 (MSTG-CODE-3)")</f>
        <v>测试调试符号 (MSTG-CODE-3)</v>
      </c>
      <c r="I75" s="110"/>
      <c r="J75" s="110"/>
      <c r="K75" s="131"/>
      <c r="L75" s="112"/>
    </row>
    <row r="76" spans="2:13" ht="45" customHeight="1" x14ac:dyDescent="0.35">
      <c r="B76" s="104" t="s">
        <v>136</v>
      </c>
      <c r="C76" s="105" t="s">
        <v>137</v>
      </c>
      <c r="D76" s="124" t="s">
        <v>407</v>
      </c>
      <c r="E76" s="107" t="s">
        <v>18</v>
      </c>
      <c r="F76" s="108" t="s">
        <v>18</v>
      </c>
      <c r="G76" s="109"/>
      <c r="H76" s="110" t="str">
        <f>HYPERLINK(CONCATENATE(BASE_URL,"0x05i-Testing-Code-Quality-and-Build-Settings.md#testing-for-debugging-code-and-verbose-error-logging-mstg-code-4"),"调试代码和详细错误日志的测试 (MSTG-CODE-4)")</f>
        <v>调试代码和详细错误日志的测试 (MSTG-CODE-4)</v>
      </c>
      <c r="I76" s="110"/>
      <c r="J76" s="110"/>
      <c r="K76" s="131"/>
      <c r="L76" s="112"/>
    </row>
    <row r="77" spans="2:13" ht="45" customHeight="1" x14ac:dyDescent="0.35">
      <c r="B77" s="104" t="s">
        <v>138</v>
      </c>
      <c r="C77" s="105" t="s">
        <v>139</v>
      </c>
      <c r="D77" s="106" t="s">
        <v>408</v>
      </c>
      <c r="E77" s="107" t="s">
        <v>18</v>
      </c>
      <c r="F77" s="108" t="s">
        <v>18</v>
      </c>
      <c r="G77" s="109"/>
      <c r="H77" s="110" t="str">
        <f>HYPERLINK(CONCATENATE(BASE_URL,"0x05i-Testing-Code-Quality-and-Build-Settings.md#checking-for-weaknesses-in-third-party-libraries-mstg-code-5"),"检查第三方库中的弱点 (MSTG-CODE-5)")</f>
        <v>检查第三方库中的弱点 (MSTG-CODE-5)</v>
      </c>
      <c r="I77" s="110"/>
      <c r="J77" s="110"/>
      <c r="K77" s="131"/>
      <c r="L77" s="112"/>
    </row>
    <row r="78" spans="2:13" ht="45" customHeight="1" x14ac:dyDescent="0.35">
      <c r="B78" s="104" t="s">
        <v>140</v>
      </c>
      <c r="C78" s="105" t="s">
        <v>141</v>
      </c>
      <c r="D78" s="124" t="s">
        <v>409</v>
      </c>
      <c r="E78" s="107" t="s">
        <v>18</v>
      </c>
      <c r="F78" s="108" t="s">
        <v>18</v>
      </c>
      <c r="G78" s="109"/>
      <c r="H78" s="110" t="str">
        <f>HYPERLINK(CONCATENATE(BASE_URL,"0x05i-Testing-Code-Quality-and-Build-Settings.md#testing-exception-handling-mstg-code-6-and-mstg-code-7"),"测试异常处理 (MSTG-CODE-6 and MSTG-CODE-7)")</f>
        <v>测试异常处理 (MSTG-CODE-6 and MSTG-CODE-7)</v>
      </c>
      <c r="I78" s="110"/>
      <c r="J78" s="110"/>
      <c r="K78" s="131"/>
      <c r="L78" s="112"/>
    </row>
    <row r="79" spans="2:13" ht="45" customHeight="1" x14ac:dyDescent="0.35">
      <c r="B79" s="104" t="s">
        <v>142</v>
      </c>
      <c r="C79" s="105" t="s">
        <v>143</v>
      </c>
      <c r="D79" s="124" t="s">
        <v>410</v>
      </c>
      <c r="E79" s="107" t="s">
        <v>18</v>
      </c>
      <c r="F79" s="108" t="s">
        <v>18</v>
      </c>
      <c r="G79" s="109"/>
      <c r="H79" s="110" t="str">
        <f>HYPERLINK(CONCATENATE(BASE_URL,"0x05i-Testing-Code-Quality-and-Build-Settings.md#testing-exception-handling-mstg-code-6-and-mstg-code-7"),"测试异常处理 (MSTG-CODE-6 and MSTG-CODE-7)")</f>
        <v>测试异常处理 (MSTG-CODE-6 and MSTG-CODE-7)</v>
      </c>
      <c r="I79" s="110"/>
      <c r="J79" s="110"/>
      <c r="K79" s="131"/>
      <c r="L79" s="112"/>
    </row>
    <row r="80" spans="2:13" ht="45" customHeight="1" x14ac:dyDescent="0.35">
      <c r="B80" s="104" t="s">
        <v>144</v>
      </c>
      <c r="C80" s="105" t="s">
        <v>145</v>
      </c>
      <c r="D80" s="124" t="s">
        <v>411</v>
      </c>
      <c r="E80" s="107" t="s">
        <v>18</v>
      </c>
      <c r="F80" s="108" t="s">
        <v>18</v>
      </c>
      <c r="G80" s="109"/>
      <c r="H80" s="110" t="str">
        <f>HYPERLINK(CONCATENATE(BASE_URL,"0x04h-Testing-Code-Quality.md#memory-corruption-bugs-mstg-code-8"),"内存泄露错误 (MSTG-CODE-8)")</f>
        <v>内存泄露错误 (MSTG-CODE-8)</v>
      </c>
      <c r="I80" s="110"/>
      <c r="J80" s="110"/>
      <c r="K80" s="131"/>
      <c r="L80" s="135"/>
      <c r="M80" s="136"/>
    </row>
    <row r="81" spans="2:12" ht="45" customHeight="1" x14ac:dyDescent="0.35">
      <c r="B81" s="104" t="s">
        <v>146</v>
      </c>
      <c r="C81" s="105" t="s">
        <v>147</v>
      </c>
      <c r="D81" s="106" t="s">
        <v>412</v>
      </c>
      <c r="E81" s="107" t="s">
        <v>18</v>
      </c>
      <c r="F81" s="108" t="s">
        <v>18</v>
      </c>
      <c r="G81" s="109"/>
      <c r="H81" s="110" t="str">
        <f>HYPERLINK(CONCATENATE(BASE_URL,"0x05i-Testing-Code-Quality-and-Build-Settings.md#make-sure-that-free-security-features-are-activated-mstg-code-9"),"确保激活了免费的安全功能 (MSTG-CODE-9)")</f>
        <v>确保激活了免费的安全功能 (MSTG-CODE-9)</v>
      </c>
      <c r="I81" s="110"/>
      <c r="J81" s="110"/>
      <c r="K81" s="131"/>
      <c r="L81" s="112"/>
    </row>
    <row r="82" spans="2:12" x14ac:dyDescent="0.35">
      <c r="B82" s="137"/>
      <c r="C82" s="138"/>
      <c r="D82" s="139"/>
      <c r="E82" s="140"/>
      <c r="F82" s="140"/>
      <c r="G82" s="140"/>
      <c r="H82" s="140"/>
      <c r="I82" s="141"/>
      <c r="J82" s="141"/>
      <c r="K82" s="141"/>
      <c r="L82" s="142"/>
    </row>
    <row r="84" spans="2:12" x14ac:dyDescent="0.35">
      <c r="D84" s="115"/>
    </row>
    <row r="86" spans="2:12" x14ac:dyDescent="0.35">
      <c r="B86" s="143" t="s">
        <v>148</v>
      </c>
      <c r="C86" s="143"/>
    </row>
    <row r="87" spans="2:12" x14ac:dyDescent="0.35">
      <c r="B87" s="144" t="s">
        <v>265</v>
      </c>
      <c r="C87" s="144"/>
      <c r="D87" s="145" t="s">
        <v>266</v>
      </c>
    </row>
    <row r="88" spans="2:12" x14ac:dyDescent="0.35">
      <c r="B88" s="146" t="s">
        <v>149</v>
      </c>
      <c r="C88" s="146"/>
      <c r="D88" s="147" t="s">
        <v>267</v>
      </c>
    </row>
    <row r="89" spans="2:12" x14ac:dyDescent="0.35">
      <c r="B89" s="146" t="s">
        <v>150</v>
      </c>
      <c r="C89" s="146"/>
      <c r="D89" s="147" t="s">
        <v>268</v>
      </c>
    </row>
    <row r="90" spans="2:12" x14ac:dyDescent="0.35">
      <c r="B90" s="146" t="s">
        <v>27</v>
      </c>
      <c r="C90" s="146"/>
      <c r="D90" s="147" t="s">
        <v>269</v>
      </c>
    </row>
  </sheetData>
  <mergeCells count="2">
    <mergeCell ref="B1:L1"/>
    <mergeCell ref="H3:J3"/>
  </mergeCells>
  <dataValidations count="2">
    <dataValidation type="list" allowBlank="1" showInputMessage="1" showErrorMessage="1" sqref="G83:G1090 I83:L1090" xr:uid="{00000000-0002-0000-0200-000000000000}">
      <formula1>"Yes,No,N/A"</formula1>
      <formula2>0</formula2>
    </dataValidation>
    <dataValidation type="list" allowBlank="1" showInputMessage="1" showErrorMessage="1" sqref="G5:G16 G34:G39 G41:G52 G54:G59 G73:G81 G18:G32 G61:G71" xr:uid="{00000000-0002-0000-0200-000001000000}">
      <formula1>"Pass,Fail,N/A"</formula1>
      <formula2>0</formula2>
    </dataValidation>
  </dataValidations>
  <pageMargins left="0.75" right="0.75" top="1" bottom="1" header="0.51180555555555496" footer="0.51180555555555496"/>
  <pageSetup paperSize="9" firstPageNumber="0"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K31"/>
  <sheetViews>
    <sheetView tabSelected="1" zoomScaleNormal="100" workbookViewId="0">
      <selection activeCell="G18" sqref="G18"/>
    </sheetView>
  </sheetViews>
  <sheetFormatPr defaultColWidth="8.875" defaultRowHeight="15.75" x14ac:dyDescent="0.25"/>
  <cols>
    <col min="1" max="1" width="1.875" style="1" customWidth="1"/>
    <col min="2" max="2" width="7.375" style="2" customWidth="1"/>
    <col min="3" max="3" width="20.625" style="2" customWidth="1"/>
    <col min="4" max="4" width="97.375" style="3" customWidth="1"/>
    <col min="5" max="5" width="3" style="1" customWidth="1"/>
    <col min="6" max="6" width="5.875" style="1" customWidth="1"/>
    <col min="7" max="7" width="69.125" customWidth="1"/>
    <col min="8" max="8" width="30.625" style="3" customWidth="1"/>
    <col min="9" max="1025" width="11" style="1" customWidth="1"/>
  </cols>
  <sheetData>
    <row r="1" spans="2:8" ht="18.75" x14ac:dyDescent="0.3">
      <c r="B1" s="35" t="s">
        <v>230</v>
      </c>
      <c r="C1" s="35"/>
      <c r="D1" s="27"/>
      <c r="E1" s="28"/>
      <c r="F1" s="28"/>
      <c r="G1" s="29"/>
      <c r="H1" s="27"/>
    </row>
    <row r="2" spans="2:8" x14ac:dyDescent="0.25">
      <c r="B2" s="26"/>
      <c r="C2" s="26"/>
      <c r="D2" s="27"/>
      <c r="E2" s="28"/>
      <c r="F2" s="28"/>
      <c r="G2" s="29"/>
      <c r="H2" s="27"/>
    </row>
    <row r="3" spans="2:8" ht="33" x14ac:dyDescent="0.25">
      <c r="B3" s="92" t="s">
        <v>8</v>
      </c>
      <c r="C3" s="93" t="s">
        <v>9</v>
      </c>
      <c r="D3" s="94" t="s">
        <v>414</v>
      </c>
      <c r="E3" s="95" t="s">
        <v>151</v>
      </c>
      <c r="F3" s="95" t="s">
        <v>264</v>
      </c>
      <c r="G3" s="215" t="s">
        <v>271</v>
      </c>
      <c r="H3" s="216" t="s">
        <v>263</v>
      </c>
    </row>
    <row r="4" spans="2:8" ht="33" x14ac:dyDescent="0.25">
      <c r="B4" s="116"/>
      <c r="C4" s="117"/>
      <c r="D4" s="118" t="s">
        <v>432</v>
      </c>
      <c r="E4" s="119"/>
      <c r="F4" s="119"/>
      <c r="G4" s="217"/>
      <c r="H4" s="218"/>
    </row>
    <row r="5" spans="2:8" ht="45" customHeight="1" x14ac:dyDescent="0.35">
      <c r="B5" s="104" t="s">
        <v>152</v>
      </c>
      <c r="C5" s="105" t="s">
        <v>153</v>
      </c>
      <c r="D5" s="115" t="s">
        <v>413</v>
      </c>
      <c r="E5" s="219" t="s">
        <v>18</v>
      </c>
      <c r="F5" s="109" t="s">
        <v>27</v>
      </c>
      <c r="G5" s="220" t="str">
        <f>HYPERLINK(CONCATENATE(BASE_URL,"0x05j-Testing-Resiliency-Against-Reverse-Engineering.md#testing-root-detection-mstg-resilience-1"),"越狱察觉测试 (MSTG-RESILIENCE-1)")</f>
        <v>越狱察觉测试 (MSTG-RESILIENCE-1)</v>
      </c>
      <c r="H5" s="221"/>
    </row>
    <row r="6" spans="2:8" ht="45" customHeight="1" x14ac:dyDescent="0.35">
      <c r="B6" s="104" t="s">
        <v>154</v>
      </c>
      <c r="C6" s="105" t="s">
        <v>155</v>
      </c>
      <c r="D6" s="115" t="s">
        <v>415</v>
      </c>
      <c r="E6" s="219" t="s">
        <v>18</v>
      </c>
      <c r="F6" s="109" t="s">
        <v>27</v>
      </c>
      <c r="G6" s="220" t="str">
        <f>HYPERLINK(CONCATENATE(BASE_URL,"0x05j-Testing-Resiliency-Against-Reverse-Engineering.md#testing-anti-debugging-detection-mstg-resilience-2"),"反调试察觉测试 (MSTG-RESILIENCE-2)")</f>
        <v>反调试察觉测试 (MSTG-RESILIENCE-2)</v>
      </c>
      <c r="H6" s="221"/>
    </row>
    <row r="7" spans="2:8" ht="45" customHeight="1" x14ac:dyDescent="0.35">
      <c r="B7" s="104" t="s">
        <v>156</v>
      </c>
      <c r="C7" s="105" t="s">
        <v>157</v>
      </c>
      <c r="D7" s="222" t="s">
        <v>416</v>
      </c>
      <c r="E7" s="219" t="s">
        <v>18</v>
      </c>
      <c r="F7" s="109" t="s">
        <v>27</v>
      </c>
      <c r="G7" s="220" t="str">
        <f>HYPERLINK(CONCATENATE(BASE_URL,"0x05j-Testing-Resiliency-Against-Reverse-Engineering.md#testing-file-integrity-checks-mstg-resilience-3"),"文件完整性检查测试 (MSTG-RESILIENCE-3)")</f>
        <v>文件完整性检查测试 (MSTG-RESILIENCE-3)</v>
      </c>
      <c r="H7" s="221"/>
    </row>
    <row r="8" spans="2:8" ht="45" customHeight="1" x14ac:dyDescent="0.35">
      <c r="B8" s="104" t="s">
        <v>158</v>
      </c>
      <c r="C8" s="105" t="s">
        <v>159</v>
      </c>
      <c r="D8" s="222" t="s">
        <v>417</v>
      </c>
      <c r="E8" s="219" t="s">
        <v>18</v>
      </c>
      <c r="F8" s="109" t="s">
        <v>27</v>
      </c>
      <c r="G8" s="220" t="str">
        <f>HYPERLINK(CONCATENATE(BASE_URL,"0x05j-Testing-Resiliency-Against-Reverse-Engineering.md#testing-reverse-engineering-tools-detection-mstg-resilience-4"),"逆向工程工具察觉测试 (MSTG-RESILIENCE-4)")</f>
        <v>逆向工程工具察觉测试 (MSTG-RESILIENCE-4)</v>
      </c>
      <c r="H8" s="221"/>
    </row>
    <row r="9" spans="2:8" ht="45" customHeight="1" x14ac:dyDescent="0.35">
      <c r="B9" s="104" t="s">
        <v>160</v>
      </c>
      <c r="C9" s="105" t="s">
        <v>161</v>
      </c>
      <c r="D9" s="222" t="s">
        <v>418</v>
      </c>
      <c r="E9" s="219" t="s">
        <v>18</v>
      </c>
      <c r="F9" s="109" t="s">
        <v>27</v>
      </c>
      <c r="G9" s="220" t="str">
        <f>HYPERLINK(CONCATENATE(BASE_URL,"0x05j-Testing-Resiliency-Against-Reverse-Engineering.md#testing-emulator-detection-mstg-resilience-5"),"模拟器察觉测试 (MSTG-RESILIENCE-5)")</f>
        <v>模拟器察觉测试 (MSTG-RESILIENCE-5)</v>
      </c>
      <c r="H9" s="221"/>
    </row>
    <row r="10" spans="2:8" ht="45" customHeight="1" x14ac:dyDescent="0.35">
      <c r="B10" s="104" t="s">
        <v>162</v>
      </c>
      <c r="C10" s="105" t="s">
        <v>163</v>
      </c>
      <c r="D10" s="222" t="s">
        <v>419</v>
      </c>
      <c r="E10" s="219" t="s">
        <v>18</v>
      </c>
      <c r="F10" s="109" t="s">
        <v>27</v>
      </c>
      <c r="G10" s="220" t="str">
        <f>HYPERLINK(CONCATENATE(BASE_URL,"0x05j-Testing-Resiliency-Against-Reverse-Engineering.md#testing-run-time-integrity-checks-mstg-resilience-6"),"运行时完整性检测测试 (MSTG-RESILIENCE-6)")</f>
        <v>运行时完整性检测测试 (MSTG-RESILIENCE-6)</v>
      </c>
      <c r="H10" s="221"/>
    </row>
    <row r="11" spans="2:8" ht="45" customHeight="1" x14ac:dyDescent="0.35">
      <c r="B11" s="104" t="s">
        <v>164</v>
      </c>
      <c r="C11" s="105" t="s">
        <v>165</v>
      </c>
      <c r="D11" s="115" t="s">
        <v>420</v>
      </c>
      <c r="E11" s="219" t="s">
        <v>18</v>
      </c>
      <c r="F11" s="109" t="s">
        <v>27</v>
      </c>
      <c r="G11" s="223" t="s">
        <v>166</v>
      </c>
      <c r="H11" s="221"/>
    </row>
    <row r="12" spans="2:8" ht="45" customHeight="1" x14ac:dyDescent="0.35">
      <c r="B12" s="104" t="s">
        <v>167</v>
      </c>
      <c r="C12" s="105" t="s">
        <v>168</v>
      </c>
      <c r="D12" s="222" t="s">
        <v>421</v>
      </c>
      <c r="E12" s="219" t="s">
        <v>18</v>
      </c>
      <c r="F12" s="109" t="s">
        <v>27</v>
      </c>
      <c r="G12" s="224" t="s">
        <v>169</v>
      </c>
      <c r="H12" s="221"/>
    </row>
    <row r="13" spans="2:8" ht="45" customHeight="1" x14ac:dyDescent="0.35">
      <c r="B13" s="104" t="s">
        <v>170</v>
      </c>
      <c r="C13" s="105" t="s">
        <v>171</v>
      </c>
      <c r="D13" s="222" t="s">
        <v>422</v>
      </c>
      <c r="E13" s="219" t="s">
        <v>18</v>
      </c>
      <c r="F13" s="109" t="s">
        <v>27</v>
      </c>
      <c r="G13" s="220" t="str">
        <f>HYPERLINK(CONCATENATE(BASE_URL,"0x05j-Testing-Resiliency-Against-Reverse-Engineering.md#testing-obfuscation-mstg-resilience-9"),"混淆测试 (MSTG-RESILIENCE-9)")</f>
        <v>混淆测试 (MSTG-RESILIENCE-9)</v>
      </c>
      <c r="H13" s="221"/>
    </row>
    <row r="14" spans="2:8" ht="33" x14ac:dyDescent="0.25">
      <c r="B14" s="116"/>
      <c r="C14" s="117"/>
      <c r="D14" s="118" t="s">
        <v>431</v>
      </c>
      <c r="E14" s="119"/>
      <c r="F14" s="119"/>
      <c r="G14" s="217"/>
      <c r="H14" s="218"/>
    </row>
    <row r="15" spans="2:8" ht="49.5" x14ac:dyDescent="0.35">
      <c r="B15" s="104" t="s">
        <v>172</v>
      </c>
      <c r="C15" s="105" t="s">
        <v>173</v>
      </c>
      <c r="D15" s="115" t="s">
        <v>423</v>
      </c>
      <c r="E15" s="219" t="s">
        <v>18</v>
      </c>
      <c r="F15" s="109" t="s">
        <v>27</v>
      </c>
      <c r="G15" s="220" t="str">
        <f>HYPERLINK(CONCATENATE(BASE_URL,"0x05j-Testing-Resiliency-Against-Reverse-Engineering.md#testing-device-binding-mstg-resilience-10"),"设备绑定测试 (MSTG-RESILIENCE-10)")</f>
        <v>设备绑定测试 (MSTG-RESILIENCE-10)</v>
      </c>
      <c r="H15" s="221"/>
    </row>
    <row r="16" spans="2:8" ht="33" x14ac:dyDescent="0.25">
      <c r="B16" s="116"/>
      <c r="C16" s="117"/>
      <c r="D16" s="118" t="s">
        <v>430</v>
      </c>
      <c r="E16" s="119"/>
      <c r="F16" s="119"/>
      <c r="G16" s="217"/>
      <c r="H16" s="218"/>
    </row>
    <row r="17" spans="2:8" ht="82.5" x14ac:dyDescent="0.35">
      <c r="B17" s="104" t="s">
        <v>174</v>
      </c>
      <c r="C17" s="105" t="s">
        <v>175</v>
      </c>
      <c r="D17" s="115" t="s">
        <v>424</v>
      </c>
      <c r="E17" s="219" t="s">
        <v>18</v>
      </c>
      <c r="F17" s="109" t="s">
        <v>27</v>
      </c>
      <c r="G17" s="220" t="str">
        <f>HYPERLINK(CONCATENATE(BASE_URL,"0x05j-Testing-Resiliency-Against-Reverse-Engineering.md#testing-obfuscation-mstg-resilience-9"),"混淆测试 (MSTG-RESILIENCE-9)")</f>
        <v>混淆测试 (MSTG-RESILIENCE-9)</v>
      </c>
      <c r="H17" s="221"/>
    </row>
    <row r="18" spans="2:8" ht="115.5" x14ac:dyDescent="0.35">
      <c r="B18" s="104" t="s">
        <v>176</v>
      </c>
      <c r="C18" s="105" t="s">
        <v>177</v>
      </c>
      <c r="D18" s="115" t="s">
        <v>425</v>
      </c>
      <c r="E18" s="219" t="s">
        <v>18</v>
      </c>
      <c r="F18" s="109" t="s">
        <v>27</v>
      </c>
      <c r="G18" s="220"/>
      <c r="H18" s="221"/>
    </row>
    <row r="19" spans="2:8" ht="33" x14ac:dyDescent="0.25">
      <c r="B19" s="116"/>
      <c r="C19" s="117"/>
      <c r="D19" s="118" t="s">
        <v>429</v>
      </c>
      <c r="E19" s="119"/>
      <c r="F19" s="119"/>
      <c r="G19" s="217"/>
      <c r="H19" s="218"/>
    </row>
    <row r="20" spans="2:8" ht="33" x14ac:dyDescent="0.35">
      <c r="B20" s="104" t="s">
        <v>426</v>
      </c>
      <c r="C20" s="105" t="s">
        <v>427</v>
      </c>
      <c r="D20" s="115" t="s">
        <v>428</v>
      </c>
      <c r="E20" s="219" t="s">
        <v>18</v>
      </c>
      <c r="F20" s="109" t="s">
        <v>27</v>
      </c>
      <c r="G20" s="224" t="s">
        <v>166</v>
      </c>
      <c r="H20" s="221"/>
    </row>
    <row r="21" spans="2:8" x14ac:dyDescent="0.25">
      <c r="B21" s="20"/>
      <c r="C21" s="21"/>
      <c r="D21" s="22"/>
      <c r="E21" s="23"/>
      <c r="F21" s="23"/>
      <c r="G21" s="36"/>
      <c r="H21" s="25"/>
    </row>
    <row r="22" spans="2:8" x14ac:dyDescent="0.25">
      <c r="B22" s="26"/>
      <c r="C22" s="26"/>
      <c r="D22" s="27"/>
      <c r="E22" s="28"/>
      <c r="F22" s="28"/>
      <c r="G22" s="29"/>
      <c r="H22" s="27"/>
    </row>
    <row r="23" spans="2:8" x14ac:dyDescent="0.25">
      <c r="B23" s="26"/>
      <c r="C23" s="26"/>
      <c r="D23" s="27"/>
      <c r="E23" s="28"/>
      <c r="F23" s="28"/>
      <c r="G23" s="29"/>
      <c r="H23" s="27"/>
    </row>
    <row r="24" spans="2:8" x14ac:dyDescent="0.25">
      <c r="B24" s="30" t="s">
        <v>148</v>
      </c>
      <c r="C24" s="30"/>
      <c r="D24" s="27"/>
      <c r="E24" s="28"/>
      <c r="F24" s="28"/>
      <c r="G24" s="29"/>
      <c r="H24" s="27"/>
    </row>
    <row r="25" spans="2:8" x14ac:dyDescent="0.25">
      <c r="B25" s="31" t="s">
        <v>265</v>
      </c>
      <c r="C25" s="31"/>
      <c r="D25" s="32" t="s">
        <v>266</v>
      </c>
      <c r="E25" s="28"/>
      <c r="F25" s="28"/>
      <c r="G25" s="29"/>
      <c r="H25" s="27"/>
    </row>
    <row r="26" spans="2:8" x14ac:dyDescent="0.25">
      <c r="B26" s="33" t="s">
        <v>149</v>
      </c>
      <c r="C26" s="33"/>
      <c r="D26" s="34" t="s">
        <v>287</v>
      </c>
      <c r="E26" s="28"/>
      <c r="F26" s="28"/>
      <c r="G26" s="29"/>
      <c r="H26" s="27"/>
    </row>
    <row r="27" spans="2:8" x14ac:dyDescent="0.25">
      <c r="B27" s="33" t="s">
        <v>150</v>
      </c>
      <c r="C27" s="33"/>
      <c r="D27" s="34" t="s">
        <v>288</v>
      </c>
      <c r="E27" s="28"/>
      <c r="F27" s="28"/>
      <c r="G27" s="29"/>
      <c r="H27" s="27"/>
    </row>
    <row r="28" spans="2:8" x14ac:dyDescent="0.25">
      <c r="B28" s="33" t="s">
        <v>27</v>
      </c>
      <c r="C28" s="33"/>
      <c r="D28" s="34" t="s">
        <v>289</v>
      </c>
      <c r="E28" s="28"/>
      <c r="F28" s="28"/>
      <c r="G28" s="29"/>
      <c r="H28" s="27"/>
    </row>
    <row r="29" spans="2:8" x14ac:dyDescent="0.25">
      <c r="B29" s="26"/>
      <c r="C29" s="26"/>
      <c r="D29" s="27"/>
      <c r="E29" s="28"/>
      <c r="F29" s="28"/>
      <c r="G29" s="29"/>
      <c r="H29" s="27"/>
    </row>
    <row r="30" spans="2:8" x14ac:dyDescent="0.25">
      <c r="B30" s="26"/>
      <c r="C30" s="26"/>
      <c r="D30" s="27"/>
      <c r="E30" s="28"/>
      <c r="F30" s="28"/>
      <c r="G30" s="29"/>
      <c r="H30" s="27"/>
    </row>
    <row r="31" spans="2:8" x14ac:dyDescent="0.25">
      <c r="B31" s="26"/>
      <c r="C31" s="26"/>
      <c r="D31" s="27"/>
      <c r="E31" s="28"/>
      <c r="F31" s="28"/>
      <c r="G31" s="29"/>
      <c r="H31" s="27"/>
    </row>
  </sheetData>
  <dataValidations count="1">
    <dataValidation type="list" allowBlank="1" showInputMessage="1" showErrorMessage="1" sqref="F5:F13 F15 F17:F18 F20" xr:uid="{00000000-0002-0000-0300-000000000000}">
      <formula1>"Pass,Fail,N/A"</formula1>
      <formula2>0</formula2>
    </dataValidation>
  </dataValidations>
  <pageMargins left="0.75" right="0.75" top="1" bottom="1"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L91"/>
  <sheetViews>
    <sheetView topLeftCell="A70" zoomScale="107" zoomScaleNormal="107" workbookViewId="0">
      <selection activeCell="D72" sqref="D72"/>
    </sheetView>
  </sheetViews>
  <sheetFormatPr defaultColWidth="8.875" defaultRowHeight="15.75" x14ac:dyDescent="0.25"/>
  <cols>
    <col min="1" max="1" width="1.875" style="62" customWidth="1"/>
    <col min="2" max="2" width="8" style="83" customWidth="1"/>
    <col min="3" max="3" width="20.625" style="83" customWidth="1"/>
    <col min="4" max="4" width="97.375" style="84" customWidth="1"/>
    <col min="5" max="6" width="6.625" style="62" customWidth="1"/>
    <col min="7" max="7" width="5.875" style="62" customWidth="1"/>
    <col min="8" max="8" width="91.625" style="62" customWidth="1"/>
    <col min="9" max="10" width="75.375" style="62" customWidth="1"/>
    <col min="11" max="11" width="30.875" style="84" customWidth="1"/>
    <col min="12" max="12" width="11" style="62" customWidth="1"/>
    <col min="13" max="14" width="10.875" style="62" customWidth="1"/>
    <col min="15" max="1025" width="11" style="62" customWidth="1"/>
    <col min="1026" max="16384" width="8.875" style="62"/>
  </cols>
  <sheetData>
    <row r="1" spans="1:1026" ht="18.75" x14ac:dyDescent="0.25">
      <c r="B1" s="66" t="s">
        <v>291</v>
      </c>
      <c r="C1" s="66"/>
      <c r="D1" s="67"/>
      <c r="E1" s="68"/>
      <c r="F1" s="68"/>
      <c r="G1" s="68"/>
      <c r="H1" s="67"/>
      <c r="I1" s="69"/>
      <c r="J1" s="69"/>
      <c r="K1" s="67"/>
    </row>
    <row r="2" spans="1:1026" x14ac:dyDescent="0.25">
      <c r="B2" s="70"/>
      <c r="C2" s="70"/>
      <c r="D2" s="67"/>
      <c r="E2" s="68"/>
      <c r="F2" s="68"/>
      <c r="G2" s="68"/>
      <c r="H2" s="68"/>
      <c r="I2" s="68"/>
      <c r="J2" s="68"/>
      <c r="K2" s="67"/>
    </row>
    <row r="3" spans="1:1026" ht="15.6" customHeight="1" x14ac:dyDescent="0.25">
      <c r="B3" s="92" t="s">
        <v>8</v>
      </c>
      <c r="C3" s="93" t="s">
        <v>9</v>
      </c>
      <c r="D3" s="193" t="s">
        <v>357</v>
      </c>
      <c r="E3" s="95" t="s">
        <v>10</v>
      </c>
      <c r="F3" s="95" t="s">
        <v>11</v>
      </c>
      <c r="G3" s="95" t="s">
        <v>264</v>
      </c>
      <c r="H3" s="194" t="s">
        <v>271</v>
      </c>
      <c r="I3" s="194"/>
      <c r="J3" s="194"/>
      <c r="K3" s="195" t="s">
        <v>14</v>
      </c>
    </row>
    <row r="4" spans="1:1026" ht="33" x14ac:dyDescent="0.25">
      <c r="B4" s="98" t="s">
        <v>15</v>
      </c>
      <c r="C4" s="99"/>
      <c r="D4" s="196" t="s">
        <v>356</v>
      </c>
      <c r="E4" s="101"/>
      <c r="F4" s="101"/>
      <c r="G4" s="101"/>
      <c r="H4" s="196"/>
      <c r="I4" s="196"/>
      <c r="J4" s="197"/>
      <c r="K4" s="198"/>
    </row>
    <row r="5" spans="1:1026" ht="45" customHeight="1" x14ac:dyDescent="0.25">
      <c r="B5" s="104" t="s">
        <v>16</v>
      </c>
      <c r="C5" s="105" t="s">
        <v>17</v>
      </c>
      <c r="D5" s="106" t="s">
        <v>321</v>
      </c>
      <c r="E5" s="107" t="s">
        <v>18</v>
      </c>
      <c r="F5" s="108" t="s">
        <v>18</v>
      </c>
      <c r="G5" s="109" t="s">
        <v>149</v>
      </c>
      <c r="H5" s="114" t="str">
        <f>HYPERLINK(CONCATENATE( BASE_URL, "0x04b-Mobile-App-Security-Testing.md#architectural-information"), "架构信息")</f>
        <v>架构信息</v>
      </c>
      <c r="I5" s="199"/>
      <c r="J5" s="199"/>
      <c r="K5" s="200"/>
    </row>
    <row r="6" spans="1:1026" ht="45" customHeight="1" x14ac:dyDescent="0.25">
      <c r="B6" s="104" t="s">
        <v>19</v>
      </c>
      <c r="C6" s="105" t="s">
        <v>20</v>
      </c>
      <c r="D6" s="106" t="s">
        <v>322</v>
      </c>
      <c r="E6" s="107" t="s">
        <v>18</v>
      </c>
      <c r="F6" s="108" t="s">
        <v>18</v>
      </c>
      <c r="G6" s="109"/>
      <c r="H6" s="201" t="str">
        <f>HYPERLINK(CONCATENATE( BASE_URL, "0x04h-Testing-Code-Quality.md#injection-flaws-mstg-arch-2-and-mstg-platform-2"), "Injection Flaws (MSTG-ARCH-2 and MSTG-PLATFORM-2)")</f>
        <v>Injection Flaws (MSTG-ARCH-2 and MSTG-PLATFORM-2)</v>
      </c>
      <c r="I6" s="114"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6" s="202"/>
      <c r="K6" s="200"/>
    </row>
    <row r="7" spans="1:1026" ht="45" customHeight="1" x14ac:dyDescent="0.25">
      <c r="B7" s="104" t="s">
        <v>21</v>
      </c>
      <c r="C7" s="105" t="s">
        <v>22</v>
      </c>
      <c r="D7" s="106" t="s">
        <v>323</v>
      </c>
      <c r="E7" s="107" t="s">
        <v>18</v>
      </c>
      <c r="F7" s="108" t="s">
        <v>18</v>
      </c>
      <c r="G7" s="109"/>
      <c r="H7" s="201" t="str">
        <f>HYPERLINK(CONCATENATE( BASE_URL, "0x04b-Mobile-App-Security-Testing.md#architectural-information"), "Architectural Information")</f>
        <v>Architectural Information</v>
      </c>
      <c r="I7" s="199"/>
      <c r="J7" s="199"/>
      <c r="K7" s="200"/>
    </row>
    <row r="8" spans="1:1026" ht="45" customHeight="1" x14ac:dyDescent="0.25">
      <c r="B8" s="104" t="s">
        <v>23</v>
      </c>
      <c r="C8" s="105" t="s">
        <v>24</v>
      </c>
      <c r="D8" s="106" t="s">
        <v>324</v>
      </c>
      <c r="E8" s="107" t="s">
        <v>18</v>
      </c>
      <c r="F8" s="108" t="s">
        <v>18</v>
      </c>
      <c r="G8" s="109"/>
      <c r="H8" s="201" t="str">
        <f>HYPERLINK(CONCATENATE( BASE_URL, "0x04b-Mobile-App-Security-Testing.md#identifying-sensitive-data"), "Identifying Sensitive Data")</f>
        <v>Identifying Sensitive Data</v>
      </c>
      <c r="I8" s="199"/>
      <c r="J8" s="199"/>
      <c r="K8" s="200"/>
    </row>
    <row r="9" spans="1:1026" ht="45" customHeight="1" x14ac:dyDescent="0.25">
      <c r="B9" s="104" t="s">
        <v>25</v>
      </c>
      <c r="C9" s="105" t="s">
        <v>26</v>
      </c>
      <c r="D9" s="106" t="s">
        <v>325</v>
      </c>
      <c r="E9" s="113"/>
      <c r="F9" s="108" t="s">
        <v>18</v>
      </c>
      <c r="G9" s="109" t="s">
        <v>27</v>
      </c>
      <c r="H9" s="201" t="str">
        <f>HYPERLINK(CONCATENATE( BASE_URL, "0x04b-Mobile-App-Security-Testing.md#environmental-information"), "Environmental Information")</f>
        <v>Environmental Information</v>
      </c>
      <c r="I9" s="199"/>
      <c r="J9" s="199"/>
      <c r="K9" s="200"/>
    </row>
    <row r="10" spans="1:1026" ht="45" customHeight="1" x14ac:dyDescent="0.25">
      <c r="B10" s="104" t="s">
        <v>28</v>
      </c>
      <c r="C10" s="105" t="s">
        <v>29</v>
      </c>
      <c r="D10" s="106" t="s">
        <v>326</v>
      </c>
      <c r="E10" s="113"/>
      <c r="F10" s="108" t="s">
        <v>18</v>
      </c>
      <c r="G10" s="109" t="s">
        <v>27</v>
      </c>
      <c r="H10" s="201" t="str">
        <f>HYPERLINK(CONCATENATE( BASE_URL, "0x04b-Mobile-App-Security-Testing.md#mapping-the-application"), "Mapping the Application")</f>
        <v>Mapping the Application</v>
      </c>
      <c r="I10" s="199"/>
      <c r="J10" s="199"/>
      <c r="K10" s="200"/>
    </row>
    <row r="11" spans="1:1026" ht="45" customHeight="1" x14ac:dyDescent="0.25">
      <c r="B11" s="104" t="s">
        <v>30</v>
      </c>
      <c r="C11" s="105" t="s">
        <v>31</v>
      </c>
      <c r="D11" s="106" t="s">
        <v>327</v>
      </c>
      <c r="E11" s="113"/>
      <c r="F11" s="108" t="s">
        <v>18</v>
      </c>
      <c r="G11" s="109" t="s">
        <v>27</v>
      </c>
      <c r="H11" s="201" t="str">
        <f>HYPERLINK(CONCATENATE( BASE_URL, "0x04b-Mobile-App-Security-Testing.md#principles-of-testing"), "Principles of Testing")</f>
        <v>Principles of Testing</v>
      </c>
      <c r="I11" s="203" t="str">
        <f>HYPERLINK(CONCATENATE( BASE_URL, "0x04b-Mobile-App-Security-Testing.md#penetration-testing-aka-pentesting"), "Penetration Testing (a.k.a. Pentesting)")</f>
        <v>Penetration Testing (a.k.a. Pentesting)</v>
      </c>
      <c r="J11" s="203"/>
      <c r="K11" s="200"/>
    </row>
    <row r="12" spans="1:1026" ht="45" customHeight="1" x14ac:dyDescent="0.25">
      <c r="B12" s="104" t="s">
        <v>32</v>
      </c>
      <c r="C12" s="105" t="s">
        <v>33</v>
      </c>
      <c r="D12" s="106" t="s">
        <v>328</v>
      </c>
      <c r="E12" s="113"/>
      <c r="F12" s="108" t="s">
        <v>18</v>
      </c>
      <c r="G12" s="109" t="s">
        <v>27</v>
      </c>
      <c r="H12" s="201" t="str">
        <f>HYPERLINK(CONCATENATE( BASE_URL, "0x04g-Testing-Cryptography.md#cryptographic-policy"), "Cryptographic policy")</f>
        <v>Cryptographic policy</v>
      </c>
      <c r="I12" s="199"/>
      <c r="J12" s="199"/>
      <c r="K12" s="200"/>
    </row>
    <row r="13" spans="1:1026" ht="45" customHeight="1" x14ac:dyDescent="0.25">
      <c r="B13" s="104" t="s">
        <v>34</v>
      </c>
      <c r="C13" s="105" t="s">
        <v>35</v>
      </c>
      <c r="D13" s="106" t="s">
        <v>329</v>
      </c>
      <c r="E13" s="113"/>
      <c r="F13" s="108" t="s">
        <v>18</v>
      </c>
      <c r="G13" s="109" t="s">
        <v>27</v>
      </c>
      <c r="H13" s="201" t="str">
        <f>HYPERLINK(CONCATENATE( BASE_URL, "0x06h-Testing-Platform-Interaction.md#testing-enforced-updating-mstg-arch-9"), "Testing enforced updating (MSTG-ARCH-9)")</f>
        <v>Testing enforced updating (MSTG-ARCH-9)</v>
      </c>
      <c r="I13" s="199"/>
      <c r="J13" s="199"/>
      <c r="K13" s="200"/>
    </row>
    <row r="14" spans="1:1026" ht="45" customHeight="1" x14ac:dyDescent="0.25">
      <c r="B14" s="104" t="s">
        <v>36</v>
      </c>
      <c r="C14" s="105" t="s">
        <v>37</v>
      </c>
      <c r="D14" s="106" t="s">
        <v>330</v>
      </c>
      <c r="E14" s="113"/>
      <c r="F14" s="108" t="s">
        <v>18</v>
      </c>
      <c r="G14" s="109" t="s">
        <v>27</v>
      </c>
      <c r="H14" s="201" t="str">
        <f>HYPERLINK(CONCATENATE( BASE_URL, "0x04b-Mobile-App-Security-Testing.md#security-testing-and-the-sdlc"), "Security Testing and the SDLC")</f>
        <v>Security Testing and the SDLC</v>
      </c>
      <c r="I14" s="199"/>
      <c r="J14" s="199"/>
      <c r="K14" s="200"/>
    </row>
    <row r="15" spans="1:1026" s="72" customFormat="1" ht="45" customHeight="1" x14ac:dyDescent="0.25">
      <c r="A15" s="71"/>
      <c r="B15" s="104" t="s">
        <v>305</v>
      </c>
      <c r="C15" s="105" t="s">
        <v>307</v>
      </c>
      <c r="D15" s="106" t="s">
        <v>331</v>
      </c>
      <c r="E15" s="113"/>
      <c r="F15" s="108" t="s">
        <v>18</v>
      </c>
      <c r="G15" s="109" t="s">
        <v>27</v>
      </c>
      <c r="H15" s="110"/>
      <c r="I15" s="110"/>
      <c r="J15" s="110"/>
      <c r="K15" s="131"/>
      <c r="L15" s="63"/>
      <c r="M15" s="71"/>
      <c r="N15" s="71"/>
      <c r="O15" s="71"/>
      <c r="P15" s="71"/>
      <c r="Q15" s="71"/>
      <c r="R15" s="71"/>
      <c r="S15" s="71"/>
      <c r="T15" s="71"/>
      <c r="U15" s="71"/>
      <c r="V15" s="71"/>
      <c r="W15" s="71"/>
      <c r="X15" s="71"/>
      <c r="Y15" s="71"/>
      <c r="Z15" s="71"/>
      <c r="AA15" s="71"/>
      <c r="AB15" s="71"/>
      <c r="AC15" s="71"/>
      <c r="AD15" s="71"/>
      <c r="AE15" s="71"/>
      <c r="AF15" s="71"/>
      <c r="AG15" s="71"/>
      <c r="AH15" s="71"/>
      <c r="AI15" s="71"/>
      <c r="AJ15" s="71"/>
      <c r="AK15" s="71"/>
      <c r="AL15" s="71"/>
      <c r="AM15" s="71"/>
      <c r="AN15" s="71"/>
      <c r="AO15" s="71"/>
      <c r="AP15" s="71"/>
      <c r="AQ15" s="71"/>
      <c r="AR15" s="71"/>
      <c r="AS15" s="71"/>
      <c r="AT15" s="71"/>
      <c r="AU15" s="71"/>
      <c r="AV15" s="71"/>
      <c r="AW15" s="71"/>
      <c r="AX15" s="71"/>
      <c r="AY15" s="71"/>
      <c r="AZ15" s="71"/>
      <c r="BA15" s="71"/>
      <c r="BB15" s="71"/>
      <c r="BC15" s="71"/>
      <c r="BD15" s="71"/>
      <c r="BE15" s="71"/>
      <c r="BF15" s="71"/>
      <c r="BG15" s="71"/>
      <c r="BH15" s="71"/>
      <c r="BI15" s="71"/>
      <c r="BJ15" s="71"/>
      <c r="BK15" s="71"/>
      <c r="BL15" s="71"/>
      <c r="BM15" s="71"/>
      <c r="BN15" s="71"/>
      <c r="BO15" s="71"/>
      <c r="BP15" s="71"/>
      <c r="BQ15" s="71"/>
      <c r="BR15" s="71"/>
      <c r="BS15" s="71"/>
      <c r="BT15" s="71"/>
      <c r="BU15" s="71"/>
      <c r="BV15" s="71"/>
      <c r="BW15" s="71"/>
      <c r="BX15" s="71"/>
      <c r="BY15" s="71"/>
      <c r="BZ15" s="71"/>
      <c r="CA15" s="71"/>
      <c r="CB15" s="71"/>
      <c r="CC15" s="71"/>
      <c r="CD15" s="71"/>
      <c r="CE15" s="71"/>
      <c r="CF15" s="71"/>
      <c r="CG15" s="71"/>
      <c r="CH15" s="71"/>
      <c r="CI15" s="71"/>
      <c r="CJ15" s="71"/>
      <c r="CK15" s="71"/>
      <c r="CL15" s="71"/>
      <c r="CM15" s="71"/>
      <c r="CN15" s="71"/>
      <c r="CO15" s="71"/>
      <c r="CP15" s="71"/>
      <c r="CQ15" s="71"/>
      <c r="CR15" s="71"/>
      <c r="CS15" s="71"/>
      <c r="CT15" s="71"/>
      <c r="CU15" s="71"/>
      <c r="CV15" s="71"/>
      <c r="CW15" s="71"/>
      <c r="CX15" s="71"/>
      <c r="CY15" s="71"/>
      <c r="CZ15" s="71"/>
      <c r="DA15" s="71"/>
      <c r="DB15" s="71"/>
      <c r="DC15" s="71"/>
      <c r="DD15" s="71"/>
      <c r="DE15" s="71"/>
      <c r="DF15" s="71"/>
      <c r="DG15" s="71"/>
      <c r="DH15" s="71"/>
      <c r="DI15" s="71"/>
      <c r="DJ15" s="71"/>
      <c r="DK15" s="71"/>
      <c r="DL15" s="71"/>
      <c r="DM15" s="71"/>
      <c r="DN15" s="71"/>
      <c r="DO15" s="71"/>
      <c r="DP15" s="71"/>
      <c r="DQ15" s="71"/>
      <c r="DR15" s="71"/>
      <c r="DS15" s="71"/>
      <c r="DT15" s="71"/>
      <c r="DU15" s="71"/>
      <c r="DV15" s="71"/>
      <c r="DW15" s="71"/>
      <c r="DX15" s="71"/>
      <c r="DY15" s="71"/>
      <c r="DZ15" s="71"/>
      <c r="EA15" s="71"/>
      <c r="EB15" s="71"/>
      <c r="EC15" s="71"/>
      <c r="ED15" s="71"/>
      <c r="EE15" s="71"/>
      <c r="EF15" s="71"/>
      <c r="EG15" s="71"/>
      <c r="EH15" s="71"/>
      <c r="EI15" s="71"/>
      <c r="EJ15" s="71"/>
      <c r="EK15" s="71"/>
      <c r="EL15" s="71"/>
      <c r="EM15" s="71"/>
      <c r="EN15" s="71"/>
      <c r="EO15" s="71"/>
      <c r="EP15" s="71"/>
      <c r="EQ15" s="71"/>
      <c r="ER15" s="71"/>
      <c r="ES15" s="71"/>
      <c r="ET15" s="71"/>
      <c r="EU15" s="71"/>
      <c r="EV15" s="71"/>
      <c r="EW15" s="71"/>
      <c r="EX15" s="71"/>
      <c r="EY15" s="71"/>
      <c r="EZ15" s="71"/>
      <c r="FA15" s="71"/>
      <c r="FB15" s="71"/>
      <c r="FC15" s="71"/>
      <c r="FD15" s="71"/>
      <c r="FE15" s="71"/>
      <c r="FF15" s="71"/>
      <c r="FG15" s="71"/>
      <c r="FH15" s="71"/>
      <c r="FI15" s="71"/>
      <c r="FJ15" s="71"/>
      <c r="FK15" s="71"/>
      <c r="FL15" s="71"/>
      <c r="FM15" s="71"/>
      <c r="FN15" s="71"/>
      <c r="FO15" s="71"/>
      <c r="FP15" s="71"/>
      <c r="FQ15" s="71"/>
      <c r="FR15" s="71"/>
      <c r="FS15" s="71"/>
      <c r="FT15" s="71"/>
      <c r="FU15" s="71"/>
      <c r="FV15" s="71"/>
      <c r="FW15" s="71"/>
      <c r="FX15" s="71"/>
      <c r="FY15" s="71"/>
      <c r="FZ15" s="71"/>
      <c r="GA15" s="71"/>
      <c r="GB15" s="71"/>
      <c r="GC15" s="71"/>
      <c r="GD15" s="71"/>
      <c r="GE15" s="71"/>
      <c r="GF15" s="71"/>
      <c r="GG15" s="71"/>
      <c r="GH15" s="71"/>
      <c r="GI15" s="71"/>
      <c r="GJ15" s="71"/>
      <c r="GK15" s="71"/>
      <c r="GL15" s="71"/>
      <c r="GM15" s="71"/>
      <c r="GN15" s="71"/>
      <c r="GO15" s="71"/>
      <c r="GP15" s="71"/>
      <c r="GQ15" s="71"/>
      <c r="GR15" s="71"/>
      <c r="GS15" s="71"/>
      <c r="GT15" s="71"/>
      <c r="GU15" s="71"/>
      <c r="GV15" s="71"/>
      <c r="GW15" s="71"/>
      <c r="GX15" s="71"/>
      <c r="GY15" s="71"/>
      <c r="GZ15" s="71"/>
      <c r="HA15" s="71"/>
      <c r="HB15" s="71"/>
      <c r="HC15" s="71"/>
      <c r="HD15" s="71"/>
      <c r="HE15" s="71"/>
      <c r="HF15" s="71"/>
      <c r="HG15" s="71"/>
      <c r="HH15" s="71"/>
      <c r="HI15" s="71"/>
      <c r="HJ15" s="71"/>
      <c r="HK15" s="71"/>
      <c r="HL15" s="71"/>
      <c r="HM15" s="71"/>
      <c r="HN15" s="71"/>
      <c r="HO15" s="71"/>
      <c r="HP15" s="71"/>
      <c r="HQ15" s="71"/>
      <c r="HR15" s="71"/>
      <c r="HS15" s="71"/>
      <c r="HT15" s="71"/>
      <c r="HU15" s="71"/>
      <c r="HV15" s="71"/>
      <c r="HW15" s="71"/>
      <c r="HX15" s="71"/>
      <c r="HY15" s="71"/>
      <c r="HZ15" s="71"/>
      <c r="IA15" s="71"/>
      <c r="IB15" s="71"/>
      <c r="IC15" s="71"/>
      <c r="ID15" s="71"/>
      <c r="IE15" s="71"/>
      <c r="IF15" s="71"/>
      <c r="IG15" s="71"/>
      <c r="IH15" s="71"/>
      <c r="II15" s="71"/>
      <c r="IJ15" s="71"/>
      <c r="IK15" s="71"/>
      <c r="IL15" s="71"/>
      <c r="IM15" s="71"/>
      <c r="IN15" s="71"/>
      <c r="IO15" s="71"/>
      <c r="IP15" s="71"/>
      <c r="IQ15" s="71"/>
      <c r="IR15" s="71"/>
      <c r="IS15" s="71"/>
      <c r="IT15" s="71"/>
      <c r="IU15" s="71"/>
      <c r="IV15" s="71"/>
      <c r="IW15" s="71"/>
      <c r="IX15" s="71"/>
      <c r="IY15" s="71"/>
      <c r="IZ15" s="71"/>
      <c r="JA15" s="71"/>
      <c r="JB15" s="71"/>
      <c r="JC15" s="71"/>
      <c r="JD15" s="71"/>
      <c r="JE15" s="71"/>
      <c r="JF15" s="71"/>
      <c r="JG15" s="71"/>
      <c r="JH15" s="71"/>
      <c r="JI15" s="71"/>
      <c r="JJ15" s="71"/>
      <c r="JK15" s="71"/>
      <c r="JL15" s="71"/>
      <c r="JM15" s="71"/>
      <c r="JN15" s="71"/>
      <c r="JO15" s="71"/>
      <c r="JP15" s="71"/>
      <c r="JQ15" s="71"/>
      <c r="JR15" s="71"/>
      <c r="JS15" s="71"/>
      <c r="JT15" s="71"/>
      <c r="JU15" s="71"/>
      <c r="JV15" s="71"/>
      <c r="JW15" s="71"/>
      <c r="JX15" s="71"/>
      <c r="JY15" s="71"/>
      <c r="JZ15" s="71"/>
      <c r="KA15" s="71"/>
      <c r="KB15" s="71"/>
      <c r="KC15" s="71"/>
      <c r="KD15" s="71"/>
      <c r="KE15" s="71"/>
      <c r="KF15" s="71"/>
      <c r="KG15" s="71"/>
      <c r="KH15" s="71"/>
      <c r="KI15" s="71"/>
      <c r="KJ15" s="71"/>
      <c r="KK15" s="71"/>
      <c r="KL15" s="71"/>
      <c r="KM15" s="71"/>
      <c r="KN15" s="71"/>
      <c r="KO15" s="71"/>
      <c r="KP15" s="71"/>
      <c r="KQ15" s="71"/>
      <c r="KR15" s="71"/>
      <c r="KS15" s="71"/>
      <c r="KT15" s="71"/>
      <c r="KU15" s="71"/>
      <c r="KV15" s="71"/>
      <c r="KW15" s="71"/>
      <c r="KX15" s="71"/>
      <c r="KY15" s="71"/>
      <c r="KZ15" s="71"/>
      <c r="LA15" s="71"/>
      <c r="LB15" s="71"/>
      <c r="LC15" s="71"/>
      <c r="LD15" s="71"/>
      <c r="LE15" s="71"/>
      <c r="LF15" s="71"/>
      <c r="LG15" s="71"/>
      <c r="LH15" s="71"/>
      <c r="LI15" s="71"/>
      <c r="LJ15" s="71"/>
      <c r="LK15" s="71"/>
      <c r="LL15" s="71"/>
      <c r="LM15" s="71"/>
      <c r="LN15" s="71"/>
      <c r="LO15" s="71"/>
      <c r="LP15" s="71"/>
      <c r="LQ15" s="71"/>
      <c r="LR15" s="71"/>
      <c r="LS15" s="71"/>
      <c r="LT15" s="71"/>
      <c r="LU15" s="71"/>
      <c r="LV15" s="71"/>
      <c r="LW15" s="71"/>
      <c r="LX15" s="71"/>
      <c r="LY15" s="71"/>
      <c r="LZ15" s="71"/>
      <c r="MA15" s="71"/>
      <c r="MB15" s="71"/>
      <c r="MC15" s="71"/>
      <c r="MD15" s="71"/>
      <c r="ME15" s="71"/>
      <c r="MF15" s="71"/>
      <c r="MG15" s="71"/>
      <c r="MH15" s="71"/>
      <c r="MI15" s="71"/>
      <c r="MJ15" s="71"/>
      <c r="MK15" s="71"/>
      <c r="ML15" s="71"/>
      <c r="MM15" s="71"/>
      <c r="MN15" s="71"/>
      <c r="MO15" s="71"/>
      <c r="MP15" s="71"/>
      <c r="MQ15" s="71"/>
      <c r="MR15" s="71"/>
      <c r="MS15" s="71"/>
      <c r="MT15" s="71"/>
      <c r="MU15" s="71"/>
      <c r="MV15" s="71"/>
      <c r="MW15" s="71"/>
      <c r="MX15" s="71"/>
      <c r="MY15" s="71"/>
      <c r="MZ15" s="71"/>
      <c r="NA15" s="71"/>
      <c r="NB15" s="71"/>
      <c r="NC15" s="71"/>
      <c r="ND15" s="71"/>
      <c r="NE15" s="71"/>
      <c r="NF15" s="71"/>
      <c r="NG15" s="71"/>
      <c r="NH15" s="71"/>
      <c r="NI15" s="71"/>
      <c r="NJ15" s="71"/>
      <c r="NK15" s="71"/>
      <c r="NL15" s="71"/>
      <c r="NM15" s="71"/>
      <c r="NN15" s="71"/>
      <c r="NO15" s="71"/>
      <c r="NP15" s="71"/>
      <c r="NQ15" s="71"/>
      <c r="NR15" s="71"/>
      <c r="NS15" s="71"/>
      <c r="NT15" s="71"/>
      <c r="NU15" s="71"/>
      <c r="NV15" s="71"/>
      <c r="NW15" s="71"/>
      <c r="NX15" s="71"/>
      <c r="NY15" s="71"/>
      <c r="NZ15" s="71"/>
      <c r="OA15" s="71"/>
      <c r="OB15" s="71"/>
      <c r="OC15" s="71"/>
      <c r="OD15" s="71"/>
      <c r="OE15" s="71"/>
      <c r="OF15" s="71"/>
      <c r="OG15" s="71"/>
      <c r="OH15" s="71"/>
      <c r="OI15" s="71"/>
      <c r="OJ15" s="71"/>
      <c r="OK15" s="71"/>
      <c r="OL15" s="71"/>
      <c r="OM15" s="71"/>
      <c r="ON15" s="71"/>
      <c r="OO15" s="71"/>
      <c r="OP15" s="71"/>
      <c r="OQ15" s="71"/>
      <c r="OR15" s="71"/>
      <c r="OS15" s="71"/>
      <c r="OT15" s="71"/>
      <c r="OU15" s="71"/>
      <c r="OV15" s="71"/>
      <c r="OW15" s="71"/>
      <c r="OX15" s="71"/>
      <c r="OY15" s="71"/>
      <c r="OZ15" s="71"/>
      <c r="PA15" s="71"/>
      <c r="PB15" s="71"/>
      <c r="PC15" s="71"/>
      <c r="PD15" s="71"/>
      <c r="PE15" s="71"/>
      <c r="PF15" s="71"/>
      <c r="PG15" s="71"/>
      <c r="PH15" s="71"/>
      <c r="PI15" s="71"/>
      <c r="PJ15" s="71"/>
      <c r="PK15" s="71"/>
      <c r="PL15" s="71"/>
      <c r="PM15" s="71"/>
      <c r="PN15" s="71"/>
      <c r="PO15" s="71"/>
      <c r="PP15" s="71"/>
      <c r="PQ15" s="71"/>
      <c r="PR15" s="71"/>
      <c r="PS15" s="71"/>
      <c r="PT15" s="71"/>
      <c r="PU15" s="71"/>
      <c r="PV15" s="71"/>
      <c r="PW15" s="71"/>
      <c r="PX15" s="71"/>
      <c r="PY15" s="71"/>
      <c r="PZ15" s="71"/>
      <c r="QA15" s="71"/>
      <c r="QB15" s="71"/>
      <c r="QC15" s="71"/>
      <c r="QD15" s="71"/>
      <c r="QE15" s="71"/>
      <c r="QF15" s="71"/>
      <c r="QG15" s="71"/>
      <c r="QH15" s="71"/>
      <c r="QI15" s="71"/>
      <c r="QJ15" s="71"/>
      <c r="QK15" s="71"/>
      <c r="QL15" s="71"/>
      <c r="QM15" s="71"/>
      <c r="QN15" s="71"/>
      <c r="QO15" s="71"/>
      <c r="QP15" s="71"/>
      <c r="QQ15" s="71"/>
      <c r="QR15" s="71"/>
      <c r="QS15" s="71"/>
      <c r="QT15" s="71"/>
      <c r="QU15" s="71"/>
      <c r="QV15" s="71"/>
      <c r="QW15" s="71"/>
      <c r="QX15" s="71"/>
      <c r="QY15" s="71"/>
      <c r="QZ15" s="71"/>
      <c r="RA15" s="71"/>
      <c r="RB15" s="71"/>
      <c r="RC15" s="71"/>
      <c r="RD15" s="71"/>
      <c r="RE15" s="71"/>
      <c r="RF15" s="71"/>
      <c r="RG15" s="71"/>
      <c r="RH15" s="71"/>
      <c r="RI15" s="71"/>
      <c r="RJ15" s="71"/>
      <c r="RK15" s="71"/>
      <c r="RL15" s="71"/>
      <c r="RM15" s="71"/>
      <c r="RN15" s="71"/>
      <c r="RO15" s="71"/>
      <c r="RP15" s="71"/>
      <c r="RQ15" s="71"/>
      <c r="RR15" s="71"/>
      <c r="RS15" s="71"/>
      <c r="RT15" s="71"/>
      <c r="RU15" s="71"/>
      <c r="RV15" s="71"/>
      <c r="RW15" s="71"/>
      <c r="RX15" s="71"/>
      <c r="RY15" s="71"/>
      <c r="RZ15" s="71"/>
      <c r="SA15" s="71"/>
      <c r="SB15" s="71"/>
      <c r="SC15" s="71"/>
      <c r="SD15" s="71"/>
      <c r="SE15" s="71"/>
      <c r="SF15" s="71"/>
      <c r="SG15" s="71"/>
      <c r="SH15" s="71"/>
      <c r="SI15" s="71"/>
      <c r="SJ15" s="71"/>
      <c r="SK15" s="71"/>
      <c r="SL15" s="71"/>
      <c r="SM15" s="71"/>
      <c r="SN15" s="71"/>
      <c r="SO15" s="71"/>
      <c r="SP15" s="71"/>
      <c r="SQ15" s="71"/>
      <c r="SR15" s="71"/>
      <c r="SS15" s="71"/>
      <c r="ST15" s="71"/>
      <c r="SU15" s="71"/>
      <c r="SV15" s="71"/>
      <c r="SW15" s="71"/>
      <c r="SX15" s="71"/>
      <c r="SY15" s="71"/>
      <c r="SZ15" s="71"/>
      <c r="TA15" s="71"/>
      <c r="TB15" s="71"/>
      <c r="TC15" s="71"/>
      <c r="TD15" s="71"/>
      <c r="TE15" s="71"/>
      <c r="TF15" s="71"/>
      <c r="TG15" s="71"/>
      <c r="TH15" s="71"/>
      <c r="TI15" s="71"/>
      <c r="TJ15" s="71"/>
      <c r="TK15" s="71"/>
      <c r="TL15" s="71"/>
      <c r="TM15" s="71"/>
      <c r="TN15" s="71"/>
      <c r="TO15" s="71"/>
      <c r="TP15" s="71"/>
      <c r="TQ15" s="71"/>
      <c r="TR15" s="71"/>
      <c r="TS15" s="71"/>
      <c r="TT15" s="71"/>
      <c r="TU15" s="71"/>
      <c r="TV15" s="71"/>
      <c r="TW15" s="71"/>
      <c r="TX15" s="71"/>
      <c r="TY15" s="71"/>
      <c r="TZ15" s="71"/>
      <c r="UA15" s="71"/>
      <c r="UB15" s="71"/>
      <c r="UC15" s="71"/>
      <c r="UD15" s="71"/>
      <c r="UE15" s="71"/>
      <c r="UF15" s="71"/>
      <c r="UG15" s="71"/>
      <c r="UH15" s="71"/>
      <c r="UI15" s="71"/>
      <c r="UJ15" s="71"/>
      <c r="UK15" s="71"/>
      <c r="UL15" s="71"/>
      <c r="UM15" s="71"/>
      <c r="UN15" s="71"/>
      <c r="UO15" s="71"/>
      <c r="UP15" s="71"/>
      <c r="UQ15" s="71"/>
      <c r="UR15" s="71"/>
      <c r="US15" s="71"/>
      <c r="UT15" s="71"/>
      <c r="UU15" s="71"/>
      <c r="UV15" s="71"/>
      <c r="UW15" s="71"/>
      <c r="UX15" s="71"/>
      <c r="UY15" s="71"/>
      <c r="UZ15" s="71"/>
      <c r="VA15" s="71"/>
      <c r="VB15" s="71"/>
      <c r="VC15" s="71"/>
      <c r="VD15" s="71"/>
      <c r="VE15" s="71"/>
      <c r="VF15" s="71"/>
      <c r="VG15" s="71"/>
      <c r="VH15" s="71"/>
      <c r="VI15" s="71"/>
      <c r="VJ15" s="71"/>
      <c r="VK15" s="71"/>
      <c r="VL15" s="71"/>
      <c r="VM15" s="71"/>
      <c r="VN15" s="71"/>
      <c r="VO15" s="71"/>
      <c r="VP15" s="71"/>
      <c r="VQ15" s="71"/>
      <c r="VR15" s="71"/>
      <c r="VS15" s="71"/>
      <c r="VT15" s="71"/>
      <c r="VU15" s="71"/>
      <c r="VV15" s="71"/>
      <c r="VW15" s="71"/>
      <c r="VX15" s="71"/>
      <c r="VY15" s="71"/>
      <c r="VZ15" s="71"/>
      <c r="WA15" s="71"/>
      <c r="WB15" s="71"/>
      <c r="WC15" s="71"/>
      <c r="WD15" s="71"/>
      <c r="WE15" s="71"/>
      <c r="WF15" s="71"/>
      <c r="WG15" s="71"/>
      <c r="WH15" s="71"/>
      <c r="WI15" s="71"/>
      <c r="WJ15" s="71"/>
      <c r="WK15" s="71"/>
      <c r="WL15" s="71"/>
      <c r="WM15" s="71"/>
      <c r="WN15" s="71"/>
      <c r="WO15" s="71"/>
      <c r="WP15" s="71"/>
      <c r="WQ15" s="71"/>
      <c r="WR15" s="71"/>
      <c r="WS15" s="71"/>
      <c r="WT15" s="71"/>
      <c r="WU15" s="71"/>
      <c r="WV15" s="71"/>
      <c r="WW15" s="71"/>
      <c r="WX15" s="71"/>
      <c r="WY15" s="71"/>
      <c r="WZ15" s="71"/>
      <c r="XA15" s="71"/>
      <c r="XB15" s="71"/>
      <c r="XC15" s="71"/>
      <c r="XD15" s="71"/>
      <c r="XE15" s="71"/>
      <c r="XF15" s="71"/>
      <c r="XG15" s="71"/>
      <c r="XH15" s="71"/>
      <c r="XI15" s="71"/>
      <c r="XJ15" s="71"/>
      <c r="XK15" s="71"/>
      <c r="XL15" s="71"/>
      <c r="XM15" s="71"/>
      <c r="XN15" s="71"/>
      <c r="XO15" s="71"/>
      <c r="XP15" s="71"/>
      <c r="XQ15" s="71"/>
      <c r="XR15" s="71"/>
      <c r="XS15" s="71"/>
      <c r="XT15" s="71"/>
      <c r="XU15" s="71"/>
      <c r="XV15" s="71"/>
      <c r="XW15" s="71"/>
      <c r="XX15" s="71"/>
      <c r="XY15" s="71"/>
      <c r="XZ15" s="71"/>
      <c r="YA15" s="71"/>
      <c r="YB15" s="71"/>
      <c r="YC15" s="71"/>
      <c r="YD15" s="71"/>
      <c r="YE15" s="71"/>
      <c r="YF15" s="71"/>
      <c r="YG15" s="71"/>
      <c r="YH15" s="71"/>
      <c r="YI15" s="71"/>
      <c r="YJ15" s="71"/>
      <c r="YK15" s="71"/>
      <c r="YL15" s="71"/>
      <c r="YM15" s="71"/>
      <c r="YN15" s="71"/>
      <c r="YO15" s="71"/>
      <c r="YP15" s="71"/>
      <c r="YQ15" s="71"/>
      <c r="YR15" s="71"/>
      <c r="YS15" s="71"/>
      <c r="YT15" s="71"/>
      <c r="YU15" s="71"/>
      <c r="YV15" s="71"/>
      <c r="YW15" s="71"/>
      <c r="YX15" s="71"/>
      <c r="YY15" s="71"/>
      <c r="YZ15" s="71"/>
      <c r="ZA15" s="71"/>
      <c r="ZB15" s="71"/>
      <c r="ZC15" s="71"/>
      <c r="ZD15" s="71"/>
      <c r="ZE15" s="71"/>
      <c r="ZF15" s="71"/>
      <c r="ZG15" s="71"/>
      <c r="ZH15" s="71"/>
      <c r="ZI15" s="71"/>
      <c r="ZJ15" s="71"/>
      <c r="ZK15" s="71"/>
      <c r="ZL15" s="71"/>
      <c r="ZM15" s="71"/>
      <c r="ZN15" s="71"/>
      <c r="ZO15" s="71"/>
      <c r="ZP15" s="71"/>
      <c r="ZQ15" s="71"/>
      <c r="ZR15" s="71"/>
      <c r="ZS15" s="71"/>
      <c r="ZT15" s="71"/>
      <c r="ZU15" s="71"/>
      <c r="ZV15" s="71"/>
      <c r="ZW15" s="71"/>
      <c r="ZX15" s="71"/>
      <c r="ZY15" s="71"/>
      <c r="ZZ15" s="71"/>
      <c r="AAA15" s="71"/>
      <c r="AAB15" s="71"/>
      <c r="AAC15" s="71"/>
      <c r="AAD15" s="71"/>
      <c r="AAE15" s="71"/>
      <c r="AAF15" s="71"/>
      <c r="AAG15" s="71"/>
      <c r="AAH15" s="71"/>
      <c r="AAI15" s="71"/>
      <c r="AAJ15" s="71"/>
      <c r="AAK15" s="71"/>
      <c r="AAL15" s="71"/>
      <c r="AAM15" s="71"/>
      <c r="AAN15" s="71"/>
      <c r="AAO15" s="71"/>
      <c r="AAP15" s="71"/>
      <c r="AAQ15" s="71"/>
      <c r="AAR15" s="71"/>
      <c r="AAS15" s="71"/>
      <c r="AAT15" s="71"/>
      <c r="AAU15" s="71"/>
      <c r="AAV15" s="71"/>
      <c r="AAW15" s="71"/>
      <c r="AAX15" s="71"/>
      <c r="AAY15" s="71"/>
      <c r="AAZ15" s="71"/>
      <c r="ABA15" s="71"/>
      <c r="ABB15" s="71"/>
      <c r="ABC15" s="71"/>
      <c r="ABD15" s="71"/>
      <c r="ABE15" s="71"/>
      <c r="ABF15" s="71"/>
      <c r="ABG15" s="71"/>
      <c r="ABH15" s="71"/>
      <c r="ABI15" s="71"/>
      <c r="ABJ15" s="71"/>
      <c r="ABK15" s="71"/>
      <c r="ABL15" s="71"/>
      <c r="ABM15" s="71"/>
      <c r="ABN15" s="71"/>
      <c r="ABO15" s="71"/>
      <c r="ABP15" s="71"/>
      <c r="ABQ15" s="71"/>
      <c r="ABR15" s="71"/>
      <c r="ABS15" s="71"/>
      <c r="ABT15" s="71"/>
      <c r="ABU15" s="71"/>
      <c r="ABV15" s="71"/>
      <c r="ABW15" s="71"/>
      <c r="ABX15" s="71"/>
      <c r="ABY15" s="71"/>
      <c r="ABZ15" s="71"/>
      <c r="ACA15" s="71"/>
      <c r="ACB15" s="71"/>
      <c r="ACC15" s="71"/>
      <c r="ACD15" s="71"/>
      <c r="ACE15" s="71"/>
      <c r="ACF15" s="71"/>
      <c r="ACG15" s="71"/>
      <c r="ACH15" s="71"/>
      <c r="ACI15" s="71"/>
      <c r="ACJ15" s="71"/>
      <c r="ACK15" s="71"/>
      <c r="ACL15" s="71"/>
      <c r="ACM15" s="71"/>
      <c r="ACN15" s="71"/>
      <c r="ACO15" s="71"/>
      <c r="ACP15" s="71"/>
      <c r="ACQ15" s="71"/>
      <c r="ACR15" s="71"/>
      <c r="ACS15" s="71"/>
      <c r="ACT15" s="71"/>
      <c r="ACU15" s="71"/>
      <c r="ACV15" s="71"/>
      <c r="ACW15" s="71"/>
      <c r="ACX15" s="71"/>
      <c r="ACY15" s="71"/>
      <c r="ACZ15" s="71"/>
      <c r="ADA15" s="71"/>
      <c r="ADB15" s="71"/>
      <c r="ADC15" s="71"/>
      <c r="ADD15" s="71"/>
      <c r="ADE15" s="71"/>
      <c r="ADF15" s="71"/>
      <c r="ADG15" s="71"/>
      <c r="ADH15" s="71"/>
      <c r="ADI15" s="71"/>
      <c r="ADJ15" s="71"/>
      <c r="ADK15" s="71"/>
      <c r="ADL15" s="71"/>
      <c r="ADM15" s="71"/>
      <c r="ADN15" s="71"/>
      <c r="ADO15" s="71"/>
      <c r="ADP15" s="71"/>
      <c r="ADQ15" s="71"/>
      <c r="ADR15" s="71"/>
      <c r="ADS15" s="71"/>
      <c r="ADT15" s="71"/>
      <c r="ADU15" s="71"/>
      <c r="ADV15" s="71"/>
      <c r="ADW15" s="71"/>
      <c r="ADX15" s="71"/>
      <c r="ADY15" s="71"/>
      <c r="ADZ15" s="71"/>
      <c r="AEA15" s="71"/>
      <c r="AEB15" s="71"/>
      <c r="AEC15" s="71"/>
      <c r="AED15" s="71"/>
      <c r="AEE15" s="71"/>
      <c r="AEF15" s="71"/>
      <c r="AEG15" s="71"/>
      <c r="AEH15" s="71"/>
      <c r="AEI15" s="71"/>
      <c r="AEJ15" s="71"/>
      <c r="AEK15" s="71"/>
      <c r="AEL15" s="71"/>
      <c r="AEM15" s="71"/>
      <c r="AEN15" s="71"/>
      <c r="AEO15" s="71"/>
      <c r="AEP15" s="71"/>
      <c r="AEQ15" s="71"/>
      <c r="AER15" s="71"/>
      <c r="AES15" s="71"/>
      <c r="AET15" s="71"/>
      <c r="AEU15" s="71"/>
      <c r="AEV15" s="71"/>
      <c r="AEW15" s="71"/>
      <c r="AEX15" s="71"/>
      <c r="AEY15" s="71"/>
      <c r="AEZ15" s="71"/>
      <c r="AFA15" s="71"/>
      <c r="AFB15" s="71"/>
      <c r="AFC15" s="71"/>
      <c r="AFD15" s="71"/>
      <c r="AFE15" s="71"/>
      <c r="AFF15" s="71"/>
      <c r="AFG15" s="71"/>
      <c r="AFH15" s="71"/>
      <c r="AFI15" s="71"/>
      <c r="AFJ15" s="71"/>
      <c r="AFK15" s="71"/>
      <c r="AFL15" s="71"/>
      <c r="AFM15" s="71"/>
      <c r="AFN15" s="71"/>
      <c r="AFO15" s="71"/>
      <c r="AFP15" s="71"/>
      <c r="AFQ15" s="71"/>
      <c r="AFR15" s="71"/>
      <c r="AFS15" s="71"/>
      <c r="AFT15" s="71"/>
      <c r="AFU15" s="71"/>
      <c r="AFV15" s="71"/>
      <c r="AFW15" s="71"/>
      <c r="AFX15" s="71"/>
      <c r="AFY15" s="71"/>
      <c r="AFZ15" s="71"/>
      <c r="AGA15" s="71"/>
      <c r="AGB15" s="71"/>
      <c r="AGC15" s="71"/>
      <c r="AGD15" s="71"/>
      <c r="AGE15" s="71"/>
      <c r="AGF15" s="71"/>
      <c r="AGG15" s="71"/>
      <c r="AGH15" s="71"/>
      <c r="AGI15" s="71"/>
      <c r="AGJ15" s="71"/>
      <c r="AGK15" s="71"/>
      <c r="AGL15" s="71"/>
      <c r="AGM15" s="71"/>
      <c r="AGN15" s="71"/>
      <c r="AGO15" s="71"/>
      <c r="AGP15" s="71"/>
      <c r="AGQ15" s="71"/>
      <c r="AGR15" s="71"/>
      <c r="AGS15" s="71"/>
      <c r="AGT15" s="71"/>
      <c r="AGU15" s="71"/>
      <c r="AGV15" s="71"/>
      <c r="AGW15" s="71"/>
      <c r="AGX15" s="71"/>
      <c r="AGY15" s="71"/>
      <c r="AGZ15" s="71"/>
      <c r="AHA15" s="71"/>
      <c r="AHB15" s="71"/>
      <c r="AHC15" s="71"/>
      <c r="AHD15" s="71"/>
      <c r="AHE15" s="71"/>
      <c r="AHF15" s="71"/>
      <c r="AHG15" s="71"/>
      <c r="AHH15" s="71"/>
      <c r="AHI15" s="71"/>
      <c r="AHJ15" s="71"/>
      <c r="AHK15" s="71"/>
      <c r="AHL15" s="71"/>
      <c r="AHM15" s="71"/>
      <c r="AHN15" s="71"/>
      <c r="AHO15" s="71"/>
      <c r="AHP15" s="71"/>
      <c r="AHQ15" s="71"/>
      <c r="AHR15" s="71"/>
      <c r="AHS15" s="71"/>
      <c r="AHT15" s="71"/>
      <c r="AHU15" s="71"/>
      <c r="AHV15" s="71"/>
      <c r="AHW15" s="71"/>
      <c r="AHX15" s="71"/>
      <c r="AHY15" s="71"/>
      <c r="AHZ15" s="71"/>
      <c r="AIA15" s="71"/>
      <c r="AIB15" s="71"/>
      <c r="AIC15" s="71"/>
      <c r="AID15" s="71"/>
      <c r="AIE15" s="71"/>
      <c r="AIF15" s="71"/>
      <c r="AIG15" s="71"/>
      <c r="AIH15" s="71"/>
      <c r="AII15" s="71"/>
      <c r="AIJ15" s="71"/>
      <c r="AIK15" s="71"/>
      <c r="AIL15" s="71"/>
      <c r="AIM15" s="71"/>
      <c r="AIN15" s="71"/>
      <c r="AIO15" s="71"/>
      <c r="AIP15" s="71"/>
      <c r="AIQ15" s="71"/>
      <c r="AIR15" s="71"/>
      <c r="AIS15" s="71"/>
      <c r="AIT15" s="71"/>
      <c r="AIU15" s="71"/>
      <c r="AIV15" s="71"/>
      <c r="AIW15" s="71"/>
      <c r="AIX15" s="71"/>
      <c r="AIY15" s="71"/>
      <c r="AIZ15" s="71"/>
      <c r="AJA15" s="71"/>
      <c r="AJB15" s="71"/>
      <c r="AJC15" s="71"/>
      <c r="AJD15" s="71"/>
      <c r="AJE15" s="71"/>
      <c r="AJF15" s="71"/>
      <c r="AJG15" s="71"/>
      <c r="AJH15" s="71"/>
      <c r="AJI15" s="71"/>
      <c r="AJJ15" s="71"/>
      <c r="AJK15" s="71"/>
      <c r="AJL15" s="71"/>
      <c r="AJM15" s="71"/>
      <c r="AJN15" s="71"/>
      <c r="AJO15" s="71"/>
      <c r="AJP15" s="71"/>
      <c r="AJQ15" s="71"/>
      <c r="AJR15" s="71"/>
      <c r="AJS15" s="71"/>
      <c r="AJT15" s="71"/>
      <c r="AJU15" s="71"/>
      <c r="AJV15" s="71"/>
      <c r="AJW15" s="71"/>
      <c r="AJX15" s="71"/>
      <c r="AJY15" s="71"/>
      <c r="AJZ15" s="71"/>
      <c r="AKA15" s="71"/>
      <c r="AKB15" s="71"/>
      <c r="AKC15" s="71"/>
      <c r="AKD15" s="71"/>
      <c r="AKE15" s="71"/>
      <c r="AKF15" s="71"/>
      <c r="AKG15" s="71"/>
      <c r="AKH15" s="71"/>
      <c r="AKI15" s="71"/>
      <c r="AKJ15" s="71"/>
      <c r="AKK15" s="71"/>
      <c r="AKL15" s="71"/>
      <c r="AKM15" s="71"/>
      <c r="AKN15" s="71"/>
      <c r="AKO15" s="71"/>
      <c r="AKP15" s="71"/>
      <c r="AKQ15" s="71"/>
      <c r="AKR15" s="71"/>
      <c r="AKS15" s="71"/>
      <c r="AKT15" s="71"/>
      <c r="AKU15" s="71"/>
      <c r="AKV15" s="71"/>
      <c r="AKW15" s="71"/>
      <c r="AKX15" s="71"/>
      <c r="AKY15" s="71"/>
      <c r="AKZ15" s="71"/>
      <c r="ALA15" s="71"/>
      <c r="ALB15" s="71"/>
      <c r="ALC15" s="71"/>
      <c r="ALD15" s="71"/>
      <c r="ALE15" s="71"/>
      <c r="ALF15" s="71"/>
      <c r="ALG15" s="71"/>
      <c r="ALH15" s="71"/>
      <c r="ALI15" s="71"/>
      <c r="ALJ15" s="71"/>
      <c r="ALK15" s="71"/>
      <c r="ALL15" s="71"/>
      <c r="ALM15" s="71"/>
      <c r="ALN15" s="71"/>
      <c r="ALO15" s="71"/>
      <c r="ALP15" s="71"/>
      <c r="ALQ15" s="71"/>
      <c r="ALR15" s="71"/>
      <c r="ALS15" s="71"/>
      <c r="ALT15" s="71"/>
      <c r="ALU15" s="71"/>
      <c r="ALV15" s="71"/>
      <c r="ALW15" s="71"/>
      <c r="ALX15" s="71"/>
      <c r="ALY15" s="71"/>
      <c r="ALZ15" s="71"/>
      <c r="AMA15" s="71"/>
      <c r="AMB15" s="71"/>
      <c r="AMC15" s="71"/>
      <c r="AMD15" s="71"/>
      <c r="AME15" s="71"/>
      <c r="AMF15" s="71"/>
      <c r="AMG15" s="71"/>
      <c r="AMH15" s="71"/>
      <c r="AMI15" s="71"/>
      <c r="AMJ15" s="71"/>
      <c r="AMK15" s="71"/>
      <c r="AML15" s="71"/>
    </row>
    <row r="16" spans="1:1026" s="72" customFormat="1" ht="45" customHeight="1" x14ac:dyDescent="0.25">
      <c r="A16" s="71"/>
      <c r="B16" s="104" t="s">
        <v>306</v>
      </c>
      <c r="C16" s="105" t="s">
        <v>308</v>
      </c>
      <c r="D16" s="106" t="s">
        <v>332</v>
      </c>
      <c r="E16" s="113"/>
      <c r="F16" s="108" t="s">
        <v>18</v>
      </c>
      <c r="G16" s="109" t="s">
        <v>27</v>
      </c>
      <c r="H16" s="110"/>
      <c r="I16" s="110"/>
      <c r="J16" s="110"/>
      <c r="K16" s="131" t="s">
        <v>309</v>
      </c>
      <c r="L16" s="63"/>
      <c r="M16" s="71"/>
      <c r="N16" s="71"/>
      <c r="O16" s="71"/>
      <c r="P16" s="71"/>
      <c r="Q16" s="71"/>
      <c r="R16" s="71"/>
      <c r="S16" s="71"/>
      <c r="T16" s="71"/>
      <c r="U16" s="71"/>
      <c r="V16" s="71"/>
      <c r="W16" s="71"/>
      <c r="X16" s="71"/>
      <c r="Y16" s="71"/>
      <c r="Z16" s="71"/>
      <c r="AA16" s="71"/>
      <c r="AB16" s="71"/>
      <c r="AC16" s="71"/>
      <c r="AD16" s="71"/>
      <c r="AE16" s="71"/>
      <c r="AF16" s="71"/>
      <c r="AG16" s="71"/>
      <c r="AH16" s="71"/>
      <c r="AI16" s="71"/>
      <c r="AJ16" s="71"/>
      <c r="AK16" s="71"/>
      <c r="AL16" s="71"/>
      <c r="AM16" s="71"/>
      <c r="AN16" s="71"/>
      <c r="AO16" s="71"/>
      <c r="AP16" s="71"/>
      <c r="AQ16" s="71"/>
      <c r="AR16" s="71"/>
      <c r="AS16" s="71"/>
      <c r="AT16" s="71"/>
      <c r="AU16" s="71"/>
      <c r="AV16" s="71"/>
      <c r="AW16" s="71"/>
      <c r="AX16" s="71"/>
      <c r="AY16" s="71"/>
      <c r="AZ16" s="71"/>
      <c r="BA16" s="71"/>
      <c r="BB16" s="71"/>
      <c r="BC16" s="71"/>
      <c r="BD16" s="71"/>
      <c r="BE16" s="71"/>
      <c r="BF16" s="71"/>
      <c r="BG16" s="71"/>
      <c r="BH16" s="71"/>
      <c r="BI16" s="71"/>
      <c r="BJ16" s="71"/>
      <c r="BK16" s="71"/>
      <c r="BL16" s="71"/>
      <c r="BM16" s="71"/>
      <c r="BN16" s="71"/>
      <c r="BO16" s="71"/>
      <c r="BP16" s="71"/>
      <c r="BQ16" s="71"/>
      <c r="BR16" s="71"/>
      <c r="BS16" s="71"/>
      <c r="BT16" s="71"/>
      <c r="BU16" s="71"/>
      <c r="BV16" s="71"/>
      <c r="BW16" s="71"/>
      <c r="BX16" s="71"/>
      <c r="BY16" s="71"/>
      <c r="BZ16" s="71"/>
      <c r="CA16" s="71"/>
      <c r="CB16" s="71"/>
      <c r="CC16" s="71"/>
      <c r="CD16" s="71"/>
      <c r="CE16" s="71"/>
      <c r="CF16" s="71"/>
      <c r="CG16" s="71"/>
      <c r="CH16" s="71"/>
      <c r="CI16" s="71"/>
      <c r="CJ16" s="71"/>
      <c r="CK16" s="71"/>
      <c r="CL16" s="71"/>
      <c r="CM16" s="71"/>
      <c r="CN16" s="71"/>
      <c r="CO16" s="71"/>
      <c r="CP16" s="71"/>
      <c r="CQ16" s="71"/>
      <c r="CR16" s="71"/>
      <c r="CS16" s="71"/>
      <c r="CT16" s="71"/>
      <c r="CU16" s="71"/>
      <c r="CV16" s="71"/>
      <c r="CW16" s="71"/>
      <c r="CX16" s="71"/>
      <c r="CY16" s="71"/>
      <c r="CZ16" s="71"/>
      <c r="DA16" s="71"/>
      <c r="DB16" s="71"/>
      <c r="DC16" s="71"/>
      <c r="DD16" s="71"/>
      <c r="DE16" s="71"/>
      <c r="DF16" s="71"/>
      <c r="DG16" s="71"/>
      <c r="DH16" s="71"/>
      <c r="DI16" s="71"/>
      <c r="DJ16" s="71"/>
      <c r="DK16" s="71"/>
      <c r="DL16" s="71"/>
      <c r="DM16" s="71"/>
      <c r="DN16" s="71"/>
      <c r="DO16" s="71"/>
      <c r="DP16" s="71"/>
      <c r="DQ16" s="71"/>
      <c r="DR16" s="71"/>
      <c r="DS16" s="71"/>
      <c r="DT16" s="71"/>
      <c r="DU16" s="71"/>
      <c r="DV16" s="71"/>
      <c r="DW16" s="71"/>
      <c r="DX16" s="71"/>
      <c r="DY16" s="71"/>
      <c r="DZ16" s="71"/>
      <c r="EA16" s="71"/>
      <c r="EB16" s="71"/>
      <c r="EC16" s="71"/>
      <c r="ED16" s="71"/>
      <c r="EE16" s="71"/>
      <c r="EF16" s="71"/>
      <c r="EG16" s="71"/>
      <c r="EH16" s="71"/>
      <c r="EI16" s="71"/>
      <c r="EJ16" s="71"/>
      <c r="EK16" s="71"/>
      <c r="EL16" s="71"/>
      <c r="EM16" s="71"/>
      <c r="EN16" s="71"/>
      <c r="EO16" s="71"/>
      <c r="EP16" s="71"/>
      <c r="EQ16" s="71"/>
      <c r="ER16" s="71"/>
      <c r="ES16" s="71"/>
      <c r="ET16" s="71"/>
      <c r="EU16" s="71"/>
      <c r="EV16" s="71"/>
      <c r="EW16" s="71"/>
      <c r="EX16" s="71"/>
      <c r="EY16" s="71"/>
      <c r="EZ16" s="71"/>
      <c r="FA16" s="71"/>
      <c r="FB16" s="71"/>
      <c r="FC16" s="71"/>
      <c r="FD16" s="71"/>
      <c r="FE16" s="71"/>
      <c r="FF16" s="71"/>
      <c r="FG16" s="71"/>
      <c r="FH16" s="71"/>
      <c r="FI16" s="71"/>
      <c r="FJ16" s="71"/>
      <c r="FK16" s="71"/>
      <c r="FL16" s="71"/>
      <c r="FM16" s="71"/>
      <c r="FN16" s="71"/>
      <c r="FO16" s="71"/>
      <c r="FP16" s="71"/>
      <c r="FQ16" s="71"/>
      <c r="FR16" s="71"/>
      <c r="FS16" s="71"/>
      <c r="FT16" s="71"/>
      <c r="FU16" s="71"/>
      <c r="FV16" s="71"/>
      <c r="FW16" s="71"/>
      <c r="FX16" s="71"/>
      <c r="FY16" s="71"/>
      <c r="FZ16" s="71"/>
      <c r="GA16" s="71"/>
      <c r="GB16" s="71"/>
      <c r="GC16" s="71"/>
      <c r="GD16" s="71"/>
      <c r="GE16" s="71"/>
      <c r="GF16" s="71"/>
      <c r="GG16" s="71"/>
      <c r="GH16" s="71"/>
      <c r="GI16" s="71"/>
      <c r="GJ16" s="71"/>
      <c r="GK16" s="71"/>
      <c r="GL16" s="71"/>
      <c r="GM16" s="71"/>
      <c r="GN16" s="71"/>
      <c r="GO16" s="71"/>
      <c r="GP16" s="71"/>
      <c r="GQ16" s="71"/>
      <c r="GR16" s="71"/>
      <c r="GS16" s="71"/>
      <c r="GT16" s="71"/>
      <c r="GU16" s="71"/>
      <c r="GV16" s="71"/>
      <c r="GW16" s="71"/>
      <c r="GX16" s="71"/>
      <c r="GY16" s="71"/>
      <c r="GZ16" s="71"/>
      <c r="HA16" s="71"/>
      <c r="HB16" s="71"/>
      <c r="HC16" s="71"/>
      <c r="HD16" s="71"/>
      <c r="HE16" s="71"/>
      <c r="HF16" s="71"/>
      <c r="HG16" s="71"/>
      <c r="HH16" s="71"/>
      <c r="HI16" s="71"/>
      <c r="HJ16" s="71"/>
      <c r="HK16" s="71"/>
      <c r="HL16" s="71"/>
      <c r="HM16" s="71"/>
      <c r="HN16" s="71"/>
      <c r="HO16" s="71"/>
      <c r="HP16" s="71"/>
      <c r="HQ16" s="71"/>
      <c r="HR16" s="71"/>
      <c r="HS16" s="71"/>
      <c r="HT16" s="71"/>
      <c r="HU16" s="71"/>
      <c r="HV16" s="71"/>
      <c r="HW16" s="71"/>
      <c r="HX16" s="71"/>
      <c r="HY16" s="71"/>
      <c r="HZ16" s="71"/>
      <c r="IA16" s="71"/>
      <c r="IB16" s="71"/>
      <c r="IC16" s="71"/>
      <c r="ID16" s="71"/>
      <c r="IE16" s="71"/>
      <c r="IF16" s="71"/>
      <c r="IG16" s="71"/>
      <c r="IH16" s="71"/>
      <c r="II16" s="71"/>
      <c r="IJ16" s="71"/>
      <c r="IK16" s="71"/>
      <c r="IL16" s="71"/>
      <c r="IM16" s="71"/>
      <c r="IN16" s="71"/>
      <c r="IO16" s="71"/>
      <c r="IP16" s="71"/>
      <c r="IQ16" s="71"/>
      <c r="IR16" s="71"/>
      <c r="IS16" s="71"/>
      <c r="IT16" s="71"/>
      <c r="IU16" s="71"/>
      <c r="IV16" s="71"/>
      <c r="IW16" s="71"/>
      <c r="IX16" s="71"/>
      <c r="IY16" s="71"/>
      <c r="IZ16" s="71"/>
      <c r="JA16" s="71"/>
      <c r="JB16" s="71"/>
      <c r="JC16" s="71"/>
      <c r="JD16" s="71"/>
      <c r="JE16" s="71"/>
      <c r="JF16" s="71"/>
      <c r="JG16" s="71"/>
      <c r="JH16" s="71"/>
      <c r="JI16" s="71"/>
      <c r="JJ16" s="71"/>
      <c r="JK16" s="71"/>
      <c r="JL16" s="71"/>
      <c r="JM16" s="71"/>
      <c r="JN16" s="71"/>
      <c r="JO16" s="71"/>
      <c r="JP16" s="71"/>
      <c r="JQ16" s="71"/>
      <c r="JR16" s="71"/>
      <c r="JS16" s="71"/>
      <c r="JT16" s="71"/>
      <c r="JU16" s="71"/>
      <c r="JV16" s="71"/>
      <c r="JW16" s="71"/>
      <c r="JX16" s="71"/>
      <c r="JY16" s="71"/>
      <c r="JZ16" s="71"/>
      <c r="KA16" s="71"/>
      <c r="KB16" s="71"/>
      <c r="KC16" s="71"/>
      <c r="KD16" s="71"/>
      <c r="KE16" s="71"/>
      <c r="KF16" s="71"/>
      <c r="KG16" s="71"/>
      <c r="KH16" s="71"/>
      <c r="KI16" s="71"/>
      <c r="KJ16" s="71"/>
      <c r="KK16" s="71"/>
      <c r="KL16" s="71"/>
      <c r="KM16" s="71"/>
      <c r="KN16" s="71"/>
      <c r="KO16" s="71"/>
      <c r="KP16" s="71"/>
      <c r="KQ16" s="71"/>
      <c r="KR16" s="71"/>
      <c r="KS16" s="71"/>
      <c r="KT16" s="71"/>
      <c r="KU16" s="71"/>
      <c r="KV16" s="71"/>
      <c r="KW16" s="71"/>
      <c r="KX16" s="71"/>
      <c r="KY16" s="71"/>
      <c r="KZ16" s="71"/>
      <c r="LA16" s="71"/>
      <c r="LB16" s="71"/>
      <c r="LC16" s="71"/>
      <c r="LD16" s="71"/>
      <c r="LE16" s="71"/>
      <c r="LF16" s="71"/>
      <c r="LG16" s="71"/>
      <c r="LH16" s="71"/>
      <c r="LI16" s="71"/>
      <c r="LJ16" s="71"/>
      <c r="LK16" s="71"/>
      <c r="LL16" s="71"/>
      <c r="LM16" s="71"/>
      <c r="LN16" s="71"/>
      <c r="LO16" s="71"/>
      <c r="LP16" s="71"/>
      <c r="LQ16" s="71"/>
      <c r="LR16" s="71"/>
      <c r="LS16" s="71"/>
      <c r="LT16" s="71"/>
      <c r="LU16" s="71"/>
      <c r="LV16" s="71"/>
      <c r="LW16" s="71"/>
      <c r="LX16" s="71"/>
      <c r="LY16" s="71"/>
      <c r="LZ16" s="71"/>
      <c r="MA16" s="71"/>
      <c r="MB16" s="71"/>
      <c r="MC16" s="71"/>
      <c r="MD16" s="71"/>
      <c r="ME16" s="71"/>
      <c r="MF16" s="71"/>
      <c r="MG16" s="71"/>
      <c r="MH16" s="71"/>
      <c r="MI16" s="71"/>
      <c r="MJ16" s="71"/>
      <c r="MK16" s="71"/>
      <c r="ML16" s="71"/>
      <c r="MM16" s="71"/>
      <c r="MN16" s="71"/>
      <c r="MO16" s="71"/>
      <c r="MP16" s="71"/>
      <c r="MQ16" s="71"/>
      <c r="MR16" s="71"/>
      <c r="MS16" s="71"/>
      <c r="MT16" s="71"/>
      <c r="MU16" s="71"/>
      <c r="MV16" s="71"/>
      <c r="MW16" s="71"/>
      <c r="MX16" s="71"/>
      <c r="MY16" s="71"/>
      <c r="MZ16" s="71"/>
      <c r="NA16" s="71"/>
      <c r="NB16" s="71"/>
      <c r="NC16" s="71"/>
      <c r="ND16" s="71"/>
      <c r="NE16" s="71"/>
      <c r="NF16" s="71"/>
      <c r="NG16" s="71"/>
      <c r="NH16" s="71"/>
      <c r="NI16" s="71"/>
      <c r="NJ16" s="71"/>
      <c r="NK16" s="71"/>
      <c r="NL16" s="71"/>
      <c r="NM16" s="71"/>
      <c r="NN16" s="71"/>
      <c r="NO16" s="71"/>
      <c r="NP16" s="71"/>
      <c r="NQ16" s="71"/>
      <c r="NR16" s="71"/>
      <c r="NS16" s="71"/>
      <c r="NT16" s="71"/>
      <c r="NU16" s="71"/>
      <c r="NV16" s="71"/>
      <c r="NW16" s="71"/>
      <c r="NX16" s="71"/>
      <c r="NY16" s="71"/>
      <c r="NZ16" s="71"/>
      <c r="OA16" s="71"/>
      <c r="OB16" s="71"/>
      <c r="OC16" s="71"/>
      <c r="OD16" s="71"/>
      <c r="OE16" s="71"/>
      <c r="OF16" s="71"/>
      <c r="OG16" s="71"/>
      <c r="OH16" s="71"/>
      <c r="OI16" s="71"/>
      <c r="OJ16" s="71"/>
      <c r="OK16" s="71"/>
      <c r="OL16" s="71"/>
      <c r="OM16" s="71"/>
      <c r="ON16" s="71"/>
      <c r="OO16" s="71"/>
      <c r="OP16" s="71"/>
      <c r="OQ16" s="71"/>
      <c r="OR16" s="71"/>
      <c r="OS16" s="71"/>
      <c r="OT16" s="71"/>
      <c r="OU16" s="71"/>
      <c r="OV16" s="71"/>
      <c r="OW16" s="71"/>
      <c r="OX16" s="71"/>
      <c r="OY16" s="71"/>
      <c r="OZ16" s="71"/>
      <c r="PA16" s="71"/>
      <c r="PB16" s="71"/>
      <c r="PC16" s="71"/>
      <c r="PD16" s="71"/>
      <c r="PE16" s="71"/>
      <c r="PF16" s="71"/>
      <c r="PG16" s="71"/>
      <c r="PH16" s="71"/>
      <c r="PI16" s="71"/>
      <c r="PJ16" s="71"/>
      <c r="PK16" s="71"/>
      <c r="PL16" s="71"/>
      <c r="PM16" s="71"/>
      <c r="PN16" s="71"/>
      <c r="PO16" s="71"/>
      <c r="PP16" s="71"/>
      <c r="PQ16" s="71"/>
      <c r="PR16" s="71"/>
      <c r="PS16" s="71"/>
      <c r="PT16" s="71"/>
      <c r="PU16" s="71"/>
      <c r="PV16" s="71"/>
      <c r="PW16" s="71"/>
      <c r="PX16" s="71"/>
      <c r="PY16" s="71"/>
      <c r="PZ16" s="71"/>
      <c r="QA16" s="71"/>
      <c r="QB16" s="71"/>
      <c r="QC16" s="71"/>
      <c r="QD16" s="71"/>
      <c r="QE16" s="71"/>
      <c r="QF16" s="71"/>
      <c r="QG16" s="71"/>
      <c r="QH16" s="71"/>
      <c r="QI16" s="71"/>
      <c r="QJ16" s="71"/>
      <c r="QK16" s="71"/>
      <c r="QL16" s="71"/>
      <c r="QM16" s="71"/>
      <c r="QN16" s="71"/>
      <c r="QO16" s="71"/>
      <c r="QP16" s="71"/>
      <c r="QQ16" s="71"/>
      <c r="QR16" s="71"/>
      <c r="QS16" s="71"/>
      <c r="QT16" s="71"/>
      <c r="QU16" s="71"/>
      <c r="QV16" s="71"/>
      <c r="QW16" s="71"/>
      <c r="QX16" s="71"/>
      <c r="QY16" s="71"/>
      <c r="QZ16" s="71"/>
      <c r="RA16" s="71"/>
      <c r="RB16" s="71"/>
      <c r="RC16" s="71"/>
      <c r="RD16" s="71"/>
      <c r="RE16" s="71"/>
      <c r="RF16" s="71"/>
      <c r="RG16" s="71"/>
      <c r="RH16" s="71"/>
      <c r="RI16" s="71"/>
      <c r="RJ16" s="71"/>
      <c r="RK16" s="71"/>
      <c r="RL16" s="71"/>
      <c r="RM16" s="71"/>
      <c r="RN16" s="71"/>
      <c r="RO16" s="71"/>
      <c r="RP16" s="71"/>
      <c r="RQ16" s="71"/>
      <c r="RR16" s="71"/>
      <c r="RS16" s="71"/>
      <c r="RT16" s="71"/>
      <c r="RU16" s="71"/>
      <c r="RV16" s="71"/>
      <c r="RW16" s="71"/>
      <c r="RX16" s="71"/>
      <c r="RY16" s="71"/>
      <c r="RZ16" s="71"/>
      <c r="SA16" s="71"/>
      <c r="SB16" s="71"/>
      <c r="SC16" s="71"/>
      <c r="SD16" s="71"/>
      <c r="SE16" s="71"/>
      <c r="SF16" s="71"/>
      <c r="SG16" s="71"/>
      <c r="SH16" s="71"/>
      <c r="SI16" s="71"/>
      <c r="SJ16" s="71"/>
      <c r="SK16" s="71"/>
      <c r="SL16" s="71"/>
      <c r="SM16" s="71"/>
      <c r="SN16" s="71"/>
      <c r="SO16" s="71"/>
      <c r="SP16" s="71"/>
      <c r="SQ16" s="71"/>
      <c r="SR16" s="71"/>
      <c r="SS16" s="71"/>
      <c r="ST16" s="71"/>
      <c r="SU16" s="71"/>
      <c r="SV16" s="71"/>
      <c r="SW16" s="71"/>
      <c r="SX16" s="71"/>
      <c r="SY16" s="71"/>
      <c r="SZ16" s="71"/>
      <c r="TA16" s="71"/>
      <c r="TB16" s="71"/>
      <c r="TC16" s="71"/>
      <c r="TD16" s="71"/>
      <c r="TE16" s="71"/>
      <c r="TF16" s="71"/>
      <c r="TG16" s="71"/>
      <c r="TH16" s="71"/>
      <c r="TI16" s="71"/>
      <c r="TJ16" s="71"/>
      <c r="TK16" s="71"/>
      <c r="TL16" s="71"/>
      <c r="TM16" s="71"/>
      <c r="TN16" s="71"/>
      <c r="TO16" s="71"/>
      <c r="TP16" s="71"/>
      <c r="TQ16" s="71"/>
      <c r="TR16" s="71"/>
      <c r="TS16" s="71"/>
      <c r="TT16" s="71"/>
      <c r="TU16" s="71"/>
      <c r="TV16" s="71"/>
      <c r="TW16" s="71"/>
      <c r="TX16" s="71"/>
      <c r="TY16" s="71"/>
      <c r="TZ16" s="71"/>
      <c r="UA16" s="71"/>
      <c r="UB16" s="71"/>
      <c r="UC16" s="71"/>
      <c r="UD16" s="71"/>
      <c r="UE16" s="71"/>
      <c r="UF16" s="71"/>
      <c r="UG16" s="71"/>
      <c r="UH16" s="71"/>
      <c r="UI16" s="71"/>
      <c r="UJ16" s="71"/>
      <c r="UK16" s="71"/>
      <c r="UL16" s="71"/>
      <c r="UM16" s="71"/>
      <c r="UN16" s="71"/>
      <c r="UO16" s="71"/>
      <c r="UP16" s="71"/>
      <c r="UQ16" s="71"/>
      <c r="UR16" s="71"/>
      <c r="US16" s="71"/>
      <c r="UT16" s="71"/>
      <c r="UU16" s="71"/>
      <c r="UV16" s="71"/>
      <c r="UW16" s="71"/>
      <c r="UX16" s="71"/>
      <c r="UY16" s="71"/>
      <c r="UZ16" s="71"/>
      <c r="VA16" s="71"/>
      <c r="VB16" s="71"/>
      <c r="VC16" s="71"/>
      <c r="VD16" s="71"/>
      <c r="VE16" s="71"/>
      <c r="VF16" s="71"/>
      <c r="VG16" s="71"/>
      <c r="VH16" s="71"/>
      <c r="VI16" s="71"/>
      <c r="VJ16" s="71"/>
      <c r="VK16" s="71"/>
      <c r="VL16" s="71"/>
      <c r="VM16" s="71"/>
      <c r="VN16" s="71"/>
      <c r="VO16" s="71"/>
      <c r="VP16" s="71"/>
      <c r="VQ16" s="71"/>
      <c r="VR16" s="71"/>
      <c r="VS16" s="71"/>
      <c r="VT16" s="71"/>
      <c r="VU16" s="71"/>
      <c r="VV16" s="71"/>
      <c r="VW16" s="71"/>
      <c r="VX16" s="71"/>
      <c r="VY16" s="71"/>
      <c r="VZ16" s="71"/>
      <c r="WA16" s="71"/>
      <c r="WB16" s="71"/>
      <c r="WC16" s="71"/>
      <c r="WD16" s="71"/>
      <c r="WE16" s="71"/>
      <c r="WF16" s="71"/>
      <c r="WG16" s="71"/>
      <c r="WH16" s="71"/>
      <c r="WI16" s="71"/>
      <c r="WJ16" s="71"/>
      <c r="WK16" s="71"/>
      <c r="WL16" s="71"/>
      <c r="WM16" s="71"/>
      <c r="WN16" s="71"/>
      <c r="WO16" s="71"/>
      <c r="WP16" s="71"/>
      <c r="WQ16" s="71"/>
      <c r="WR16" s="71"/>
      <c r="WS16" s="71"/>
      <c r="WT16" s="71"/>
      <c r="WU16" s="71"/>
      <c r="WV16" s="71"/>
      <c r="WW16" s="71"/>
      <c r="WX16" s="71"/>
      <c r="WY16" s="71"/>
      <c r="WZ16" s="71"/>
      <c r="XA16" s="71"/>
      <c r="XB16" s="71"/>
      <c r="XC16" s="71"/>
      <c r="XD16" s="71"/>
      <c r="XE16" s="71"/>
      <c r="XF16" s="71"/>
      <c r="XG16" s="71"/>
      <c r="XH16" s="71"/>
      <c r="XI16" s="71"/>
      <c r="XJ16" s="71"/>
      <c r="XK16" s="71"/>
      <c r="XL16" s="71"/>
      <c r="XM16" s="71"/>
      <c r="XN16" s="71"/>
      <c r="XO16" s="71"/>
      <c r="XP16" s="71"/>
      <c r="XQ16" s="71"/>
      <c r="XR16" s="71"/>
      <c r="XS16" s="71"/>
      <c r="XT16" s="71"/>
      <c r="XU16" s="71"/>
      <c r="XV16" s="71"/>
      <c r="XW16" s="71"/>
      <c r="XX16" s="71"/>
      <c r="XY16" s="71"/>
      <c r="XZ16" s="71"/>
      <c r="YA16" s="71"/>
      <c r="YB16" s="71"/>
      <c r="YC16" s="71"/>
      <c r="YD16" s="71"/>
      <c r="YE16" s="71"/>
      <c r="YF16" s="71"/>
      <c r="YG16" s="71"/>
      <c r="YH16" s="71"/>
      <c r="YI16" s="71"/>
      <c r="YJ16" s="71"/>
      <c r="YK16" s="71"/>
      <c r="YL16" s="71"/>
      <c r="YM16" s="71"/>
      <c r="YN16" s="71"/>
      <c r="YO16" s="71"/>
      <c r="YP16" s="71"/>
      <c r="YQ16" s="71"/>
      <c r="YR16" s="71"/>
      <c r="YS16" s="71"/>
      <c r="YT16" s="71"/>
      <c r="YU16" s="71"/>
      <c r="YV16" s="71"/>
      <c r="YW16" s="71"/>
      <c r="YX16" s="71"/>
      <c r="YY16" s="71"/>
      <c r="YZ16" s="71"/>
      <c r="ZA16" s="71"/>
      <c r="ZB16" s="71"/>
      <c r="ZC16" s="71"/>
      <c r="ZD16" s="71"/>
      <c r="ZE16" s="71"/>
      <c r="ZF16" s="71"/>
      <c r="ZG16" s="71"/>
      <c r="ZH16" s="71"/>
      <c r="ZI16" s="71"/>
      <c r="ZJ16" s="71"/>
      <c r="ZK16" s="71"/>
      <c r="ZL16" s="71"/>
      <c r="ZM16" s="71"/>
      <c r="ZN16" s="71"/>
      <c r="ZO16" s="71"/>
      <c r="ZP16" s="71"/>
      <c r="ZQ16" s="71"/>
      <c r="ZR16" s="71"/>
      <c r="ZS16" s="71"/>
      <c r="ZT16" s="71"/>
      <c r="ZU16" s="71"/>
      <c r="ZV16" s="71"/>
      <c r="ZW16" s="71"/>
      <c r="ZX16" s="71"/>
      <c r="ZY16" s="71"/>
      <c r="ZZ16" s="71"/>
      <c r="AAA16" s="71"/>
      <c r="AAB16" s="71"/>
      <c r="AAC16" s="71"/>
      <c r="AAD16" s="71"/>
      <c r="AAE16" s="71"/>
      <c r="AAF16" s="71"/>
      <c r="AAG16" s="71"/>
      <c r="AAH16" s="71"/>
      <c r="AAI16" s="71"/>
      <c r="AAJ16" s="71"/>
      <c r="AAK16" s="71"/>
      <c r="AAL16" s="71"/>
      <c r="AAM16" s="71"/>
      <c r="AAN16" s="71"/>
      <c r="AAO16" s="71"/>
      <c r="AAP16" s="71"/>
      <c r="AAQ16" s="71"/>
      <c r="AAR16" s="71"/>
      <c r="AAS16" s="71"/>
      <c r="AAT16" s="71"/>
      <c r="AAU16" s="71"/>
      <c r="AAV16" s="71"/>
      <c r="AAW16" s="71"/>
      <c r="AAX16" s="71"/>
      <c r="AAY16" s="71"/>
      <c r="AAZ16" s="71"/>
      <c r="ABA16" s="71"/>
      <c r="ABB16" s="71"/>
      <c r="ABC16" s="71"/>
      <c r="ABD16" s="71"/>
      <c r="ABE16" s="71"/>
      <c r="ABF16" s="71"/>
      <c r="ABG16" s="71"/>
      <c r="ABH16" s="71"/>
      <c r="ABI16" s="71"/>
      <c r="ABJ16" s="71"/>
      <c r="ABK16" s="71"/>
      <c r="ABL16" s="71"/>
      <c r="ABM16" s="71"/>
      <c r="ABN16" s="71"/>
      <c r="ABO16" s="71"/>
      <c r="ABP16" s="71"/>
      <c r="ABQ16" s="71"/>
      <c r="ABR16" s="71"/>
      <c r="ABS16" s="71"/>
      <c r="ABT16" s="71"/>
      <c r="ABU16" s="71"/>
      <c r="ABV16" s="71"/>
      <c r="ABW16" s="71"/>
      <c r="ABX16" s="71"/>
      <c r="ABY16" s="71"/>
      <c r="ABZ16" s="71"/>
      <c r="ACA16" s="71"/>
      <c r="ACB16" s="71"/>
      <c r="ACC16" s="71"/>
      <c r="ACD16" s="71"/>
      <c r="ACE16" s="71"/>
      <c r="ACF16" s="71"/>
      <c r="ACG16" s="71"/>
      <c r="ACH16" s="71"/>
      <c r="ACI16" s="71"/>
      <c r="ACJ16" s="71"/>
      <c r="ACK16" s="71"/>
      <c r="ACL16" s="71"/>
      <c r="ACM16" s="71"/>
      <c r="ACN16" s="71"/>
      <c r="ACO16" s="71"/>
      <c r="ACP16" s="71"/>
      <c r="ACQ16" s="71"/>
      <c r="ACR16" s="71"/>
      <c r="ACS16" s="71"/>
      <c r="ACT16" s="71"/>
      <c r="ACU16" s="71"/>
      <c r="ACV16" s="71"/>
      <c r="ACW16" s="71"/>
      <c r="ACX16" s="71"/>
      <c r="ACY16" s="71"/>
      <c r="ACZ16" s="71"/>
      <c r="ADA16" s="71"/>
      <c r="ADB16" s="71"/>
      <c r="ADC16" s="71"/>
      <c r="ADD16" s="71"/>
      <c r="ADE16" s="71"/>
      <c r="ADF16" s="71"/>
      <c r="ADG16" s="71"/>
      <c r="ADH16" s="71"/>
      <c r="ADI16" s="71"/>
      <c r="ADJ16" s="71"/>
      <c r="ADK16" s="71"/>
      <c r="ADL16" s="71"/>
      <c r="ADM16" s="71"/>
      <c r="ADN16" s="71"/>
      <c r="ADO16" s="71"/>
      <c r="ADP16" s="71"/>
      <c r="ADQ16" s="71"/>
      <c r="ADR16" s="71"/>
      <c r="ADS16" s="71"/>
      <c r="ADT16" s="71"/>
      <c r="ADU16" s="71"/>
      <c r="ADV16" s="71"/>
      <c r="ADW16" s="71"/>
      <c r="ADX16" s="71"/>
      <c r="ADY16" s="71"/>
      <c r="ADZ16" s="71"/>
      <c r="AEA16" s="71"/>
      <c r="AEB16" s="71"/>
      <c r="AEC16" s="71"/>
      <c r="AED16" s="71"/>
      <c r="AEE16" s="71"/>
      <c r="AEF16" s="71"/>
      <c r="AEG16" s="71"/>
      <c r="AEH16" s="71"/>
      <c r="AEI16" s="71"/>
      <c r="AEJ16" s="71"/>
      <c r="AEK16" s="71"/>
      <c r="AEL16" s="71"/>
      <c r="AEM16" s="71"/>
      <c r="AEN16" s="71"/>
      <c r="AEO16" s="71"/>
      <c r="AEP16" s="71"/>
      <c r="AEQ16" s="71"/>
      <c r="AER16" s="71"/>
      <c r="AES16" s="71"/>
      <c r="AET16" s="71"/>
      <c r="AEU16" s="71"/>
      <c r="AEV16" s="71"/>
      <c r="AEW16" s="71"/>
      <c r="AEX16" s="71"/>
      <c r="AEY16" s="71"/>
      <c r="AEZ16" s="71"/>
      <c r="AFA16" s="71"/>
      <c r="AFB16" s="71"/>
      <c r="AFC16" s="71"/>
      <c r="AFD16" s="71"/>
      <c r="AFE16" s="71"/>
      <c r="AFF16" s="71"/>
      <c r="AFG16" s="71"/>
      <c r="AFH16" s="71"/>
      <c r="AFI16" s="71"/>
      <c r="AFJ16" s="71"/>
      <c r="AFK16" s="71"/>
      <c r="AFL16" s="71"/>
      <c r="AFM16" s="71"/>
      <c r="AFN16" s="71"/>
      <c r="AFO16" s="71"/>
      <c r="AFP16" s="71"/>
      <c r="AFQ16" s="71"/>
      <c r="AFR16" s="71"/>
      <c r="AFS16" s="71"/>
      <c r="AFT16" s="71"/>
      <c r="AFU16" s="71"/>
      <c r="AFV16" s="71"/>
      <c r="AFW16" s="71"/>
      <c r="AFX16" s="71"/>
      <c r="AFY16" s="71"/>
      <c r="AFZ16" s="71"/>
      <c r="AGA16" s="71"/>
      <c r="AGB16" s="71"/>
      <c r="AGC16" s="71"/>
      <c r="AGD16" s="71"/>
      <c r="AGE16" s="71"/>
      <c r="AGF16" s="71"/>
      <c r="AGG16" s="71"/>
      <c r="AGH16" s="71"/>
      <c r="AGI16" s="71"/>
      <c r="AGJ16" s="71"/>
      <c r="AGK16" s="71"/>
      <c r="AGL16" s="71"/>
      <c r="AGM16" s="71"/>
      <c r="AGN16" s="71"/>
      <c r="AGO16" s="71"/>
      <c r="AGP16" s="71"/>
      <c r="AGQ16" s="71"/>
      <c r="AGR16" s="71"/>
      <c r="AGS16" s="71"/>
      <c r="AGT16" s="71"/>
      <c r="AGU16" s="71"/>
      <c r="AGV16" s="71"/>
      <c r="AGW16" s="71"/>
      <c r="AGX16" s="71"/>
      <c r="AGY16" s="71"/>
      <c r="AGZ16" s="71"/>
      <c r="AHA16" s="71"/>
      <c r="AHB16" s="71"/>
      <c r="AHC16" s="71"/>
      <c r="AHD16" s="71"/>
      <c r="AHE16" s="71"/>
      <c r="AHF16" s="71"/>
      <c r="AHG16" s="71"/>
      <c r="AHH16" s="71"/>
      <c r="AHI16" s="71"/>
      <c r="AHJ16" s="71"/>
      <c r="AHK16" s="71"/>
      <c r="AHL16" s="71"/>
      <c r="AHM16" s="71"/>
      <c r="AHN16" s="71"/>
      <c r="AHO16" s="71"/>
      <c r="AHP16" s="71"/>
      <c r="AHQ16" s="71"/>
      <c r="AHR16" s="71"/>
      <c r="AHS16" s="71"/>
      <c r="AHT16" s="71"/>
      <c r="AHU16" s="71"/>
      <c r="AHV16" s="71"/>
      <c r="AHW16" s="71"/>
      <c r="AHX16" s="71"/>
      <c r="AHY16" s="71"/>
      <c r="AHZ16" s="71"/>
      <c r="AIA16" s="71"/>
      <c r="AIB16" s="71"/>
      <c r="AIC16" s="71"/>
      <c r="AID16" s="71"/>
      <c r="AIE16" s="71"/>
      <c r="AIF16" s="71"/>
      <c r="AIG16" s="71"/>
      <c r="AIH16" s="71"/>
      <c r="AII16" s="71"/>
      <c r="AIJ16" s="71"/>
      <c r="AIK16" s="71"/>
      <c r="AIL16" s="71"/>
      <c r="AIM16" s="71"/>
      <c r="AIN16" s="71"/>
      <c r="AIO16" s="71"/>
      <c r="AIP16" s="71"/>
      <c r="AIQ16" s="71"/>
      <c r="AIR16" s="71"/>
      <c r="AIS16" s="71"/>
      <c r="AIT16" s="71"/>
      <c r="AIU16" s="71"/>
      <c r="AIV16" s="71"/>
      <c r="AIW16" s="71"/>
      <c r="AIX16" s="71"/>
      <c r="AIY16" s="71"/>
      <c r="AIZ16" s="71"/>
      <c r="AJA16" s="71"/>
      <c r="AJB16" s="71"/>
      <c r="AJC16" s="71"/>
      <c r="AJD16" s="71"/>
      <c r="AJE16" s="71"/>
      <c r="AJF16" s="71"/>
      <c r="AJG16" s="71"/>
      <c r="AJH16" s="71"/>
      <c r="AJI16" s="71"/>
      <c r="AJJ16" s="71"/>
      <c r="AJK16" s="71"/>
      <c r="AJL16" s="71"/>
      <c r="AJM16" s="71"/>
      <c r="AJN16" s="71"/>
      <c r="AJO16" s="71"/>
      <c r="AJP16" s="71"/>
      <c r="AJQ16" s="71"/>
      <c r="AJR16" s="71"/>
      <c r="AJS16" s="71"/>
      <c r="AJT16" s="71"/>
      <c r="AJU16" s="71"/>
      <c r="AJV16" s="71"/>
      <c r="AJW16" s="71"/>
      <c r="AJX16" s="71"/>
      <c r="AJY16" s="71"/>
      <c r="AJZ16" s="71"/>
      <c r="AKA16" s="71"/>
      <c r="AKB16" s="71"/>
      <c r="AKC16" s="71"/>
      <c r="AKD16" s="71"/>
      <c r="AKE16" s="71"/>
      <c r="AKF16" s="71"/>
      <c r="AKG16" s="71"/>
      <c r="AKH16" s="71"/>
      <c r="AKI16" s="71"/>
      <c r="AKJ16" s="71"/>
      <c r="AKK16" s="71"/>
      <c r="AKL16" s="71"/>
      <c r="AKM16" s="71"/>
      <c r="AKN16" s="71"/>
      <c r="AKO16" s="71"/>
      <c r="AKP16" s="71"/>
      <c r="AKQ16" s="71"/>
      <c r="AKR16" s="71"/>
      <c r="AKS16" s="71"/>
      <c r="AKT16" s="71"/>
      <c r="AKU16" s="71"/>
      <c r="AKV16" s="71"/>
      <c r="AKW16" s="71"/>
      <c r="AKX16" s="71"/>
      <c r="AKY16" s="71"/>
      <c r="AKZ16" s="71"/>
      <c r="ALA16" s="71"/>
      <c r="ALB16" s="71"/>
      <c r="ALC16" s="71"/>
      <c r="ALD16" s="71"/>
      <c r="ALE16" s="71"/>
      <c r="ALF16" s="71"/>
      <c r="ALG16" s="71"/>
      <c r="ALH16" s="71"/>
      <c r="ALI16" s="71"/>
      <c r="ALJ16" s="71"/>
      <c r="ALK16" s="71"/>
      <c r="ALL16" s="71"/>
      <c r="ALM16" s="71"/>
      <c r="ALN16" s="71"/>
      <c r="ALO16" s="71"/>
      <c r="ALP16" s="71"/>
      <c r="ALQ16" s="71"/>
      <c r="ALR16" s="71"/>
      <c r="ALS16" s="71"/>
      <c r="ALT16" s="71"/>
      <c r="ALU16" s="71"/>
      <c r="ALV16" s="71"/>
      <c r="ALW16" s="71"/>
      <c r="ALX16" s="71"/>
      <c r="ALY16" s="71"/>
      <c r="ALZ16" s="71"/>
      <c r="AMA16" s="71"/>
      <c r="AMB16" s="71"/>
      <c r="AMC16" s="71"/>
      <c r="AMD16" s="71"/>
      <c r="AME16" s="71"/>
      <c r="AMF16" s="71"/>
      <c r="AMG16" s="71"/>
      <c r="AMH16" s="71"/>
      <c r="AMI16" s="71"/>
      <c r="AMJ16" s="71"/>
      <c r="AMK16" s="71"/>
      <c r="AML16" s="71"/>
    </row>
    <row r="17" spans="2:12" ht="33" x14ac:dyDescent="0.25">
      <c r="B17" s="116" t="s">
        <v>38</v>
      </c>
      <c r="C17" s="117"/>
      <c r="D17" s="204" t="s">
        <v>355</v>
      </c>
      <c r="E17" s="119"/>
      <c r="F17" s="120"/>
      <c r="G17" s="119"/>
      <c r="H17" s="121"/>
      <c r="I17" s="205"/>
      <c r="J17" s="205"/>
      <c r="K17" s="206"/>
    </row>
    <row r="18" spans="2:12" ht="49.5" x14ac:dyDescent="0.25">
      <c r="B18" s="104" t="s">
        <v>39</v>
      </c>
      <c r="C18" s="105" t="s">
        <v>40</v>
      </c>
      <c r="D18" s="106" t="s">
        <v>333</v>
      </c>
      <c r="E18" s="107" t="s">
        <v>18</v>
      </c>
      <c r="F18" s="108" t="s">
        <v>18</v>
      </c>
      <c r="G18" s="109"/>
      <c r="H18" s="114" t="str">
        <f>HYPERLINK(CONCATENATE(BASE_URL,"0x06d-Testing-Data-Storage.md#testing-local-data-storage-mstg-storage-1-and-mstg-storage-2"),"Testing Local Data Storage (MSTG-STORAGE-1 and MSTG-STORAGE-2)")</f>
        <v>Testing Local Data Storage (MSTG-STORAGE-1 and MSTG-STORAGE-2)</v>
      </c>
      <c r="I18" s="199"/>
      <c r="J18" s="199"/>
      <c r="K18" s="200"/>
    </row>
    <row r="19" spans="2:12" ht="33" x14ac:dyDescent="0.25">
      <c r="B19" s="104" t="s">
        <v>41</v>
      </c>
      <c r="C19" s="105" t="s">
        <v>42</v>
      </c>
      <c r="D19" s="106" t="s">
        <v>334</v>
      </c>
      <c r="E19" s="107"/>
      <c r="F19" s="108"/>
      <c r="G19" s="109"/>
      <c r="H19" s="114" t="str">
        <f>HYPERLINK(CONCATENATE(BASE_URL,"0x06d-Testing-Data-Storage.md#testing-local-data-storage-mstg-storage-1-and-mstg-storage-2"),"Testing Local Data Storage (MSTG-STORAGE-1 and MSTG-STORAGE-2)")</f>
        <v>Testing Local Data Storage (MSTG-STORAGE-1 and MSTG-STORAGE-2)</v>
      </c>
      <c r="I19" s="199"/>
      <c r="J19" s="199"/>
      <c r="K19" s="200"/>
    </row>
    <row r="20" spans="2:12" ht="33" x14ac:dyDescent="0.25">
      <c r="B20" s="104" t="s">
        <v>43</v>
      </c>
      <c r="C20" s="105" t="s">
        <v>44</v>
      </c>
      <c r="D20" s="106" t="s">
        <v>335</v>
      </c>
      <c r="E20" s="107" t="s">
        <v>18</v>
      </c>
      <c r="F20" s="108" t="s">
        <v>18</v>
      </c>
      <c r="G20" s="109"/>
      <c r="H20" s="114" t="str">
        <f>HYPERLINK(CONCATENATE(BASE_URL,"0x06d-Testing-Data-Storage.md#checking-logs-for-sensitive-data-mstg-storage-3"),"Checking Logs for Sensitive Data (MSTG-STORAGE-3)")</f>
        <v>Checking Logs for Sensitive Data (MSTG-STORAGE-3)</v>
      </c>
      <c r="I20" s="199"/>
      <c r="J20" s="199"/>
      <c r="K20" s="200"/>
    </row>
    <row r="21" spans="2:12" ht="33" x14ac:dyDescent="0.25">
      <c r="B21" s="104" t="s">
        <v>45</v>
      </c>
      <c r="C21" s="105" t="s">
        <v>46</v>
      </c>
      <c r="D21" s="106" t="s">
        <v>336</v>
      </c>
      <c r="E21" s="107" t="s">
        <v>18</v>
      </c>
      <c r="F21" s="108" t="s">
        <v>18</v>
      </c>
      <c r="G21" s="109"/>
      <c r="H21" s="114" t="str">
        <f>HYPERLINK(CONCATENATE(BASE_URL,"0x06d-Testing-Data-Storage.md#determining-whether-sensitive-data-is-sent-to-third-parties-mstg-storage-4"),"Determining Whether Sensitive Data Is Sent to Third Parties (MSTG-STORAGE-4)")</f>
        <v>Determining Whether Sensitive Data Is Sent to Third Parties (MSTG-STORAGE-4)</v>
      </c>
      <c r="I21" s="199"/>
      <c r="J21" s="199"/>
      <c r="K21" s="200"/>
    </row>
    <row r="22" spans="2:12" ht="33" x14ac:dyDescent="0.25">
      <c r="B22" s="104" t="s">
        <v>47</v>
      </c>
      <c r="C22" s="105" t="s">
        <v>48</v>
      </c>
      <c r="D22" s="124" t="s">
        <v>337</v>
      </c>
      <c r="E22" s="107" t="s">
        <v>18</v>
      </c>
      <c r="F22" s="108" t="s">
        <v>18</v>
      </c>
      <c r="G22" s="109"/>
      <c r="H22" s="114" t="str">
        <f>HYPERLINK(CONCATENATE(BASE_URL,"0x06d-Testing-Data-Storage.md#finding-sensitive-data-in-the-keyboard-cache-mstg-storage-5"),"Finding Sensitive Data in the Keyboard Cache (MSTG-STORAGE-5)")</f>
        <v>Finding Sensitive Data in the Keyboard Cache (MSTG-STORAGE-5)</v>
      </c>
      <c r="I22" s="199"/>
      <c r="J22" s="199"/>
      <c r="K22" s="200"/>
    </row>
    <row r="23" spans="2:12" ht="33" x14ac:dyDescent="0.25">
      <c r="B23" s="104" t="s">
        <v>49</v>
      </c>
      <c r="C23" s="105" t="s">
        <v>50</v>
      </c>
      <c r="D23" s="124" t="s">
        <v>338</v>
      </c>
      <c r="E23" s="107" t="s">
        <v>18</v>
      </c>
      <c r="F23" s="108" t="s">
        <v>18</v>
      </c>
      <c r="G23" s="109"/>
      <c r="H23" s="110" t="str">
        <f>HYPERLINK(CONCATENATE(BASE_URL,"0x06d-Testing-Data-Storage.md#determining-whether-sensitive-data-is-exposed-via-ipc-mechanisms-mstg-storage-6"),"Determining Whether Sensitive Data Is Exposed via IPC Mechanisms (MSTG-STORAGE-6)")</f>
        <v>Determining Whether Sensitive Data Is Exposed via IPC Mechanisms (MSTG-STORAGE-6)</v>
      </c>
      <c r="I23" s="199"/>
      <c r="J23" s="199"/>
      <c r="K23" s="200"/>
    </row>
    <row r="24" spans="2:12" ht="33" x14ac:dyDescent="0.25">
      <c r="B24" s="104" t="s">
        <v>51</v>
      </c>
      <c r="C24" s="105" t="s">
        <v>52</v>
      </c>
      <c r="D24" s="124" t="s">
        <v>339</v>
      </c>
      <c r="E24" s="107" t="s">
        <v>18</v>
      </c>
      <c r="F24" s="108" t="s">
        <v>18</v>
      </c>
      <c r="G24" s="109"/>
      <c r="H24" s="114" t="str">
        <f>HYPERLINK(CONCATENATE(BASE_URL,"0x06d-Testing-Data-Storage.md#checking-for-sensitive-data-disclosed-through-the-user-interface-mstg-storage-7"),"Checking for Sensitive Data Disclosed Through the User Interface (MSTG-STORAGE-7)")</f>
        <v>Checking for Sensitive Data Disclosed Through the User Interface (MSTG-STORAGE-7)</v>
      </c>
      <c r="I24" s="199"/>
      <c r="J24" s="199"/>
      <c r="K24" s="200"/>
    </row>
    <row r="25" spans="2:12" ht="33" x14ac:dyDescent="0.25">
      <c r="B25" s="104" t="s">
        <v>53</v>
      </c>
      <c r="C25" s="105" t="s">
        <v>54</v>
      </c>
      <c r="D25" s="124" t="s">
        <v>340</v>
      </c>
      <c r="E25" s="113"/>
      <c r="F25" s="108" t="s">
        <v>18</v>
      </c>
      <c r="G25" s="109" t="s">
        <v>27</v>
      </c>
      <c r="H25" s="114" t="str">
        <f>HYPERLINK(CONCATENATE(BASE_URL,"0x06d-Testing-Data-Storage.md#testing-backups-for-sensitive-data-mstg-storage-8"),"Testing Backups for Sensitive Data (MSTG-STORAGE-8)")</f>
        <v>Testing Backups for Sensitive Data (MSTG-STORAGE-8)</v>
      </c>
      <c r="I25" s="199"/>
      <c r="J25" s="199"/>
      <c r="K25" s="200"/>
    </row>
    <row r="26" spans="2:12" ht="33" x14ac:dyDescent="0.25">
      <c r="B26" s="104" t="s">
        <v>55</v>
      </c>
      <c r="C26" s="105" t="s">
        <v>56</v>
      </c>
      <c r="D26" s="124" t="s">
        <v>341</v>
      </c>
      <c r="E26" s="113"/>
      <c r="F26" s="108" t="s">
        <v>18</v>
      </c>
      <c r="G26" s="109" t="s">
        <v>27</v>
      </c>
      <c r="H26" s="114" t="str">
        <f>HYPERLINK(CONCATENATE(BASE_URL,"0x06d-Testing-Data-Storage.md#testing-auto-generated-screenshots-for-sensitive-information-mstg-storage-9"),"Testing Auto-Generated Screenshots for Sensitive Information (MSTG-STORAGE-9)")</f>
        <v>Testing Auto-Generated Screenshots for Sensitive Information (MSTG-STORAGE-9)</v>
      </c>
      <c r="I26" s="199"/>
      <c r="J26" s="199"/>
      <c r="K26" s="200"/>
    </row>
    <row r="27" spans="2:12" ht="33" x14ac:dyDescent="0.25">
      <c r="B27" s="104" t="s">
        <v>57</v>
      </c>
      <c r="C27" s="105" t="s">
        <v>58</v>
      </c>
      <c r="D27" s="124" t="s">
        <v>342</v>
      </c>
      <c r="E27" s="113"/>
      <c r="F27" s="108" t="s">
        <v>18</v>
      </c>
      <c r="G27" s="109" t="s">
        <v>27</v>
      </c>
      <c r="H27" s="114" t="str">
        <f>HYPERLINK(CONCATENATE(BASE_URL,"0x06d-Testing-Data-Storage.md#testing-memory-for-sensitive-data-mstg-storage-10"),"Testing Memory for Sensitive Data (MSTG-STORAGE-10)")</f>
        <v>Testing Memory for Sensitive Data (MSTG-STORAGE-10)</v>
      </c>
      <c r="I27" s="199"/>
      <c r="J27" s="199"/>
      <c r="K27" s="200"/>
    </row>
    <row r="28" spans="2:12" ht="33" x14ac:dyDescent="0.25">
      <c r="B28" s="104" t="s">
        <v>59</v>
      </c>
      <c r="C28" s="105" t="s">
        <v>60</v>
      </c>
      <c r="D28" s="124" t="s">
        <v>343</v>
      </c>
      <c r="E28" s="113"/>
      <c r="F28" s="108" t="s">
        <v>18</v>
      </c>
      <c r="G28" s="109" t="s">
        <v>27</v>
      </c>
      <c r="H28" s="114" t="str">
        <f>HYPERLINK(CONCATENATE(BASE_URL,"0x06f-Testing-Local-Authentication.md#testing-local-authentication-mstg-auth-8-and-mstg-storage-11"),"Testing Local Authentication (MSTG-AUTH-8 and MSTG-STORAGE-11)")</f>
        <v>Testing Local Authentication (MSTG-AUTH-8 and MSTG-STORAGE-11)</v>
      </c>
      <c r="I28" s="199"/>
      <c r="J28" s="199"/>
      <c r="K28" s="200"/>
      <c r="L28" s="73"/>
    </row>
    <row r="29" spans="2:12" ht="49.5" x14ac:dyDescent="0.25">
      <c r="B29" s="104" t="s">
        <v>61</v>
      </c>
      <c r="C29" s="105" t="s">
        <v>62</v>
      </c>
      <c r="D29" s="106" t="s">
        <v>344</v>
      </c>
      <c r="E29" s="113"/>
      <c r="F29" s="108" t="s">
        <v>18</v>
      </c>
      <c r="G29" s="109" t="s">
        <v>27</v>
      </c>
      <c r="H29" s="207" t="str">
        <f>HYPERLINK(CONCATENATE(BASE_URL,"0x04i-Testing-user-interaction.md#testing-user-education-mstg-storage-12"),"Testing User Education (MSTG-STORAGE-12)")</f>
        <v>Testing User Education (MSTG-STORAGE-12)</v>
      </c>
      <c r="I29" s="199"/>
      <c r="J29" s="199"/>
      <c r="K29" s="200"/>
      <c r="L29" s="74"/>
    </row>
    <row r="30" spans="2:12" ht="49.5" x14ac:dyDescent="0.25">
      <c r="B30" s="104" t="s">
        <v>315</v>
      </c>
      <c r="C30" s="105" t="s">
        <v>317</v>
      </c>
      <c r="D30" s="106" t="s">
        <v>345</v>
      </c>
      <c r="E30" s="113"/>
      <c r="F30" s="108"/>
      <c r="G30" s="109"/>
      <c r="H30" s="207"/>
      <c r="I30" s="199"/>
      <c r="J30" s="199"/>
      <c r="K30" s="200"/>
      <c r="L30" s="74"/>
    </row>
    <row r="31" spans="2:12" ht="49.5" x14ac:dyDescent="0.25">
      <c r="B31" s="104" t="s">
        <v>316</v>
      </c>
      <c r="C31" s="105" t="s">
        <v>318</v>
      </c>
      <c r="D31" s="106" t="s">
        <v>346</v>
      </c>
      <c r="E31" s="113"/>
      <c r="F31" s="108"/>
      <c r="G31" s="109"/>
      <c r="H31" s="207"/>
      <c r="I31" s="199"/>
      <c r="J31" s="199"/>
      <c r="K31" s="200"/>
      <c r="L31" s="74"/>
    </row>
    <row r="32" spans="2:12" ht="45" customHeight="1" x14ac:dyDescent="0.25">
      <c r="B32" s="104" t="s">
        <v>319</v>
      </c>
      <c r="C32" s="105" t="s">
        <v>320</v>
      </c>
      <c r="D32" s="124" t="s">
        <v>347</v>
      </c>
      <c r="E32" s="113"/>
      <c r="F32" s="108"/>
      <c r="G32" s="109"/>
      <c r="H32" s="114"/>
      <c r="I32" s="199"/>
      <c r="J32" s="199"/>
      <c r="K32" s="200"/>
      <c r="L32" s="73"/>
    </row>
    <row r="33" spans="2:13" ht="33" x14ac:dyDescent="0.25">
      <c r="B33" s="116" t="s">
        <v>63</v>
      </c>
      <c r="C33" s="117"/>
      <c r="D33" s="204" t="s">
        <v>358</v>
      </c>
      <c r="E33" s="119"/>
      <c r="F33" s="120"/>
      <c r="G33" s="119"/>
      <c r="H33" s="121"/>
      <c r="I33" s="205"/>
      <c r="J33" s="205"/>
      <c r="K33" s="206"/>
    </row>
    <row r="34" spans="2:13" ht="45" customHeight="1" x14ac:dyDescent="0.25">
      <c r="B34" s="104" t="s">
        <v>64</v>
      </c>
      <c r="C34" s="105" t="s">
        <v>65</v>
      </c>
      <c r="D34" s="124" t="s">
        <v>348</v>
      </c>
      <c r="E34" s="107" t="s">
        <v>18</v>
      </c>
      <c r="F34" s="108" t="s">
        <v>18</v>
      </c>
      <c r="G34" s="109"/>
      <c r="H34" s="114" t="str">
        <f>HYPERLINK(CONCATENATE(BASE_URL,"0x06e-Testing-Cryptography.md#testing-key-management-mstg-crypto-1-and-mstg-crypto-5"),"Testing Key Management (MSTG-CRYPTO-1 and MSTG-CRYPTO-5)")</f>
        <v>Testing Key Management (MSTG-CRYPTO-1 and MSTG-CRYPTO-5)</v>
      </c>
      <c r="I34" s="199"/>
      <c r="J34" s="199"/>
      <c r="K34" s="200"/>
    </row>
    <row r="35" spans="2:13" ht="45" customHeight="1" x14ac:dyDescent="0.25">
      <c r="B35" s="104" t="s">
        <v>66</v>
      </c>
      <c r="C35" s="105" t="s">
        <v>67</v>
      </c>
      <c r="D35" s="124" t="s">
        <v>349</v>
      </c>
      <c r="E35" s="107" t="s">
        <v>18</v>
      </c>
      <c r="F35" s="108" t="s">
        <v>18</v>
      </c>
      <c r="G35" s="109"/>
      <c r="H35" s="110" t="str">
        <f>HYPERLINK(CONCATENATE(BASE_URL,"0x06e-Testing-Cryptography.md#verifying-the-configuration-of-cryptographic-standard-algorithms-mstg-crypto-2-and-mstg-crypto-3"),"Verifying the Configuration of Cryptographic Standard Algorithms (MSTG-CRYPTO-2 and MSTG-CRYPTO-3)")</f>
        <v>Verifying the Configuration of Cryptographic Standard Algorithms (MSTG-CRYPTO-2 and MSTG-CRYPTO-3)</v>
      </c>
      <c r="I35" s="199"/>
      <c r="J35" s="199"/>
      <c r="K35" s="200"/>
    </row>
    <row r="36" spans="2:13" ht="45" customHeight="1" x14ac:dyDescent="0.25">
      <c r="B36" s="104" t="s">
        <v>68</v>
      </c>
      <c r="C36" s="105" t="s">
        <v>69</v>
      </c>
      <c r="D36" s="106" t="s">
        <v>350</v>
      </c>
      <c r="E36" s="107" t="s">
        <v>18</v>
      </c>
      <c r="F36" s="108" t="s">
        <v>18</v>
      </c>
      <c r="G36" s="109"/>
      <c r="H36" s="110" t="str">
        <f>HYPERLINK(CONCATENATE(BASE_URL,"0x06e-Testing-Cryptography.md#verifying-the-configuration-of-cryptographic-standard-algorithms-mstg-crypto-2-and-mstg-crypto-3"),"Verifying the Configuration of Cryptographic Standard Algorithms (MSTG-CRYPTO-2 and MSTG-CRYPTO-3)")</f>
        <v>Verifying the Configuration of Cryptographic Standard Algorithms (MSTG-CRYPTO-2 and MSTG-CRYPTO-3)</v>
      </c>
      <c r="I36" s="199"/>
      <c r="J36" s="199"/>
      <c r="K36" s="200"/>
    </row>
    <row r="37" spans="2:13" ht="45" customHeight="1" x14ac:dyDescent="0.25">
      <c r="B37" s="104" t="s">
        <v>70</v>
      </c>
      <c r="C37" s="105" t="s">
        <v>71</v>
      </c>
      <c r="D37" s="124" t="s">
        <v>351</v>
      </c>
      <c r="E37" s="107" t="s">
        <v>18</v>
      </c>
      <c r="F37" s="108" t="s">
        <v>18</v>
      </c>
      <c r="G37" s="109"/>
      <c r="H37" s="114" t="str">
        <f>HYPERLINK(CONCATENATE(BASE_URL,"0x04g-Testing-Cryptography.md#identifying-insecure-andor-deprecated-cryptographic-algorithms-mstg-crypto-4"),"Identifying Insecure and/or Deprecated Cryptographic Algorithms (MSTG-CRYPTO-4)")</f>
        <v>Identifying Insecure and/or Deprecated Cryptographic Algorithms (MSTG-CRYPTO-4)</v>
      </c>
      <c r="I37" s="199"/>
      <c r="J37" s="199"/>
      <c r="K37" s="200"/>
    </row>
    <row r="38" spans="2:13" ht="45" customHeight="1" x14ac:dyDescent="0.25">
      <c r="B38" s="104" t="s">
        <v>72</v>
      </c>
      <c r="C38" s="105" t="s">
        <v>73</v>
      </c>
      <c r="D38" s="124" t="s">
        <v>352</v>
      </c>
      <c r="E38" s="107" t="s">
        <v>18</v>
      </c>
      <c r="F38" s="108" t="s">
        <v>18</v>
      </c>
      <c r="G38" s="109"/>
      <c r="H38" s="114" t="str">
        <f>HYPERLINK(CONCATENATE(BASE_URL,"0x06e-Testing-Cryptography.md#testing-key-management-mstg-crypto-1-and-mstg-crypto-5"),"Testing Key Management (MSTG-CRYPTO-1 and MSTG-CRYPTO-5)")</f>
        <v>Testing Key Management (MSTG-CRYPTO-1 and MSTG-CRYPTO-5)</v>
      </c>
      <c r="I38" s="199"/>
      <c r="J38" s="199"/>
      <c r="K38" s="200"/>
    </row>
    <row r="39" spans="2:13" ht="45" customHeight="1" x14ac:dyDescent="0.25">
      <c r="B39" s="104" t="s">
        <v>74</v>
      </c>
      <c r="C39" s="105" t="s">
        <v>75</v>
      </c>
      <c r="D39" s="124" t="s">
        <v>353</v>
      </c>
      <c r="E39" s="107" t="s">
        <v>18</v>
      </c>
      <c r="F39" s="108" t="s">
        <v>18</v>
      </c>
      <c r="G39" s="109"/>
      <c r="H39" s="114" t="str">
        <f>HYPERLINK(CONCATENATE(BASE_URL,"0x06e-Testing-Cryptography.md#testing-random-number-generation-mstg-crypto-6")," Testing Random Number Generation (MSTG-CRYPTO-6)")</f>
        <v xml:space="preserve"> Testing Random Number Generation (MSTG-CRYPTO-6)</v>
      </c>
      <c r="I39" s="199"/>
      <c r="J39" s="199"/>
      <c r="K39" s="200"/>
    </row>
    <row r="40" spans="2:13" ht="33" x14ac:dyDescent="0.25">
      <c r="B40" s="116" t="s">
        <v>76</v>
      </c>
      <c r="C40" s="117"/>
      <c r="D40" s="204" t="s">
        <v>354</v>
      </c>
      <c r="E40" s="119"/>
      <c r="F40" s="120"/>
      <c r="G40" s="119"/>
      <c r="H40" s="121"/>
      <c r="I40" s="205"/>
      <c r="J40" s="205"/>
      <c r="K40" s="206"/>
    </row>
    <row r="41" spans="2:13" ht="45" customHeight="1" x14ac:dyDescent="0.25">
      <c r="B41" s="104" t="s">
        <v>77</v>
      </c>
      <c r="C41" s="105" t="s">
        <v>78</v>
      </c>
      <c r="D41" s="128" t="s">
        <v>360</v>
      </c>
      <c r="E41" s="107" t="s">
        <v>18</v>
      </c>
      <c r="F41" s="108" t="s">
        <v>18</v>
      </c>
      <c r="G41" s="109"/>
      <c r="H41" s="114"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I41" s="114" t="str">
        <f>HYPERLINK(CONCATENATE(BASE_URL,"0x04e-Testing-Authentication-and-Session-Management.md#testing-oauth-20-flows-mstg-auth-1-and-mstg-auth-3"),"Testing OAuth 2.0 Flows (MSTG-AUTH-1 and MSTG-AUTH-3)")</f>
        <v>Testing OAuth 2.0 Flows (MSTG-AUTH-1 and MSTG-AUTH-3)</v>
      </c>
      <c r="J41" s="208"/>
      <c r="K41" s="209"/>
    </row>
    <row r="42" spans="2:13" ht="45" customHeight="1" x14ac:dyDescent="0.25">
      <c r="B42" s="104" t="s">
        <v>79</v>
      </c>
      <c r="C42" s="105" t="s">
        <v>80</v>
      </c>
      <c r="D42" s="128" t="s">
        <v>361</v>
      </c>
      <c r="E42" s="107" t="s">
        <v>18</v>
      </c>
      <c r="F42" s="108" t="s">
        <v>18</v>
      </c>
      <c r="G42" s="109"/>
      <c r="H42" s="114" t="str">
        <f>HYPERLINK(CONCATENATE(BASE_URL,"0x04e-Testing-Authentication-and-Session-Management.md#testing-stateful-session-management-mstg-auth-2"),"Testing Stateful Session Management (MSTG-AUTH-2)")</f>
        <v>Testing Stateful Session Management (MSTG-AUTH-2)</v>
      </c>
      <c r="I42" s="199"/>
      <c r="J42" s="199"/>
      <c r="K42" s="200"/>
    </row>
    <row r="43" spans="2:13" ht="45" customHeight="1" x14ac:dyDescent="0.25">
      <c r="B43" s="104" t="s">
        <v>81</v>
      </c>
      <c r="C43" s="105" t="s">
        <v>82</v>
      </c>
      <c r="D43" s="128" t="s">
        <v>364</v>
      </c>
      <c r="E43" s="107" t="s">
        <v>18</v>
      </c>
      <c r="F43" s="108" t="s">
        <v>18</v>
      </c>
      <c r="G43" s="109"/>
      <c r="H43" s="114" t="str">
        <f>HYPERLINK(CONCATENATE(BASE_URL,"0x04e-Testing-Authentication-and-Session-Management.md#testing-stateless-token-based-authentication-mstg-auth-3"),"Testing Stateless (Token-Based) Authentication (MSTG-AUTH-3)")</f>
        <v>Testing Stateless (Token-Based) Authentication (MSTG-AUTH-3)</v>
      </c>
      <c r="I43" s="114" t="str">
        <f>HYPERLINK(CONCATENATE(BASE_URL,"0x04e-Testing-Authentication-and-Session-Management.md#testing-oauth-20-flows-mstg-auth-1-and-mstg-auth-3"),"Testing OAuth 2.0 Flows (MSTG-AUTH-1 and MSTG-AUTH-3)")</f>
        <v>Testing OAuth 2.0 Flows (MSTG-AUTH-1 and MSTG-AUTH-3)</v>
      </c>
      <c r="J43" s="208"/>
      <c r="K43" s="209"/>
    </row>
    <row r="44" spans="2:13" ht="45" customHeight="1" x14ac:dyDescent="0.25">
      <c r="B44" s="104" t="s">
        <v>83</v>
      </c>
      <c r="C44" s="105" t="s">
        <v>84</v>
      </c>
      <c r="D44" s="128" t="s">
        <v>365</v>
      </c>
      <c r="E44" s="107"/>
      <c r="F44" s="108"/>
      <c r="G44" s="109"/>
      <c r="H44" s="114" t="str">
        <f>HYPERLINK(CONCATENATE(BASE_URL,"0x04e-Testing-Authentication-and-Session-Management.md#testing-user-logout-mstg-auth-4"),"Testing User Logout (MSTG-AUTH-4)")</f>
        <v>Testing User Logout (MSTG-AUTH-4)</v>
      </c>
      <c r="I44" s="199"/>
      <c r="J44" s="199"/>
      <c r="K44" s="200"/>
      <c r="M44" s="75"/>
    </row>
    <row r="45" spans="2:13" ht="45" customHeight="1" x14ac:dyDescent="0.25">
      <c r="B45" s="104" t="s">
        <v>85</v>
      </c>
      <c r="C45" s="105" t="s">
        <v>86</v>
      </c>
      <c r="D45" s="128" t="s">
        <v>366</v>
      </c>
      <c r="E45" s="107" t="s">
        <v>18</v>
      </c>
      <c r="F45" s="108" t="s">
        <v>18</v>
      </c>
      <c r="G45" s="109"/>
      <c r="H45" s="114" t="str">
        <f>HYPERLINK(CONCATENATE(BASE_URL,"0x04e-Testing-Authentication-and-Session-Management.md#testing-best-practices-for-passwords-mstg-auth-5-and-mstg-auth-6"),"Testing Best Practices for Passwords (MSTG-AUTH-5 and MSTG-AUTH-6)")</f>
        <v>Testing Best Practices for Passwords (MSTG-AUTH-5 and MSTG-AUTH-6)</v>
      </c>
      <c r="I45" s="199"/>
      <c r="J45" s="199"/>
      <c r="K45" s="209"/>
      <c r="M45" s="75"/>
    </row>
    <row r="46" spans="2:13" ht="45" customHeight="1" x14ac:dyDescent="0.25">
      <c r="B46" s="104" t="s">
        <v>87</v>
      </c>
      <c r="C46" s="105" t="s">
        <v>88</v>
      </c>
      <c r="D46" s="128" t="s">
        <v>368</v>
      </c>
      <c r="E46" s="107" t="s">
        <v>18</v>
      </c>
      <c r="F46" s="108" t="s">
        <v>18</v>
      </c>
      <c r="G46" s="109"/>
      <c r="H46" s="114" t="str">
        <f>HYPERLINK(CONCATENATE(BASE_URL,"0x04e-Testing-Authentication-and-Session-Management.md#testing-best-practices-for-passwords-mstg-auth-5-and-mstg-auth-6"),"Testing Best Practices for Passwords (MSTG-AUTH-5 and MSTG-AUTH-6)")</f>
        <v>Testing Best Practices for Passwords (MSTG-AUTH-5 and MSTG-AUTH-6)</v>
      </c>
      <c r="I46" s="114" t="str">
        <f>HYPERLINK(CONCATENATE(BASE_URL,"0x04e-Testing-Authentication-and-Session-Management.md#dynamic-testing-mstg-auth-6"),"Dynamic Testing (MSTG-AUTH-6)")</f>
        <v>Dynamic Testing (MSTG-AUTH-6)</v>
      </c>
      <c r="J46" s="208"/>
      <c r="K46" s="209"/>
    </row>
    <row r="47" spans="2:13" ht="45" customHeight="1" x14ac:dyDescent="0.25">
      <c r="B47" s="104" t="s">
        <v>89</v>
      </c>
      <c r="C47" s="105" t="s">
        <v>90</v>
      </c>
      <c r="D47" s="128" t="s">
        <v>369</v>
      </c>
      <c r="E47" s="107" t="s">
        <v>18</v>
      </c>
      <c r="F47" s="108" t="s">
        <v>18</v>
      </c>
      <c r="G47" s="109"/>
      <c r="H47" s="114" t="str">
        <f>HYPERLINK(CONCATENATE(BASE_URL,"0x04e-Testing-Authentication-and-Session-Management.md#testing-session-timeout-mstg-auth-7"),"Testing Session Timeout (MSTG-AUTH-7)")</f>
        <v>Testing Session Timeout (MSTG-AUTH-7)</v>
      </c>
      <c r="I47" s="207"/>
      <c r="J47" s="210"/>
      <c r="K47" s="211"/>
    </row>
    <row r="48" spans="2:13" ht="45" customHeight="1" x14ac:dyDescent="0.25">
      <c r="B48" s="104" t="s">
        <v>91</v>
      </c>
      <c r="C48" s="105" t="s">
        <v>92</v>
      </c>
      <c r="D48" s="128" t="s">
        <v>370</v>
      </c>
      <c r="E48" s="113"/>
      <c r="F48" s="108" t="s">
        <v>18</v>
      </c>
      <c r="G48" s="109" t="s">
        <v>27</v>
      </c>
      <c r="H48" s="114" t="str">
        <f>HYPERLINK(CONCATENATE(BASE_URL,"0x06f-Testing-Local-Authentication.md#testing-local-authentication-mstg-auth-8-and-mstg-storage-11"),"Testing Local Authentication (MSTG-AUTH-8 and MSTG-STORAGE-11)")</f>
        <v>Testing Local Authentication (MSTG-AUTH-8 and MSTG-STORAGE-11)</v>
      </c>
      <c r="I48" s="114"/>
      <c r="J48" s="208"/>
      <c r="K48" s="209"/>
    </row>
    <row r="49" spans="2:11" ht="45" customHeight="1" x14ac:dyDescent="0.25">
      <c r="B49" s="104" t="s">
        <v>93</v>
      </c>
      <c r="C49" s="105" t="s">
        <v>94</v>
      </c>
      <c r="D49" s="128" t="s">
        <v>371</v>
      </c>
      <c r="E49" s="113"/>
      <c r="F49" s="108" t="s">
        <v>18</v>
      </c>
      <c r="G49" s="109" t="s">
        <v>27</v>
      </c>
      <c r="H49" s="110"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9" s="199"/>
      <c r="J49" s="199"/>
      <c r="K49" s="200"/>
    </row>
    <row r="50" spans="2:11" ht="45" customHeight="1" x14ac:dyDescent="0.25">
      <c r="B50" s="104" t="s">
        <v>95</v>
      </c>
      <c r="C50" s="105" t="s">
        <v>96</v>
      </c>
      <c r="D50" s="128" t="s">
        <v>372</v>
      </c>
      <c r="E50" s="113"/>
      <c r="F50" s="108" t="s">
        <v>18</v>
      </c>
      <c r="G50" s="109" t="s">
        <v>27</v>
      </c>
      <c r="H50" s="110"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50" s="199"/>
      <c r="J50" s="199"/>
      <c r="K50" s="200"/>
    </row>
    <row r="51" spans="2:11" ht="45" customHeight="1" x14ac:dyDescent="0.25">
      <c r="B51" s="104" t="s">
        <v>97</v>
      </c>
      <c r="C51" s="105" t="s">
        <v>363</v>
      </c>
      <c r="D51" s="128" t="s">
        <v>373</v>
      </c>
      <c r="E51" s="113"/>
      <c r="F51" s="108"/>
      <c r="G51" s="109"/>
      <c r="H51" s="110"/>
      <c r="I51" s="199"/>
      <c r="J51" s="199"/>
      <c r="K51" s="200"/>
    </row>
    <row r="52" spans="2:11" ht="45" customHeight="1" x14ac:dyDescent="0.25">
      <c r="B52" s="104" t="s">
        <v>375</v>
      </c>
      <c r="C52" s="105" t="s">
        <v>363</v>
      </c>
      <c r="D52" s="128" t="s">
        <v>374</v>
      </c>
      <c r="E52" s="113"/>
      <c r="F52" s="108" t="s">
        <v>18</v>
      </c>
      <c r="G52" s="109" t="s">
        <v>27</v>
      </c>
      <c r="H52" s="207" t="str">
        <f>HYPERLINK(CONCATENATE( BASE_URL, "0x04e-Testing-Authentication-and-Session-Management.md#testing-login-activity-and-device-blocking-mstg-auth-11"), "Testing Login Activity and Device Blocking (MSTG-AUTH-11)")</f>
        <v>Testing Login Activity and Device Blocking (MSTG-AUTH-11)</v>
      </c>
      <c r="I52" s="199"/>
      <c r="J52" s="199"/>
      <c r="K52" s="200"/>
    </row>
    <row r="53" spans="2:11" ht="33" x14ac:dyDescent="0.25">
      <c r="B53" s="116" t="s">
        <v>99</v>
      </c>
      <c r="C53" s="117"/>
      <c r="D53" s="204" t="s">
        <v>376</v>
      </c>
      <c r="E53" s="119"/>
      <c r="F53" s="120"/>
      <c r="G53" s="119"/>
      <c r="H53" s="121"/>
      <c r="I53" s="205"/>
      <c r="J53" s="205"/>
      <c r="K53" s="206"/>
    </row>
    <row r="54" spans="2:11" ht="45" customHeight="1" x14ac:dyDescent="0.25">
      <c r="B54" s="104" t="s">
        <v>100</v>
      </c>
      <c r="C54" s="105" t="s">
        <v>101</v>
      </c>
      <c r="D54" s="124" t="s">
        <v>377</v>
      </c>
      <c r="E54" s="107" t="s">
        <v>18</v>
      </c>
      <c r="F54" s="108" t="s">
        <v>18</v>
      </c>
      <c r="G54" s="109"/>
      <c r="H54" s="110"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4" s="203"/>
      <c r="J54" s="203"/>
      <c r="K54" s="212"/>
    </row>
    <row r="55" spans="2:11" ht="45" customHeight="1" x14ac:dyDescent="0.25">
      <c r="B55" s="104" t="s">
        <v>102</v>
      </c>
      <c r="C55" s="105" t="s">
        <v>103</v>
      </c>
      <c r="D55" s="128" t="s">
        <v>378</v>
      </c>
      <c r="E55" s="107" t="s">
        <v>18</v>
      </c>
      <c r="F55" s="108" t="s">
        <v>18</v>
      </c>
      <c r="G55" s="109"/>
      <c r="H55" s="110"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5" s="203" t="str">
        <f>HYPERLINK(CONCATENATE(BASE_URL,"0x06g-Testing-Network-Communication.md#app-transport-security-mstg-network-2"),"App Transport Security (MSTG-NETWORK-2)")</f>
        <v>App Transport Security (MSTG-NETWORK-2)</v>
      </c>
      <c r="J55" s="203"/>
      <c r="K55" s="212"/>
    </row>
    <row r="56" spans="2:11" ht="45" customHeight="1" x14ac:dyDescent="0.25">
      <c r="B56" s="104" t="s">
        <v>104</v>
      </c>
      <c r="C56" s="105" t="s">
        <v>105</v>
      </c>
      <c r="D56" s="128" t="s">
        <v>379</v>
      </c>
      <c r="E56" s="107" t="s">
        <v>18</v>
      </c>
      <c r="F56" s="108" t="s">
        <v>18</v>
      </c>
      <c r="G56" s="109"/>
      <c r="H56" s="114" t="str">
        <f>HYPERLINK(CONCATENATE(BASE_URL,"0x06g-Testing-Network-Communication.md#testing-custom-certificate-stores-and-certificate-pinning-mstg-network-3-and-mstg-network-4"),"Testing Custom Certificate Stores and Certificate Pinning (MSTG-NETWORK-3 and MSTG-NETWORK-4)")</f>
        <v>Testing Custom Certificate Stores and Certificate Pinning (MSTG-NETWORK-3 and MSTG-NETWORK-4)</v>
      </c>
      <c r="I56" s="199"/>
      <c r="J56" s="199"/>
      <c r="K56" s="212"/>
    </row>
    <row r="57" spans="2:11" ht="45" customHeight="1" x14ac:dyDescent="0.25">
      <c r="B57" s="104" t="s">
        <v>106</v>
      </c>
      <c r="C57" s="105" t="s">
        <v>107</v>
      </c>
      <c r="D57" s="128" t="s">
        <v>380</v>
      </c>
      <c r="E57" s="113"/>
      <c r="F57" s="108" t="s">
        <v>18</v>
      </c>
      <c r="G57" s="109" t="s">
        <v>27</v>
      </c>
      <c r="H57" s="114" t="str">
        <f>HYPERLINK(CONCATENATE(BASE_URL,"0x06g-Testing-Network-Communication.md#testing-custom-certificate-stores-and-certificate-pinning-mstg-network-3-and-mstg-network-4"),"Testing Custom Certificate Stores and Certificate Pinning (MSTG-NETWORK-3 and MSTG-NETWORK-4)")</f>
        <v>Testing Custom Certificate Stores and Certificate Pinning (MSTG-NETWORK-3 and MSTG-NETWORK-4)</v>
      </c>
      <c r="I57" s="199"/>
      <c r="J57" s="199"/>
      <c r="K57" s="200"/>
    </row>
    <row r="58" spans="2:11" ht="45" customHeight="1" x14ac:dyDescent="0.25">
      <c r="B58" s="104" t="s">
        <v>108</v>
      </c>
      <c r="C58" s="105" t="s">
        <v>109</v>
      </c>
      <c r="D58" s="128" t="s">
        <v>381</v>
      </c>
      <c r="E58" s="113"/>
      <c r="F58" s="108" t="s">
        <v>18</v>
      </c>
      <c r="G58" s="109" t="s">
        <v>27</v>
      </c>
      <c r="H58" s="110" t="str">
        <f>HYPERLINK(CONCATENATE(BASE_URL,"0x04f-Testing-Network-Communication.md#making-sure-that-critical-operations-use-secure-communication-channels-mstg-network-5"),"Making Sure that Critical Operations Use Secure Communication Channels (MSTG-NETWORK-5)")</f>
        <v>Making Sure that Critical Operations Use Secure Communication Channels (MSTG-NETWORK-5)</v>
      </c>
      <c r="I58" s="199"/>
      <c r="J58" s="199"/>
      <c r="K58" s="200"/>
    </row>
    <row r="59" spans="2:11" ht="45" customHeight="1" x14ac:dyDescent="0.25">
      <c r="B59" s="104" t="s">
        <v>110</v>
      </c>
      <c r="C59" s="105" t="s">
        <v>111</v>
      </c>
      <c r="D59" s="128" t="s">
        <v>382</v>
      </c>
      <c r="E59" s="113"/>
      <c r="F59" s="108" t="s">
        <v>18</v>
      </c>
      <c r="G59" s="109" t="s">
        <v>27</v>
      </c>
      <c r="H59" s="114" t="str">
        <f>HYPERLINK(CONCATENATE( BASE_URL, "0x06i-Testing-Code-Quality-and-Build-Settings.md#checking-for-weaknesses-in-third-party-libraries-mstg-code-5"), "Checking for Weaknesses in Third Party Libraries (MSTG-CODE-5)")</f>
        <v>Checking for Weaknesses in Third Party Libraries (MSTG-CODE-5)</v>
      </c>
      <c r="I59" s="199"/>
      <c r="J59" s="199"/>
      <c r="K59" s="200"/>
    </row>
    <row r="60" spans="2:11" ht="33" x14ac:dyDescent="0.25">
      <c r="B60" s="116" t="s">
        <v>112</v>
      </c>
      <c r="C60" s="117"/>
      <c r="D60" s="204" t="s">
        <v>385</v>
      </c>
      <c r="E60" s="119"/>
      <c r="F60" s="120"/>
      <c r="G60" s="119"/>
      <c r="H60" s="121"/>
      <c r="I60" s="205"/>
      <c r="J60" s="205"/>
      <c r="K60" s="206"/>
    </row>
    <row r="61" spans="2:11" ht="45" customHeight="1" x14ac:dyDescent="0.25">
      <c r="B61" s="104" t="s">
        <v>113</v>
      </c>
      <c r="C61" s="105" t="s">
        <v>114</v>
      </c>
      <c r="D61" s="124" t="s">
        <v>392</v>
      </c>
      <c r="E61" s="107" t="s">
        <v>18</v>
      </c>
      <c r="F61" s="108" t="s">
        <v>18</v>
      </c>
      <c r="G61" s="109"/>
      <c r="H61" s="114" t="str">
        <f>HYPERLINK(CONCATENATE(BASE_URL,"0x06h-Testing-Platform-Interaction.md#testing-app-permissions-mstg-platform-1"),"Testing App Permissions (MSTG-PLATFORM-1)")</f>
        <v>Testing App Permissions (MSTG-PLATFORM-1)</v>
      </c>
      <c r="I61" s="199"/>
      <c r="J61" s="199"/>
      <c r="K61" s="200"/>
    </row>
    <row r="62" spans="2:11" ht="45" customHeight="1" x14ac:dyDescent="0.25">
      <c r="B62" s="104" t="s">
        <v>115</v>
      </c>
      <c r="C62" s="105" t="s">
        <v>116</v>
      </c>
      <c r="D62" s="128" t="s">
        <v>394</v>
      </c>
      <c r="E62" s="107" t="s">
        <v>18</v>
      </c>
      <c r="F62" s="108" t="s">
        <v>18</v>
      </c>
      <c r="G62" s="109"/>
      <c r="H62" s="114" t="str">
        <f>HYPERLINK(CONCATENATE(BASE_URL,"0x04h-Testing-Code-Quality.md#injection-flaws-mstg-arch-2-and-mstg-platform-2"),"Injection Flaws (MSTG-ARCH-2 and MSTG-PLATFORM-2)")</f>
        <v>Injection Flaws (MSTG-ARCH-2 and MSTG-PLATFORM-2)</v>
      </c>
      <c r="I62" s="199"/>
      <c r="J62" s="199"/>
      <c r="K62" s="200"/>
    </row>
    <row r="63" spans="2:11" ht="45" customHeight="1" x14ac:dyDescent="0.25">
      <c r="B63" s="104" t="s">
        <v>117</v>
      </c>
      <c r="C63" s="105" t="s">
        <v>118</v>
      </c>
      <c r="D63" s="124" t="s">
        <v>393</v>
      </c>
      <c r="E63" s="107" t="s">
        <v>18</v>
      </c>
      <c r="F63" s="108" t="s">
        <v>18</v>
      </c>
      <c r="G63" s="109"/>
      <c r="H63" s="114" t="str">
        <f>HYPERLINK(CONCATENATE(BASE_URL,"0x06h-Testing-Platform-Interaction.md#testing-custom-url-schemes-mstg-platform-3"),"Testing Custom URL Schemes (MSTG-PLATFORM-3)")</f>
        <v>Testing Custom URL Schemes (MSTG-PLATFORM-3)</v>
      </c>
      <c r="I63" s="199"/>
      <c r="J63" s="199"/>
      <c r="K63" s="200"/>
    </row>
    <row r="64" spans="2:11" ht="45" customHeight="1" x14ac:dyDescent="0.25">
      <c r="B64" s="104" t="s">
        <v>119</v>
      </c>
      <c r="C64" s="105" t="s">
        <v>120</v>
      </c>
      <c r="D64" s="124" t="s">
        <v>396</v>
      </c>
      <c r="E64" s="107" t="s">
        <v>18</v>
      </c>
      <c r="F64" s="108" t="s">
        <v>18</v>
      </c>
      <c r="G64" s="109"/>
      <c r="H64" s="201" t="str">
        <f>HYPERLINK(CONCATENATE( BASE_URL, "0x06h-Testing-Platform-Interaction.md#testing-for-sensitive-functionality-exposure-through-ipc-mstg-platform-4"), "Testing for Sensitive Functionality Exposure Through IPC (MSTG-PLATFORM-4)")</f>
        <v>Testing for Sensitive Functionality Exposure Through IPC (MSTG-PLATFORM-4)</v>
      </c>
      <c r="I64" s="199"/>
      <c r="J64" s="199"/>
      <c r="K64" s="200"/>
    </row>
    <row r="65" spans="2:11" ht="45" customHeight="1" x14ac:dyDescent="0.25">
      <c r="B65" s="104" t="s">
        <v>121</v>
      </c>
      <c r="C65" s="105" t="s">
        <v>122</v>
      </c>
      <c r="D65" s="124" t="s">
        <v>395</v>
      </c>
      <c r="E65" s="107" t="s">
        <v>18</v>
      </c>
      <c r="F65" s="108" t="s">
        <v>18</v>
      </c>
      <c r="G65" s="109"/>
      <c r="H65" s="114" t="str">
        <f>HYPERLINK(CONCATENATE(BASE_URL,"0x06h-Testing-Platform-Interaction.md#testing-ios-webviews-mstg-platform-5"),"Testing iOS WebViews (MSTG-PLATFORM-5)")</f>
        <v>Testing iOS WebViews (MSTG-PLATFORM-5)</v>
      </c>
      <c r="I65" s="199"/>
      <c r="J65" s="199"/>
      <c r="K65" s="200"/>
    </row>
    <row r="66" spans="2:11" ht="45" customHeight="1" x14ac:dyDescent="0.25">
      <c r="B66" s="104" t="s">
        <v>123</v>
      </c>
      <c r="C66" s="105" t="s">
        <v>124</v>
      </c>
      <c r="D66" s="128" t="s">
        <v>397</v>
      </c>
      <c r="E66" s="107" t="s">
        <v>18</v>
      </c>
      <c r="F66" s="108" t="s">
        <v>18</v>
      </c>
      <c r="G66" s="109"/>
      <c r="H66" s="114" t="str">
        <f>HYPERLINK(CONCATENATE(BASE_URL,"0x06h-Testing-Platform-Interaction.md#testing-webview-protocol-handlers-mstg-platform-6"),"Testing WebView Protocol Handlers (MSTG-PLATFORM-6)")</f>
        <v>Testing WebView Protocol Handlers (MSTG-PLATFORM-6)</v>
      </c>
      <c r="I66" s="199"/>
      <c r="J66" s="199"/>
      <c r="K66" s="200"/>
    </row>
    <row r="67" spans="2:11" ht="45" customHeight="1" x14ac:dyDescent="0.25">
      <c r="B67" s="104" t="s">
        <v>125</v>
      </c>
      <c r="C67" s="105" t="s">
        <v>126</v>
      </c>
      <c r="D67" s="128" t="s">
        <v>398</v>
      </c>
      <c r="E67" s="107" t="s">
        <v>18</v>
      </c>
      <c r="F67" s="108" t="s">
        <v>18</v>
      </c>
      <c r="G67" s="109"/>
      <c r="H67" s="114" t="str">
        <f>HYPERLINK(CONCATENATE(BASE_URL,"0x06h-Testing-Platform-Interaction.md#determining-whether-native-methods-are-exposed-through-webviews-mstg-platform-7"),"Determining Whether Native Methods Are Exposed Through WebViews (MSTG-PLATFORM-7)")</f>
        <v>Determining Whether Native Methods Are Exposed Through WebViews (MSTG-PLATFORM-7)</v>
      </c>
      <c r="I67" s="199"/>
      <c r="J67" s="199"/>
      <c r="K67" s="200"/>
    </row>
    <row r="68" spans="2:11" ht="45" customHeight="1" x14ac:dyDescent="0.25">
      <c r="B68" s="104" t="s">
        <v>127</v>
      </c>
      <c r="C68" s="105" t="s">
        <v>128</v>
      </c>
      <c r="D68" s="124" t="s">
        <v>399</v>
      </c>
      <c r="E68" s="107" t="s">
        <v>18</v>
      </c>
      <c r="F68" s="108" t="s">
        <v>18</v>
      </c>
      <c r="G68" s="109"/>
      <c r="H68" s="114" t="str">
        <f>HYPERLINK(CONCATENATE(BASE_URL,"0x06h-Testing-Platform-Interaction.md#testing-object-persistence-mstg-platform-8"),"Testing Object Persistence (MSTG-PLATFORM-8)")</f>
        <v>Testing Object Persistence (MSTG-PLATFORM-8)</v>
      </c>
      <c r="I68" s="199"/>
      <c r="J68" s="199"/>
      <c r="K68" s="200"/>
    </row>
    <row r="69" spans="2:11" ht="33" x14ac:dyDescent="0.25">
      <c r="B69" s="116" t="s">
        <v>129</v>
      </c>
      <c r="C69" s="117"/>
      <c r="D69" s="204" t="s">
        <v>403</v>
      </c>
      <c r="E69" s="119"/>
      <c r="F69" s="120"/>
      <c r="G69" s="119"/>
      <c r="H69" s="121"/>
      <c r="I69" s="205"/>
      <c r="J69" s="205"/>
      <c r="K69" s="206"/>
    </row>
    <row r="70" spans="2:11" ht="45" customHeight="1" x14ac:dyDescent="0.25">
      <c r="B70" s="104" t="s">
        <v>130</v>
      </c>
      <c r="C70" s="105" t="s">
        <v>131</v>
      </c>
      <c r="D70" s="124" t="s">
        <v>404</v>
      </c>
      <c r="E70" s="107" t="s">
        <v>18</v>
      </c>
      <c r="F70" s="108" t="s">
        <v>18</v>
      </c>
      <c r="G70" s="109"/>
      <c r="H70" s="114" t="str">
        <f>HYPERLINK(CONCATENATE(BASE_URL,"0x06i-Testing-Code-Quality-and-Build-Settings.md#making-sure-that-the-app-is-properly-signed-mstg-code-1"),"Making Sure that the App Is Properly Signed (MSTG-CODE-1)")</f>
        <v>Making Sure that the App Is Properly Signed (MSTG-CODE-1)</v>
      </c>
      <c r="I70" s="199"/>
      <c r="J70" s="199"/>
      <c r="K70" s="200"/>
    </row>
    <row r="71" spans="2:11" ht="45" customHeight="1" x14ac:dyDescent="0.25">
      <c r="B71" s="104" t="s">
        <v>132</v>
      </c>
      <c r="C71" s="105" t="s">
        <v>133</v>
      </c>
      <c r="D71" s="124" t="s">
        <v>405</v>
      </c>
      <c r="E71" s="107" t="s">
        <v>18</v>
      </c>
      <c r="F71" s="108" t="s">
        <v>18</v>
      </c>
      <c r="G71" s="109"/>
      <c r="H71" s="114" t="str">
        <f>HYPERLINK(CONCATENATE(BASE_URL,"0x06i-Testing-Code-Quality-and-Build-Settings.md#determining-whether-the-app-is-debuggable-mstg-code-2"),"Determining Whether the App is Debuggable (MSTG-CODE-2)")</f>
        <v>Determining Whether the App is Debuggable (MSTG-CODE-2)</v>
      </c>
      <c r="I71" s="199"/>
      <c r="J71" s="199"/>
      <c r="K71" s="200"/>
    </row>
    <row r="72" spans="2:11" ht="45" customHeight="1" x14ac:dyDescent="0.25">
      <c r="B72" s="104" t="s">
        <v>134</v>
      </c>
      <c r="C72" s="105" t="s">
        <v>135</v>
      </c>
      <c r="D72" s="124" t="s">
        <v>406</v>
      </c>
      <c r="E72" s="107" t="s">
        <v>18</v>
      </c>
      <c r="F72" s="108" t="s">
        <v>18</v>
      </c>
      <c r="G72" s="109"/>
      <c r="H72" s="114" t="str">
        <f>HYPERLINK(CONCATENATE(BASE_URL,"0x06i-Testing-Code-Quality-and-Build-Settings.md#finding-debugging-symbols-mstg-code-3"),"Finding Debugging Symbols (MSTG-CODE-3)")</f>
        <v>Finding Debugging Symbols (MSTG-CODE-3)</v>
      </c>
      <c r="I72" s="199"/>
      <c r="J72" s="199"/>
      <c r="K72" s="200"/>
    </row>
    <row r="73" spans="2:11" ht="45" customHeight="1" x14ac:dyDescent="0.25">
      <c r="B73" s="104" t="s">
        <v>136</v>
      </c>
      <c r="C73" s="105" t="s">
        <v>137</v>
      </c>
      <c r="D73" s="124" t="s">
        <v>407</v>
      </c>
      <c r="E73" s="107" t="s">
        <v>18</v>
      </c>
      <c r="F73" s="108" t="s">
        <v>18</v>
      </c>
      <c r="G73" s="109"/>
      <c r="H73" s="114" t="str">
        <f>HYPERLINK(CONCATENATE(BASE_URL,"0x06i-Testing-Code-Quality-and-Build-Settings.md#finding-debugging-code-and-verbose-error-logging-mstg-code-4"),"Finding Debugging Code and Verbose Error Logging (MSTG-CODE-4)")</f>
        <v>Finding Debugging Code and Verbose Error Logging (MSTG-CODE-4)</v>
      </c>
      <c r="I73" s="199"/>
      <c r="J73" s="199"/>
      <c r="K73" s="200"/>
    </row>
    <row r="74" spans="2:11" ht="45" customHeight="1" x14ac:dyDescent="0.25">
      <c r="B74" s="104" t="s">
        <v>138</v>
      </c>
      <c r="C74" s="105" t="s">
        <v>139</v>
      </c>
      <c r="D74" s="106" t="s">
        <v>408</v>
      </c>
      <c r="E74" s="107" t="s">
        <v>18</v>
      </c>
      <c r="F74" s="108" t="s">
        <v>18</v>
      </c>
      <c r="G74" s="109"/>
      <c r="H74" s="207" t="str">
        <f>HYPERLINK(CONCATENATE(BASE_URL,"0x06i-Testing-Code-Quality-and-Build-Settings.md#checking-for-weaknesses-in-third-party-libraries-mstg-code-5"),"Checking for Weaknesses in Third Party Libraries (MSTG-CODE-5)")</f>
        <v>Checking for Weaknesses in Third Party Libraries (MSTG-CODE-5)</v>
      </c>
      <c r="I74" s="199"/>
      <c r="J74" s="199"/>
      <c r="K74" s="200"/>
    </row>
    <row r="75" spans="2:11" ht="45" customHeight="1" x14ac:dyDescent="0.25">
      <c r="B75" s="104" t="s">
        <v>140</v>
      </c>
      <c r="C75" s="105" t="s">
        <v>141</v>
      </c>
      <c r="D75" s="124" t="s">
        <v>409</v>
      </c>
      <c r="E75" s="107" t="s">
        <v>18</v>
      </c>
      <c r="F75" s="108" t="s">
        <v>18</v>
      </c>
      <c r="G75" s="109"/>
      <c r="H75" s="114" t="str">
        <f>HYPERLINK(CONCATENATE(BASE_URL,"0x06i-Testing-Code-Quality-and-Build-Settings.md#testing-exception-handling-mstg-code-6"),"Testing Exception Handling (MSTG-CODE-6)")</f>
        <v>Testing Exception Handling (MSTG-CODE-6)</v>
      </c>
      <c r="I75" s="199"/>
      <c r="J75" s="199"/>
      <c r="K75" s="200"/>
    </row>
    <row r="76" spans="2:11" ht="45" customHeight="1" x14ac:dyDescent="0.25">
      <c r="B76" s="104" t="s">
        <v>142</v>
      </c>
      <c r="C76" s="105" t="s">
        <v>143</v>
      </c>
      <c r="D76" s="124" t="s">
        <v>410</v>
      </c>
      <c r="E76" s="107" t="s">
        <v>18</v>
      </c>
      <c r="F76" s="108" t="s">
        <v>18</v>
      </c>
      <c r="G76" s="109"/>
      <c r="H76" s="114" t="str">
        <f>HYPERLINK(CONCATENATE(BASE_URL,"0x06i-Testing-Code-Quality-and-Build-Settings.md#testing-exception-handling-mstg-code-6"),"Testing Exception Handling (MSTG-CODE-6)")</f>
        <v>Testing Exception Handling (MSTG-CODE-6)</v>
      </c>
      <c r="I76" s="199"/>
      <c r="J76" s="199"/>
      <c r="K76" s="200"/>
    </row>
    <row r="77" spans="2:11" ht="45" customHeight="1" x14ac:dyDescent="0.25">
      <c r="B77" s="104" t="s">
        <v>144</v>
      </c>
      <c r="C77" s="105" t="s">
        <v>145</v>
      </c>
      <c r="D77" s="124" t="s">
        <v>411</v>
      </c>
      <c r="E77" s="107" t="s">
        <v>18</v>
      </c>
      <c r="F77" s="108" t="s">
        <v>18</v>
      </c>
      <c r="G77" s="109"/>
      <c r="H77" s="114" t="str">
        <f>HYPERLINK(CONCATENATE(BASE_URL,"0x06i-Testing-Code-Quality-and-Build-Settings.md#memory-corruption-bugs-mstg-code-8"),"Memory Corruption Bugs (MSTG-CODE-8)")</f>
        <v>Memory Corruption Bugs (MSTG-CODE-8)</v>
      </c>
      <c r="I77" s="199"/>
      <c r="J77" s="199"/>
      <c r="K77" s="200"/>
    </row>
    <row r="78" spans="2:11" ht="45" customHeight="1" x14ac:dyDescent="0.25">
      <c r="B78" s="104" t="s">
        <v>146</v>
      </c>
      <c r="C78" s="105" t="s">
        <v>147</v>
      </c>
      <c r="D78" s="106" t="s">
        <v>412</v>
      </c>
      <c r="E78" s="107" t="s">
        <v>18</v>
      </c>
      <c r="F78" s="108" t="s">
        <v>18</v>
      </c>
      <c r="G78" s="109"/>
      <c r="H78" s="114" t="str">
        <f>HYPERLINK(CONCATENATE(BASE_URL,"0x06i-Testing-Code-Quality-and-Build-Settings.md#make-sure-that-free-security-features-are-activated-mstg-code-9"),"Make Sure That Free Security Features Are Activated (MSTG-CODE-9)")</f>
        <v>Make Sure That Free Security Features Are Activated (MSTG-CODE-9)</v>
      </c>
      <c r="I78" s="199"/>
      <c r="J78" s="199"/>
      <c r="K78" s="200"/>
    </row>
    <row r="79" spans="2:11" x14ac:dyDescent="0.25">
      <c r="B79" s="20"/>
      <c r="C79" s="21"/>
      <c r="D79" s="76"/>
      <c r="E79" s="23"/>
      <c r="F79" s="23"/>
      <c r="G79" s="23"/>
      <c r="H79" s="23"/>
      <c r="I79" s="24"/>
      <c r="J79" s="44"/>
      <c r="K79" s="77"/>
    </row>
    <row r="80" spans="2:11" x14ac:dyDescent="0.25">
      <c r="B80" s="78"/>
      <c r="C80" s="78"/>
      <c r="D80" s="65"/>
      <c r="E80" s="72"/>
      <c r="F80" s="72"/>
      <c r="G80" s="72"/>
      <c r="H80" s="72"/>
      <c r="I80" s="72"/>
      <c r="J80" s="72"/>
      <c r="K80" s="65"/>
    </row>
    <row r="81" spans="2:11" x14ac:dyDescent="0.25">
      <c r="B81" s="78"/>
      <c r="C81" s="78"/>
      <c r="D81" s="65"/>
      <c r="E81" s="72"/>
      <c r="F81" s="72"/>
      <c r="G81" s="72"/>
      <c r="H81" s="72"/>
      <c r="I81" s="72"/>
      <c r="J81" s="72"/>
      <c r="K81" s="65"/>
    </row>
    <row r="82" spans="2:11" x14ac:dyDescent="0.25">
      <c r="B82" s="78"/>
      <c r="C82" s="78"/>
      <c r="D82" s="65"/>
      <c r="E82" s="72"/>
      <c r="F82" s="72"/>
      <c r="G82" s="72"/>
      <c r="H82" s="72"/>
      <c r="I82" s="72"/>
      <c r="J82" s="72"/>
      <c r="K82" s="65"/>
    </row>
    <row r="83" spans="2:11" x14ac:dyDescent="0.25">
      <c r="B83" s="79" t="s">
        <v>148</v>
      </c>
      <c r="C83" s="79"/>
      <c r="D83" s="65"/>
      <c r="E83" s="72"/>
      <c r="F83" s="72"/>
      <c r="G83" s="72"/>
      <c r="H83" s="72"/>
      <c r="I83" s="72"/>
      <c r="J83" s="72"/>
      <c r="K83" s="65"/>
    </row>
    <row r="84" spans="2:11" x14ac:dyDescent="0.25">
      <c r="B84" s="31" t="s">
        <v>265</v>
      </c>
      <c r="C84" s="31"/>
      <c r="D84" s="80" t="s">
        <v>266</v>
      </c>
      <c r="E84" s="72"/>
      <c r="F84" s="72"/>
      <c r="G84" s="72"/>
      <c r="H84" s="72"/>
      <c r="I84" s="72"/>
      <c r="J84" s="72"/>
      <c r="K84" s="65"/>
    </row>
    <row r="85" spans="2:11" x14ac:dyDescent="0.25">
      <c r="B85" s="81" t="s">
        <v>149</v>
      </c>
      <c r="C85" s="81"/>
      <c r="D85" s="82" t="s">
        <v>287</v>
      </c>
      <c r="E85" s="72"/>
      <c r="F85" s="72"/>
      <c r="G85" s="72"/>
      <c r="H85" s="72"/>
      <c r="I85" s="72"/>
      <c r="J85" s="72"/>
      <c r="K85" s="65"/>
    </row>
    <row r="86" spans="2:11" x14ac:dyDescent="0.25">
      <c r="B86" s="81" t="s">
        <v>150</v>
      </c>
      <c r="C86" s="81"/>
      <c r="D86" s="82" t="s">
        <v>288</v>
      </c>
      <c r="E86" s="72"/>
      <c r="F86" s="72"/>
      <c r="G86" s="72"/>
      <c r="H86" s="72"/>
      <c r="I86" s="72"/>
      <c r="J86" s="72"/>
      <c r="K86" s="65"/>
    </row>
    <row r="87" spans="2:11" x14ac:dyDescent="0.25">
      <c r="B87" s="81" t="s">
        <v>27</v>
      </c>
      <c r="C87" s="81"/>
      <c r="D87" s="82" t="s">
        <v>289</v>
      </c>
      <c r="E87" s="72"/>
      <c r="F87" s="72"/>
      <c r="G87" s="72"/>
      <c r="H87" s="72"/>
      <c r="I87" s="72"/>
      <c r="J87" s="72"/>
      <c r="K87" s="65"/>
    </row>
    <row r="88" spans="2:11" x14ac:dyDescent="0.25">
      <c r="B88" s="78"/>
      <c r="C88" s="78"/>
      <c r="D88" s="65"/>
      <c r="E88" s="72"/>
      <c r="F88" s="72"/>
      <c r="G88" s="72"/>
      <c r="H88" s="72"/>
      <c r="I88" s="72"/>
      <c r="J88" s="72"/>
      <c r="K88" s="65"/>
    </row>
    <row r="89" spans="2:11" x14ac:dyDescent="0.25">
      <c r="B89" s="78"/>
      <c r="C89" s="78"/>
      <c r="D89" s="65"/>
      <c r="E89" s="72"/>
      <c r="F89" s="72"/>
      <c r="G89" s="72"/>
      <c r="H89" s="72"/>
      <c r="I89" s="72"/>
      <c r="J89" s="72"/>
      <c r="K89" s="65"/>
    </row>
    <row r="90" spans="2:11" x14ac:dyDescent="0.25">
      <c r="B90" s="78"/>
      <c r="C90" s="78"/>
      <c r="D90" s="65"/>
      <c r="E90" s="72"/>
      <c r="F90" s="72"/>
      <c r="G90" s="72"/>
      <c r="H90" s="72"/>
      <c r="I90" s="72"/>
      <c r="J90" s="72"/>
      <c r="K90" s="65"/>
    </row>
    <row r="91" spans="2:11" x14ac:dyDescent="0.25">
      <c r="B91" s="78"/>
      <c r="C91" s="78"/>
      <c r="D91" s="65"/>
      <c r="E91" s="72"/>
      <c r="F91" s="72"/>
      <c r="G91" s="72"/>
      <c r="H91" s="72"/>
      <c r="I91" s="72"/>
      <c r="J91" s="72"/>
      <c r="K91" s="65"/>
    </row>
  </sheetData>
  <mergeCells count="1">
    <mergeCell ref="H3:J3"/>
  </mergeCells>
  <conditionalFormatting sqref="M1:M1048576">
    <cfRule type="containsText" dxfId="11" priority="2" operator="containsText" text="0x05">
      <formula>NOT(ISERROR(SEARCH("0x05",M1)))</formula>
    </cfRule>
  </conditionalFormatting>
  <conditionalFormatting sqref="H1:H1048576">
    <cfRule type="containsText" dxfId="10" priority="3" operator="containsText" text="0x05">
      <formula>NOT(ISERROR(SEARCH("0x05",H1)))</formula>
    </cfRule>
  </conditionalFormatting>
  <conditionalFormatting sqref="J6">
    <cfRule type="containsText" dxfId="9" priority="4" operator="containsText" text="0x05">
      <formula>NOT(ISERROR(SEARCH("0x05",J6)))</formula>
    </cfRule>
  </conditionalFormatting>
  <conditionalFormatting sqref="I6">
    <cfRule type="containsText" dxfId="8" priority="5" operator="containsText" text="0x05">
      <formula>NOT(ISERROR(SEARCH("0x05",I6)))</formula>
    </cfRule>
  </conditionalFormatting>
  <dataValidations count="2">
    <dataValidation type="list" allowBlank="1" showInputMessage="1" showErrorMessage="1" sqref="G80:G1087 I80:K1087" xr:uid="{00000000-0002-0000-0400-000000000000}">
      <formula1>"Yes,No,N/A"</formula1>
      <formula2>0</formula2>
    </dataValidation>
    <dataValidation type="list" allowBlank="1" showInputMessage="1" showErrorMessage="1" sqref="G34:G39 G41:G52 G54:G59 G61:G68 G70:G78 G5:G16 G18:G32" xr:uid="{00000000-0002-0000-0400-000001000000}">
      <formula1>"Pass,Fail,N/A"</formula1>
      <formula2>0</formula2>
    </dataValidation>
  </dataValidations>
  <pageMargins left="0.75" right="0.75" top="1" bottom="1" header="0.51180555555555496" footer="0.51180555555555496"/>
  <pageSetup paperSize="9" firstPageNumber="0"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32"/>
  <sheetViews>
    <sheetView zoomScaleNormal="100" workbookViewId="0">
      <selection activeCell="D42" sqref="D42"/>
    </sheetView>
  </sheetViews>
  <sheetFormatPr defaultColWidth="8.875" defaultRowHeight="15.75" x14ac:dyDescent="0.25"/>
  <cols>
    <col min="1" max="1" width="1.875" customWidth="1"/>
    <col min="2" max="2" width="7.375" style="41" customWidth="1"/>
    <col min="3" max="3" width="17.625" style="41" customWidth="1"/>
    <col min="4" max="4" width="93.375" style="42" customWidth="1"/>
    <col min="5" max="5" width="3" customWidth="1"/>
    <col min="6" max="6" width="5.875" customWidth="1"/>
    <col min="7" max="7" width="61.875" customWidth="1"/>
    <col min="8" max="8" width="30.625" style="42" customWidth="1"/>
    <col min="9" max="1025" width="11" customWidth="1"/>
  </cols>
  <sheetData>
    <row r="1" spans="2:8" ht="18.75" x14ac:dyDescent="0.3">
      <c r="B1" s="43" t="s">
        <v>290</v>
      </c>
      <c r="C1" s="43"/>
      <c r="G1" s="29"/>
      <c r="H1" s="18"/>
    </row>
    <row r="2" spans="2:8" x14ac:dyDescent="0.25">
      <c r="G2" s="29"/>
      <c r="H2" s="18"/>
    </row>
    <row r="3" spans="2:8" x14ac:dyDescent="0.25">
      <c r="B3" s="5" t="s">
        <v>8</v>
      </c>
      <c r="C3" s="6" t="s">
        <v>9</v>
      </c>
      <c r="D3" s="7" t="s">
        <v>270</v>
      </c>
      <c r="E3" s="8" t="s">
        <v>151</v>
      </c>
      <c r="F3" s="8" t="s">
        <v>12</v>
      </c>
      <c r="G3" s="36" t="s">
        <v>13</v>
      </c>
      <c r="H3" s="9" t="s">
        <v>14</v>
      </c>
    </row>
    <row r="4" spans="2:8" x14ac:dyDescent="0.25">
      <c r="B4" s="13"/>
      <c r="C4" s="14"/>
      <c r="D4" s="15" t="s">
        <v>272</v>
      </c>
      <c r="E4" s="16"/>
      <c r="F4" s="16"/>
      <c r="G4" s="37"/>
      <c r="H4" s="17"/>
    </row>
    <row r="5" spans="2:8" x14ac:dyDescent="0.25">
      <c r="B5" s="10" t="s">
        <v>152</v>
      </c>
      <c r="C5" s="11" t="s">
        <v>153</v>
      </c>
      <c r="D5" s="19" t="s">
        <v>273</v>
      </c>
      <c r="E5" s="38" t="s">
        <v>18</v>
      </c>
      <c r="F5" s="12" t="s">
        <v>27</v>
      </c>
      <c r="G5" s="61" t="str">
        <f>HYPERLINK(CONCATENATE(BASE_URL,"0x06j-Testing-Resiliency-Against-Reverse-Engineering.md#jailbreak-detection-mstg-resilience-1"),"越狱检测 (MSTG-RESILIENCE-1)")</f>
        <v>越狱检测 (MSTG-RESILIENCE-1)</v>
      </c>
      <c r="H5" s="39"/>
    </row>
    <row r="6" spans="2:8" x14ac:dyDescent="0.25">
      <c r="B6" s="10" t="s">
        <v>154</v>
      </c>
      <c r="C6" s="11" t="s">
        <v>155</v>
      </c>
      <c r="D6" s="19" t="s">
        <v>274</v>
      </c>
      <c r="E6" s="38" t="s">
        <v>18</v>
      </c>
      <c r="F6" s="12" t="s">
        <v>27</v>
      </c>
      <c r="G6" s="61" t="str">
        <f>HYPERLINK(CONCATENATE(BASE_URL,"0x06j-Testing-Resiliency-Against-Reverse-Engineering.md#anti-debugging-checks-mstg-resilience-2"),"Anti-Debugging 检查 H7(MSTG-RESILIENCE-2)")</f>
        <v>Anti-Debugging 检查 H7(MSTG-RESILIENCE-2)</v>
      </c>
      <c r="H6" s="39"/>
    </row>
    <row r="7" spans="2:8" x14ac:dyDescent="0.25">
      <c r="B7" s="10" t="s">
        <v>156</v>
      </c>
      <c r="C7" s="11" t="s">
        <v>157</v>
      </c>
      <c r="D7" s="18" t="s">
        <v>275</v>
      </c>
      <c r="E7" s="38" t="s">
        <v>18</v>
      </c>
      <c r="F7" s="12" t="s">
        <v>27</v>
      </c>
      <c r="G7" s="61" t="str">
        <f>HYPERLINK(CONCATENATE(BASE_URL,"0x06j-Testing-Resiliency-Against-Reverse-Engineering.md#file-integrity-checks-mstg-resilience-3-and-mstg-resilience-11"),"文件完整性检查 (MSTG-RESILIENCE-3 and MSTG-RESILIENCE-11)")</f>
        <v>文件完整性检查 (MSTG-RESILIENCE-3 and MSTG-RESILIENCE-11)</v>
      </c>
      <c r="H7" s="39"/>
    </row>
    <row r="8" spans="2:8" x14ac:dyDescent="0.25">
      <c r="B8" s="10" t="s">
        <v>158</v>
      </c>
      <c r="C8" s="11" t="s">
        <v>159</v>
      </c>
      <c r="D8" s="18" t="s">
        <v>276</v>
      </c>
      <c r="E8" s="38" t="s">
        <v>18</v>
      </c>
      <c r="F8" s="12" t="s">
        <v>27</v>
      </c>
      <c r="G8" s="47" t="s">
        <v>169</v>
      </c>
      <c r="H8" s="39"/>
    </row>
    <row r="9" spans="2:8" x14ac:dyDescent="0.25">
      <c r="B9" s="10" t="s">
        <v>160</v>
      </c>
      <c r="C9" s="11" t="s">
        <v>161</v>
      </c>
      <c r="D9" s="18" t="s">
        <v>277</v>
      </c>
      <c r="E9" s="38" t="s">
        <v>18</v>
      </c>
      <c r="F9" s="12" t="s">
        <v>27</v>
      </c>
      <c r="G9" s="47" t="s">
        <v>169</v>
      </c>
      <c r="H9" s="39"/>
    </row>
    <row r="10" spans="2:8" x14ac:dyDescent="0.25">
      <c r="B10" s="10" t="s">
        <v>162</v>
      </c>
      <c r="C10" s="11" t="s">
        <v>163</v>
      </c>
      <c r="D10" s="18" t="s">
        <v>278</v>
      </c>
      <c r="E10" s="38" t="s">
        <v>18</v>
      </c>
      <c r="F10" s="12" t="s">
        <v>27</v>
      </c>
      <c r="G10" s="47" t="s">
        <v>169</v>
      </c>
      <c r="H10" s="39"/>
    </row>
    <row r="11" spans="2:8" ht="30" x14ac:dyDescent="0.25">
      <c r="B11" s="10" t="s">
        <v>164</v>
      </c>
      <c r="C11" s="11" t="s">
        <v>165</v>
      </c>
      <c r="D11" s="19" t="s">
        <v>279</v>
      </c>
      <c r="E11" s="38" t="s">
        <v>18</v>
      </c>
      <c r="F11" s="12" t="s">
        <v>27</v>
      </c>
      <c r="G11" s="40" t="s">
        <v>169</v>
      </c>
      <c r="H11" s="39"/>
    </row>
    <row r="12" spans="2:8" x14ac:dyDescent="0.25">
      <c r="B12" s="10" t="s">
        <v>167</v>
      </c>
      <c r="C12" s="11" t="s">
        <v>168</v>
      </c>
      <c r="D12" s="18" t="s">
        <v>280</v>
      </c>
      <c r="E12" s="38" t="s">
        <v>18</v>
      </c>
      <c r="F12" s="12" t="s">
        <v>27</v>
      </c>
      <c r="G12" s="40" t="s">
        <v>169</v>
      </c>
      <c r="H12" s="39"/>
    </row>
    <row r="13" spans="2:8" x14ac:dyDescent="0.25">
      <c r="B13" s="10" t="s">
        <v>170</v>
      </c>
      <c r="C13" s="11" t="s">
        <v>171</v>
      </c>
      <c r="D13" s="18" t="s">
        <v>281</v>
      </c>
      <c r="E13" s="38" t="s">
        <v>18</v>
      </c>
      <c r="F13" s="12" t="s">
        <v>27</v>
      </c>
      <c r="G13" s="47" t="s">
        <v>169</v>
      </c>
      <c r="H13" s="39"/>
    </row>
    <row r="14" spans="2:8" x14ac:dyDescent="0.25">
      <c r="B14" s="13"/>
      <c r="C14" s="14"/>
      <c r="D14" s="15" t="s">
        <v>282</v>
      </c>
      <c r="E14" s="16"/>
      <c r="F14" s="16"/>
      <c r="G14" s="37"/>
      <c r="H14" s="17"/>
    </row>
    <row r="15" spans="2:8" x14ac:dyDescent="0.25">
      <c r="B15" s="10" t="s">
        <v>172</v>
      </c>
      <c r="C15" s="11" t="s">
        <v>173</v>
      </c>
      <c r="D15" s="19" t="s">
        <v>283</v>
      </c>
      <c r="E15" s="38" t="s">
        <v>18</v>
      </c>
      <c r="F15" s="12" t="s">
        <v>27</v>
      </c>
      <c r="G15" s="61" t="str">
        <f>HYPERLINK(CONCATENATE(BASE_URL,"0x06j-Testing-Resiliency-Against-Reverse-Engineering.md#device-binding-mstg-resilience-10"),"设备绑定 (MSTG-RESILIENCE-10)")</f>
        <v>设备绑定 (MSTG-RESILIENCE-10)</v>
      </c>
      <c r="H15" s="39"/>
    </row>
    <row r="16" spans="2:8" x14ac:dyDescent="0.25">
      <c r="B16" s="13"/>
      <c r="C16" s="14"/>
      <c r="D16" s="15" t="s">
        <v>284</v>
      </c>
      <c r="E16" s="16"/>
      <c r="F16" s="16"/>
      <c r="G16" s="37"/>
      <c r="H16" s="17"/>
    </row>
    <row r="17" spans="1:8" ht="30" x14ac:dyDescent="0.25">
      <c r="A17" s="62"/>
      <c r="B17" s="10" t="s">
        <v>174</v>
      </c>
      <c r="C17" s="11" t="s">
        <v>175</v>
      </c>
      <c r="D17" s="63" t="s">
        <v>285</v>
      </c>
      <c r="E17" s="38" t="s">
        <v>18</v>
      </c>
      <c r="F17" s="12" t="s">
        <v>27</v>
      </c>
      <c r="G17" s="64" t="str">
        <f>HYPERLINK(CONCATENATE(BASE_URL,"0x06j-Testing-Resiliency-Against-Reverse-Engineering.md#file-integrity-checks-mstg-resilience-3-and-mstg-resilience-11"),"文件完整性检查 (MSTG-RESILIENCE-3 and MSTG-RESILIENCE-11)")</f>
        <v>文件完整性检查 (MSTG-RESILIENCE-3 and MSTG-RESILIENCE-11)</v>
      </c>
      <c r="H17" s="39"/>
    </row>
    <row r="18" spans="1:8" ht="45" x14ac:dyDescent="0.25">
      <c r="B18" s="10" t="s">
        <v>176</v>
      </c>
      <c r="C18" s="11" t="s">
        <v>177</v>
      </c>
      <c r="D18" s="19" t="s">
        <v>286</v>
      </c>
      <c r="E18" s="38" t="s">
        <v>18</v>
      </c>
      <c r="F18" s="12" t="s">
        <v>27</v>
      </c>
      <c r="G18" s="40" t="s">
        <v>169</v>
      </c>
      <c r="H18" s="39"/>
    </row>
    <row r="19" spans="1:8" x14ac:dyDescent="0.25">
      <c r="B19" s="20"/>
      <c r="C19" s="21"/>
      <c r="D19" s="22"/>
      <c r="E19" s="23"/>
      <c r="F19" s="23"/>
      <c r="G19" s="36"/>
      <c r="H19" s="25"/>
    </row>
    <row r="20" spans="1:8" x14ac:dyDescent="0.25">
      <c r="B20" s="45"/>
      <c r="C20" s="45"/>
      <c r="D20" s="18"/>
      <c r="E20" s="29"/>
      <c r="F20" s="29"/>
      <c r="G20" s="29"/>
      <c r="H20" s="18"/>
    </row>
    <row r="21" spans="1:8" x14ac:dyDescent="0.25">
      <c r="B21" s="45"/>
      <c r="C21" s="45"/>
      <c r="D21" s="18"/>
      <c r="E21" s="29"/>
      <c r="F21" s="29"/>
      <c r="G21" s="29"/>
      <c r="H21" s="18"/>
    </row>
    <row r="22" spans="1:8" x14ac:dyDescent="0.25">
      <c r="B22" s="46" t="s">
        <v>148</v>
      </c>
      <c r="C22" s="46"/>
      <c r="D22" s="18"/>
      <c r="E22" s="29"/>
      <c r="F22" s="29"/>
      <c r="G22" s="29"/>
      <c r="H22" s="18"/>
    </row>
    <row r="23" spans="1:8" x14ac:dyDescent="0.25">
      <c r="B23" s="31" t="s">
        <v>265</v>
      </c>
      <c r="C23" s="31"/>
      <c r="D23" s="32" t="s">
        <v>266</v>
      </c>
      <c r="E23" s="29"/>
      <c r="F23" s="29"/>
      <c r="G23" s="29"/>
      <c r="H23" s="18"/>
    </row>
    <row r="24" spans="1:8" x14ac:dyDescent="0.25">
      <c r="B24" s="33" t="s">
        <v>149</v>
      </c>
      <c r="C24" s="33"/>
      <c r="D24" s="34" t="s">
        <v>287</v>
      </c>
      <c r="E24" s="29"/>
      <c r="F24" s="29"/>
      <c r="G24" s="29"/>
      <c r="H24" s="18"/>
    </row>
    <row r="25" spans="1:8" x14ac:dyDescent="0.25">
      <c r="B25" s="33" t="s">
        <v>150</v>
      </c>
      <c r="C25" s="33"/>
      <c r="D25" s="34" t="s">
        <v>288</v>
      </c>
      <c r="E25" s="29"/>
      <c r="F25" s="29"/>
      <c r="G25" s="29"/>
      <c r="H25" s="18"/>
    </row>
    <row r="26" spans="1:8" x14ac:dyDescent="0.25">
      <c r="B26" s="33" t="s">
        <v>27</v>
      </c>
      <c r="C26" s="33"/>
      <c r="D26" s="34" t="s">
        <v>289</v>
      </c>
      <c r="E26" s="29"/>
      <c r="F26" s="29"/>
      <c r="G26" s="29"/>
      <c r="H26" s="18"/>
    </row>
    <row r="27" spans="1:8" x14ac:dyDescent="0.25">
      <c r="B27" s="45"/>
      <c r="C27" s="45"/>
      <c r="D27" s="18"/>
      <c r="E27" s="29"/>
      <c r="F27" s="29"/>
      <c r="G27" s="29"/>
      <c r="H27" s="18"/>
    </row>
    <row r="28" spans="1:8" x14ac:dyDescent="0.25">
      <c r="B28" s="45"/>
      <c r="C28" s="45"/>
      <c r="D28" s="18"/>
      <c r="E28" s="29"/>
      <c r="F28" s="29"/>
      <c r="G28" s="29"/>
      <c r="H28" s="18"/>
    </row>
    <row r="29" spans="1:8" x14ac:dyDescent="0.25">
      <c r="B29" s="45"/>
      <c r="C29" s="45"/>
      <c r="D29" s="18"/>
      <c r="E29" s="29"/>
      <c r="F29" s="29"/>
      <c r="G29" s="29"/>
      <c r="H29" s="18"/>
    </row>
    <row r="30" spans="1:8" x14ac:dyDescent="0.25">
      <c r="B30" s="45"/>
      <c r="C30" s="45"/>
      <c r="D30" s="18"/>
      <c r="E30" s="29"/>
      <c r="F30" s="29"/>
    </row>
    <row r="31" spans="1:8" x14ac:dyDescent="0.25">
      <c r="B31" s="45"/>
      <c r="C31" s="45"/>
      <c r="D31" s="18"/>
      <c r="E31" s="29"/>
      <c r="F31" s="29"/>
    </row>
    <row r="32" spans="1:8" x14ac:dyDescent="0.25">
      <c r="B32" s="45"/>
      <c r="C32" s="45"/>
      <c r="D32" s="18"/>
      <c r="E32" s="29"/>
      <c r="F32" s="29"/>
    </row>
  </sheetData>
  <conditionalFormatting sqref="G8">
    <cfRule type="containsText" dxfId="7" priority="2" operator="containsText" text="0x05">
      <formula>NOT(ISERROR(SEARCH("0x05",G8)))</formula>
    </cfRule>
  </conditionalFormatting>
  <conditionalFormatting sqref="G9">
    <cfRule type="containsText" dxfId="6" priority="3" operator="containsText" text="0x05">
      <formula>NOT(ISERROR(SEARCH("0x05",G9)))</formula>
    </cfRule>
  </conditionalFormatting>
  <conditionalFormatting sqref="G10">
    <cfRule type="containsText" dxfId="5" priority="4" operator="containsText" text="0x05">
      <formula>NOT(ISERROR(SEARCH("0x05",G10)))</formula>
    </cfRule>
  </conditionalFormatting>
  <conditionalFormatting sqref="G11">
    <cfRule type="containsText" dxfId="4" priority="5" operator="containsText" text="0x05">
      <formula>NOT(ISERROR(SEARCH("0x05",G11)))</formula>
    </cfRule>
  </conditionalFormatting>
  <conditionalFormatting sqref="G12">
    <cfRule type="containsText" dxfId="3" priority="6" operator="containsText" text="0x05">
      <formula>NOT(ISERROR(SEARCH("0x05",G12)))</formula>
    </cfRule>
  </conditionalFormatting>
  <conditionalFormatting sqref="G13">
    <cfRule type="containsText" dxfId="2" priority="7" operator="containsText" text="0x05">
      <formula>NOT(ISERROR(SEARCH("0x05",G13)))</formula>
    </cfRule>
  </conditionalFormatting>
  <conditionalFormatting sqref="G17">
    <cfRule type="containsText" dxfId="1" priority="8" operator="containsText" text="0x05">
      <formula>NOT(ISERROR(SEARCH("0x05",G17)))</formula>
    </cfRule>
  </conditionalFormatting>
  <conditionalFormatting sqref="G18">
    <cfRule type="containsText" dxfId="0" priority="9" operator="containsText" text="0x05">
      <formula>NOT(ISERROR(SEARCH("0x05",G18)))</formula>
    </cfRule>
  </conditionalFormatting>
  <dataValidations count="1">
    <dataValidation type="list" allowBlank="1" showInputMessage="1" showErrorMessage="1" sqref="F5:F13 F15 F17:F18" xr:uid="{00000000-0002-0000-0500-000000000000}">
      <formula1>"Pass,Fail,N/A"</formula1>
      <formula2>0</formula2>
    </dataValidation>
  </dataValidations>
  <pageMargins left="0.75" right="0.75" top="1" bottom="1"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6"/>
  <sheetViews>
    <sheetView showGridLines="0" topLeftCell="A10" zoomScale="77" zoomScaleNormal="75" workbookViewId="0">
      <selection activeCell="D42" sqref="D42"/>
    </sheetView>
  </sheetViews>
  <sheetFormatPr defaultColWidth="8.875" defaultRowHeight="15.75" x14ac:dyDescent="0.25"/>
  <cols>
    <col min="1" max="1" width="33.375" customWidth="1"/>
    <col min="2" max="2" width="11" customWidth="1"/>
    <col min="3" max="3" width="13.625" customWidth="1"/>
    <col min="4" max="4" width="11" customWidth="1"/>
    <col min="5" max="5" width="119.625" customWidth="1"/>
    <col min="6" max="1025" width="11" customWidth="1"/>
  </cols>
  <sheetData>
    <row r="1" spans="1:5" x14ac:dyDescent="0.25">
      <c r="A1" s="192" t="s">
        <v>178</v>
      </c>
      <c r="B1" s="192"/>
      <c r="C1" s="48"/>
      <c r="D1" s="4"/>
      <c r="E1" s="4"/>
    </row>
    <row r="2" spans="1:5" x14ac:dyDescent="0.25">
      <c r="A2" s="49" t="s">
        <v>179</v>
      </c>
      <c r="B2" s="49" t="s">
        <v>2</v>
      </c>
      <c r="C2" s="49" t="s">
        <v>180</v>
      </c>
      <c r="D2" s="49" t="s">
        <v>181</v>
      </c>
      <c r="E2" s="49" t="s">
        <v>14</v>
      </c>
    </row>
    <row r="3" spans="1:5" x14ac:dyDescent="0.25">
      <c r="A3" s="50" t="s">
        <v>182</v>
      </c>
      <c r="B3" s="51">
        <v>0.1</v>
      </c>
      <c r="C3" s="51"/>
      <c r="D3" s="52">
        <v>42765</v>
      </c>
      <c r="E3" s="53" t="s">
        <v>183</v>
      </c>
    </row>
    <row r="4" spans="1:5" x14ac:dyDescent="0.25">
      <c r="A4" s="53" t="s">
        <v>184</v>
      </c>
      <c r="B4" s="51">
        <v>0.2</v>
      </c>
      <c r="C4" s="51"/>
      <c r="D4" s="52">
        <v>42766</v>
      </c>
      <c r="E4" s="53" t="s">
        <v>185</v>
      </c>
    </row>
    <row r="5" spans="1:5" x14ac:dyDescent="0.25">
      <c r="A5" s="53" t="s">
        <v>186</v>
      </c>
      <c r="B5" s="51">
        <v>0.3</v>
      </c>
      <c r="C5" s="51"/>
      <c r="D5" s="52">
        <v>42778</v>
      </c>
      <c r="E5" s="53" t="s">
        <v>187</v>
      </c>
    </row>
    <row r="6" spans="1:5" x14ac:dyDescent="0.25">
      <c r="A6" s="53" t="s">
        <v>188</v>
      </c>
      <c r="B6" s="51" t="s">
        <v>189</v>
      </c>
      <c r="C6" s="51"/>
      <c r="D6" s="52">
        <v>42780</v>
      </c>
      <c r="E6" s="53" t="s">
        <v>190</v>
      </c>
    </row>
    <row r="7" spans="1:5" x14ac:dyDescent="0.25">
      <c r="A7" s="53" t="s">
        <v>184</v>
      </c>
      <c r="B7" s="54" t="s">
        <v>191</v>
      </c>
      <c r="C7" s="54"/>
      <c r="D7" s="52">
        <v>42781</v>
      </c>
      <c r="E7" s="53" t="s">
        <v>192</v>
      </c>
    </row>
    <row r="8" spans="1:5" x14ac:dyDescent="0.25">
      <c r="A8" s="53" t="s">
        <v>188</v>
      </c>
      <c r="B8" s="54" t="s">
        <v>193</v>
      </c>
      <c r="C8" s="54"/>
      <c r="D8" s="52">
        <v>42829</v>
      </c>
      <c r="E8" s="53" t="s">
        <v>194</v>
      </c>
    </row>
    <row r="9" spans="1:5" x14ac:dyDescent="0.25">
      <c r="A9" s="53" t="s">
        <v>184</v>
      </c>
      <c r="B9" s="54" t="s">
        <v>193</v>
      </c>
      <c r="C9" s="54"/>
      <c r="D9" s="52">
        <v>42919</v>
      </c>
      <c r="E9" s="53" t="s">
        <v>195</v>
      </c>
    </row>
    <row r="10" spans="1:5" x14ac:dyDescent="0.25">
      <c r="A10" s="53" t="s">
        <v>184</v>
      </c>
      <c r="B10" s="54" t="s">
        <v>196</v>
      </c>
      <c r="C10" s="54"/>
      <c r="D10" s="52">
        <v>42963</v>
      </c>
      <c r="E10" s="53" t="s">
        <v>197</v>
      </c>
    </row>
    <row r="11" spans="1:5" x14ac:dyDescent="0.25">
      <c r="A11" s="53" t="s">
        <v>184</v>
      </c>
      <c r="B11" s="54" t="s">
        <v>198</v>
      </c>
      <c r="C11" s="54"/>
      <c r="D11" s="52">
        <v>43113</v>
      </c>
      <c r="E11" s="53" t="s">
        <v>199</v>
      </c>
    </row>
    <row r="12" spans="1:5" x14ac:dyDescent="0.25">
      <c r="A12" s="53" t="s">
        <v>184</v>
      </c>
      <c r="B12" s="54">
        <v>1.1000000000000001</v>
      </c>
      <c r="C12" s="54"/>
      <c r="D12" s="52">
        <v>43289</v>
      </c>
      <c r="E12" s="53" t="s">
        <v>200</v>
      </c>
    </row>
    <row r="13" spans="1:5" x14ac:dyDescent="0.25">
      <c r="A13" s="53" t="s">
        <v>201</v>
      </c>
      <c r="B13" s="55" t="s">
        <v>202</v>
      </c>
      <c r="C13" s="56"/>
      <c r="D13" s="52">
        <v>43464</v>
      </c>
      <c r="E13" s="57" t="s">
        <v>203</v>
      </c>
    </row>
    <row r="14" spans="1:5" x14ac:dyDescent="0.25">
      <c r="A14" s="53" t="s">
        <v>204</v>
      </c>
      <c r="B14" s="55" t="s">
        <v>205</v>
      </c>
      <c r="C14" s="56"/>
      <c r="D14" s="52">
        <v>43469</v>
      </c>
      <c r="E14" s="57" t="s">
        <v>203</v>
      </c>
    </row>
    <row r="15" spans="1:5" ht="408.95" customHeight="1" x14ac:dyDescent="0.25">
      <c r="A15" s="58" t="s">
        <v>206</v>
      </c>
      <c r="B15" s="54" t="s">
        <v>207</v>
      </c>
      <c r="C15" s="54" t="s">
        <v>208</v>
      </c>
      <c r="D15" s="52">
        <v>43471</v>
      </c>
      <c r="E15" s="59" t="s">
        <v>209</v>
      </c>
    </row>
    <row r="16" spans="1:5" x14ac:dyDescent="0.25">
      <c r="A16" s="53" t="s">
        <v>201</v>
      </c>
      <c r="B16" s="55" t="s">
        <v>210</v>
      </c>
      <c r="C16" s="54" t="s">
        <v>208</v>
      </c>
      <c r="D16" s="60">
        <v>43475</v>
      </c>
      <c r="E16" s="57" t="s">
        <v>211</v>
      </c>
    </row>
    <row r="17" spans="1:5" ht="78.75" x14ac:dyDescent="0.25">
      <c r="A17" s="58" t="s">
        <v>206</v>
      </c>
      <c r="B17" s="55" t="s">
        <v>212</v>
      </c>
      <c r="C17" s="54" t="s">
        <v>208</v>
      </c>
      <c r="D17" s="52">
        <v>43476</v>
      </c>
      <c r="E17" s="58" t="s">
        <v>213</v>
      </c>
    </row>
    <row r="18" spans="1:5" ht="47.25" x14ac:dyDescent="0.25">
      <c r="A18" s="58" t="s">
        <v>206</v>
      </c>
      <c r="B18" s="55" t="s">
        <v>214</v>
      </c>
      <c r="C18" s="54" t="s">
        <v>208</v>
      </c>
      <c r="D18" s="52">
        <v>43478</v>
      </c>
      <c r="E18" s="58" t="s">
        <v>215</v>
      </c>
    </row>
    <row r="19" spans="1:5" ht="47.25" x14ac:dyDescent="0.25">
      <c r="A19" s="58" t="s">
        <v>206</v>
      </c>
      <c r="B19" s="55" t="s">
        <v>216</v>
      </c>
      <c r="C19" s="54" t="s">
        <v>208</v>
      </c>
      <c r="D19" s="52">
        <v>43478</v>
      </c>
      <c r="E19" s="58" t="s">
        <v>217</v>
      </c>
    </row>
    <row r="20" spans="1:5" ht="110.25" x14ac:dyDescent="0.25">
      <c r="A20" s="58" t="s">
        <v>201</v>
      </c>
      <c r="B20" s="55" t="s">
        <v>218</v>
      </c>
      <c r="C20" s="54" t="s">
        <v>0</v>
      </c>
      <c r="D20" s="52">
        <v>43641</v>
      </c>
      <c r="E20" s="59" t="s">
        <v>219</v>
      </c>
    </row>
    <row r="21" spans="1:5" x14ac:dyDescent="0.25">
      <c r="A21" s="58" t="s">
        <v>201</v>
      </c>
      <c r="B21" s="55" t="s">
        <v>220</v>
      </c>
      <c r="C21" s="54" t="s">
        <v>0</v>
      </c>
      <c r="D21" s="52">
        <v>43642</v>
      </c>
      <c r="E21" s="58" t="s">
        <v>221</v>
      </c>
    </row>
    <row r="22" spans="1:5" ht="47.25" x14ac:dyDescent="0.25">
      <c r="A22" s="58" t="s">
        <v>201</v>
      </c>
      <c r="B22" s="55" t="s">
        <v>222</v>
      </c>
      <c r="C22" s="54" t="s">
        <v>0</v>
      </c>
      <c r="D22" s="52">
        <v>43649</v>
      </c>
      <c r="E22" s="58" t="s">
        <v>223</v>
      </c>
    </row>
    <row r="23" spans="1:5" x14ac:dyDescent="0.25">
      <c r="A23" s="58" t="s">
        <v>201</v>
      </c>
      <c r="B23" s="55" t="s">
        <v>222</v>
      </c>
      <c r="C23" s="54" t="s">
        <v>0</v>
      </c>
      <c r="D23" s="52">
        <v>43672</v>
      </c>
      <c r="E23" s="58" t="s">
        <v>224</v>
      </c>
    </row>
    <row r="24" spans="1:5" x14ac:dyDescent="0.25">
      <c r="A24" s="58" t="s">
        <v>201</v>
      </c>
      <c r="B24" s="55" t="s">
        <v>222</v>
      </c>
      <c r="C24" s="54" t="s">
        <v>0</v>
      </c>
      <c r="D24" s="52">
        <v>43674</v>
      </c>
      <c r="E24" s="58" t="s">
        <v>225</v>
      </c>
    </row>
    <row r="25" spans="1:5" ht="47.25" x14ac:dyDescent="0.25">
      <c r="A25" s="58" t="s">
        <v>201</v>
      </c>
      <c r="B25" s="55" t="s">
        <v>226</v>
      </c>
      <c r="C25" s="54" t="s">
        <v>0</v>
      </c>
      <c r="D25" s="52">
        <v>43685</v>
      </c>
      <c r="E25" s="58" t="s">
        <v>227</v>
      </c>
    </row>
    <row r="26" spans="1:5" ht="47.25" x14ac:dyDescent="0.25">
      <c r="A26" s="58" t="s">
        <v>228</v>
      </c>
      <c r="B26" s="55" t="s">
        <v>226</v>
      </c>
      <c r="C26" s="54" t="s">
        <v>0</v>
      </c>
      <c r="D26" s="52">
        <v>43719</v>
      </c>
      <c r="E26" s="58" t="s">
        <v>229</v>
      </c>
    </row>
  </sheetData>
  <mergeCells count="1">
    <mergeCell ref="A1:B1"/>
  </mergeCells>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18</TotalTime>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Dashboard</vt:lpstr>
      <vt:lpstr>Management Summary</vt:lpstr>
      <vt:lpstr>SR - Android</vt:lpstr>
      <vt:lpstr>RE - Android</vt:lpstr>
      <vt:lpstr>SR - iOS</vt:lpstr>
      <vt:lpstr>RE - iOS</vt:lpstr>
      <vt:lpstr>Version History</vt:lpstr>
      <vt:lpstr>'SR - Android'!_FilterDatabase</vt:lpstr>
      <vt:lpstr>BASE_URL</vt:lpstr>
      <vt:lpstr>MASVS_VERSION</vt:lpstr>
      <vt:lpstr>MSTG_VERSION</vt:lpstr>
    </vt:vector>
  </TitlesOfParts>
  <Company>Opera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Alexander Antukh</dc:creator>
  <dc:description/>
  <cp:lastModifiedBy>Bob</cp:lastModifiedBy>
  <cp:revision>2</cp:revision>
  <dcterms:created xsi:type="dcterms:W3CDTF">2017-01-25T17:37:15Z</dcterms:created>
  <dcterms:modified xsi:type="dcterms:W3CDTF">2020-01-04T14:42:33Z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Opera Software</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