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8.png" ContentType="image/png"/>
  <Override PartName="/xl/media/image107.png" ContentType="image/png"/>
  <Override PartName="/xl/media/image106.png" ContentType="image/png"/>
  <Override PartName="/xl/media/image105.png" ContentType="image/png"/>
  <Override PartName="/xl/media/image104.png" ContentType="image/png"/>
  <Override PartName="/xl/media/image103.png" ContentType="image/png"/>
  <Override PartName="/xl/media/image102.png" ContentType="image/png"/>
  <Override PartName="/xl/media/image101.png" ContentType="image/png"/>
  <Override PartName="/xl/media/image96.png" ContentType="image/png"/>
  <Override PartName="/xl/media/image95.png" ContentType="image/png"/>
  <Override PartName="/xl/media/image97.png" ContentType="image/png"/>
  <Override PartName="/xl/media/image98.png" ContentType="image/png"/>
  <Override PartName="/xl/media/image100.png" ContentType="image/png"/>
  <Override PartName="/xl/media/image9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actSage Screenshots" sheetId="2" state="visible" r:id="rId3"/>
  </sheets>
  <definedNames>
    <definedName function="false" hidden="false" name="dG0_FeFe3" vbProcedure="false">Sheet1!$D$34</definedName>
    <definedName function="false" hidden="false" name="dG0_FeO" vbProcedure="false">Sheet1!$C$34</definedName>
    <definedName function="false" hidden="false" name="dG0_OFe3" vbProcedure="false">Sheet1!$D$35</definedName>
    <definedName function="false" hidden="false" name="dG1_FeFe3" vbProcedure="false">Sheet1!$D$41</definedName>
    <definedName function="false" hidden="false" name="dG1_FeO" vbProcedure="false">Sheet1!$C$41</definedName>
    <definedName function="false" hidden="false" name="dG1_OFe3" vbProcedure="false">Sheet1!$D$42</definedName>
    <definedName function="false" hidden="false" name="dG_excesses" vbProcedure="false">Sheet1!$B$47:$D$49</definedName>
    <definedName function="false" hidden="false" name="gcR" vbProcedure="false">Sheet1!$E$5</definedName>
    <definedName function="false" hidden="false" name="G_Fe" vbProcedure="false">Sheet1!$B$52</definedName>
    <definedName function="false" hidden="false" name="G_Fe3" vbProcedure="false">Sheet1!$D$52</definedName>
    <definedName function="false" hidden="false" name="G_O" vbProcedure="false">Sheet1!$C$52</definedName>
    <definedName function="false" hidden="false" name="n_Fe" vbProcedure="false">Sheet1!$B$26</definedName>
    <definedName function="false" hidden="false" name="n_Fe3" vbProcedure="false">Sheet1!$D$26</definedName>
    <definedName function="false" hidden="false" name="n_Fe3Fe3" vbProcedure="false">Sheet1!$D$23</definedName>
    <definedName function="false" hidden="false" name="n_FeFe" vbProcedure="false">Sheet1!$B$21</definedName>
    <definedName function="false" hidden="false" name="n_FeFe3" vbProcedure="false">Sheet1!$D$21</definedName>
    <definedName function="false" hidden="false" name="n_FeO" vbProcedure="false">Sheet1!$C$21</definedName>
    <definedName function="false" hidden="false" name="n_moles" vbProcedure="false">Sheet1!$E$26</definedName>
    <definedName function="false" hidden="false" name="n_O" vbProcedure="false">Sheet1!$C$26</definedName>
    <definedName function="false" hidden="false" name="n_OFe3" vbProcedure="false">Sheet1!$D$22</definedName>
    <definedName function="false" hidden="false" name="n_OO" vbProcedure="false">Sheet1!$C$22</definedName>
    <definedName function="false" hidden="false" name="n_pairs" vbProcedure="false">Sheet1!$F$11</definedName>
    <definedName function="false" hidden="false" name="Sconf" vbProcedure="false">Sheet1!$F$55</definedName>
    <definedName function="false" hidden="false" name="T" vbProcedure="false">Sheet1!$B$5</definedName>
    <definedName function="false" hidden="false" name="X_Fe" vbProcedure="false">Sheet1!$B$27</definedName>
    <definedName function="false" hidden="false" name="X_Fe3" vbProcedure="false">Sheet1!$D$27</definedName>
    <definedName function="false" hidden="false" name="X_Fe3Fe3" vbProcedure="false">Sheet1!$D$11</definedName>
    <definedName function="false" hidden="false" name="X_FeFe" vbProcedure="false">Sheet1!$B$9</definedName>
    <definedName function="false" hidden="false" name="X_FeFe3" vbProcedure="false">Sheet1!$D$9</definedName>
    <definedName function="false" hidden="false" name="X_FeO" vbProcedure="false">Sheet1!$C$9</definedName>
    <definedName function="false" hidden="false" name="X_O" vbProcedure="false">Sheet1!$C$27</definedName>
    <definedName function="false" hidden="false" name="X_OFe3" vbProcedure="false">Sheet1!$D$10</definedName>
    <definedName function="false" hidden="false" name="X_OO" vbProcedure="false">Sheet1!$C$10</definedName>
    <definedName function="false" hidden="false" name="Y_Fe" vbProcedure="false">Sheet1!$B$28</definedName>
    <definedName function="false" hidden="false" name="Y_Fe3" vbProcedure="false">Sheet1!$D$28</definedName>
    <definedName function="false" hidden="false" name="Y_O" vbProcedure="false">Sheet1!$C$28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<sst xmlns="http://schemas.openxmlformats.org/spreadsheetml/2006/main" count="80" uniqueCount="39">
  <si>
    <t xml:space="preserve">SEE NEXT PAGE FOR SCREENSHOTS OF FACTSAGE INPUTS</t>
  </si>
  <si>
    <t xml:space="preserve">I’VE TRIPLE CHECKED THEM WITH THE VALUES IN THE PAPER</t>
  </si>
  <si>
    <t xml:space="preserve">FACTSAGE INPUT</t>
  </si>
  <si>
    <t xml:space="preserve">T</t>
  </si>
  <si>
    <t xml:space="preserve">R</t>
  </si>
  <si>
    <t xml:space="preserve">Pair proportions (X_ij)</t>
  </si>
  <si>
    <t xml:space="preserve">Fe </t>
  </si>
  <si>
    <t xml:space="preserve">O </t>
  </si>
  <si>
    <t xml:space="preserve">FeIII</t>
  </si>
  <si>
    <t xml:space="preserve">Fe</t>
  </si>
  <si>
    <t xml:space="preserve">O</t>
  </si>
  <si>
    <t xml:space="preserve">Total pairs</t>
  </si>
  <si>
    <t xml:space="preserve">Zij</t>
  </si>
  <si>
    <t xml:space="preserve">m n→ </t>
  </si>
  <si>
    <t xml:space="preserve">Number of pairs (n_ij)</t>
  </si>
  <si>
    <t xml:space="preserve">FeII</t>
  </si>
  <si>
    <t xml:space="preserve">Total</t>
  </si>
  <si>
    <t xml:space="preserve">n_i</t>
  </si>
  <si>
    <t xml:space="preserve">Composition</t>
  </si>
  <si>
    <t xml:space="preserve">X_i </t>
  </si>
  <si>
    <t xml:space="preserve">Y_i</t>
  </si>
  <si>
    <t xml:space="preserve">GOOD</t>
  </si>
  <si>
    <t xml:space="preserve">DeltaG^0_ij</t>
  </si>
  <si>
    <t xml:space="preserve">DeltaG^1_ij </t>
  </si>
  <si>
    <t xml:space="preserve">Gexcess_ij</t>
  </si>
  <si>
    <t xml:space="preserve">G0</t>
  </si>
  <si>
    <t xml:space="preserve">← these numbers valid only between 298 and 1811 K </t>
  </si>
  <si>
    <t xml:space="preserve">ideal</t>
  </si>
  <si>
    <t xml:space="preserve">ii pairs</t>
  </si>
  <si>
    <t xml:space="preserve">ij pairs</t>
  </si>
  <si>
    <t xml:space="preserve">Total Sconf</t>
  </si>
  <si>
    <t xml:space="preserve">Sconf</t>
  </si>
  <si>
    <t xml:space="preserve">mech</t>
  </si>
  <si>
    <t xml:space="preserve">conf</t>
  </si>
  <si>
    <t xml:space="preserve">excess</t>
  </si>
  <si>
    <t xml:space="preserve">Gibbs</t>
  </si>
  <si>
    <t xml:space="preserve">J/mol</t>
  </si>
  <si>
    <t xml:space="preserve">FACTSAGE output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</si>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</sst>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CC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83CAFF"/>
        <bgColor rgb="FF66CCFF"/>
      </patternFill>
    </fill>
    <fill>
      <patternFill patternType="solid">
        <fgColor rgb="FF66CCFF"/>
        <bgColor rgb="FF83CAFF"/>
      </patternFill>
    </fill>
    <fill>
      <patternFill patternType="solid">
        <fgColor rgb="FFFF3333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83CAFF"/>
      <rgbColor rgb="FFFF9999"/>
      <rgbColor rgb="FFCC99FF"/>
      <rgbColor rgb="FFFFCC99"/>
      <rgbColor rgb="FF3366FF"/>
      <rgbColor rgb="FF66CCFF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image" Target="../media/image96.png"/><Relationship Id="rId3" Type="http://schemas.openxmlformats.org/officeDocument/2006/relationships/image" Target="../media/image9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8.png"/><Relationship Id="rId2" Type="http://schemas.openxmlformats.org/officeDocument/2006/relationships/image" Target="../media/image99.png"/><Relationship Id="rId3" Type="http://schemas.openxmlformats.org/officeDocument/2006/relationships/image" Target="../media/image100.png"/><Relationship Id="rId4" Type="http://schemas.openxmlformats.org/officeDocument/2006/relationships/image" Target="../media/image101.png"/><Relationship Id="rId5" Type="http://schemas.openxmlformats.org/officeDocument/2006/relationships/image" Target="../media/image102.png"/><Relationship Id="rId6" Type="http://schemas.openxmlformats.org/officeDocument/2006/relationships/image" Target="../media/image103.png"/><Relationship Id="rId7" Type="http://schemas.openxmlformats.org/officeDocument/2006/relationships/image" Target="../media/image104.png"/><Relationship Id="rId8" Type="http://schemas.openxmlformats.org/officeDocument/2006/relationships/image" Target="../media/image105.png"/><Relationship Id="rId9" Type="http://schemas.openxmlformats.org/officeDocument/2006/relationships/image" Target="../media/image106.png"/><Relationship Id="rId10" Type="http://schemas.openxmlformats.org/officeDocument/2006/relationships/image" Target="../media/image107.png"/><Relationship Id="rId11" Type="http://schemas.openxmlformats.org/officeDocument/2006/relationships/image" Target="../media/image10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252360</xdr:colOff>
      <xdr:row>2</xdr:row>
      <xdr:rowOff>32400</xdr:rowOff>
    </xdr:from>
    <xdr:to>
      <xdr:col>18</xdr:col>
      <xdr:colOff>65520</xdr:colOff>
      <xdr:row>27</xdr:row>
      <xdr:rowOff>114480</xdr:rowOff>
    </xdr:to>
    <xdr:pic>
      <xdr:nvPicPr>
        <xdr:cNvPr id="0" name="Picture 13" descr=""/>
        <xdr:cNvPicPr/>
      </xdr:nvPicPr>
      <xdr:blipFill>
        <a:blip r:embed="rId1"/>
        <a:stretch/>
      </xdr:blipFill>
      <xdr:spPr>
        <a:xfrm>
          <a:off x="6367320" y="413280"/>
          <a:ext cx="4705200" cy="4478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357840</xdr:colOff>
      <xdr:row>37</xdr:row>
      <xdr:rowOff>6480</xdr:rowOff>
    </xdr:from>
    <xdr:to>
      <xdr:col>10</xdr:col>
      <xdr:colOff>390240</xdr:colOff>
      <xdr:row>43</xdr:row>
      <xdr:rowOff>720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803680" y="6597720"/>
          <a:ext cx="3701520" cy="104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433080</xdr:colOff>
      <xdr:row>30</xdr:row>
      <xdr:rowOff>133920</xdr:rowOff>
    </xdr:from>
    <xdr:to>
      <xdr:col>8</xdr:col>
      <xdr:colOff>60840</xdr:colOff>
      <xdr:row>36</xdr:row>
      <xdr:rowOff>41400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2878920" y="5467680"/>
          <a:ext cx="2073960" cy="974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0</xdr:row>
      <xdr:rowOff>66600</xdr:rowOff>
    </xdr:from>
    <xdr:to>
      <xdr:col>8</xdr:col>
      <xdr:colOff>486000</xdr:colOff>
      <xdr:row>22</xdr:row>
      <xdr:rowOff>151200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941840" y="66600"/>
          <a:ext cx="5046480" cy="366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533160</xdr:colOff>
      <xdr:row>0</xdr:row>
      <xdr:rowOff>73080</xdr:rowOff>
    </xdr:from>
    <xdr:to>
      <xdr:col>15</xdr:col>
      <xdr:colOff>115920</xdr:colOff>
      <xdr:row>22</xdr:row>
      <xdr:rowOff>160560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7035480" y="73080"/>
          <a:ext cx="5272200" cy="366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122400</xdr:rowOff>
    </xdr:from>
    <xdr:to>
      <xdr:col>6</xdr:col>
      <xdr:colOff>433800</xdr:colOff>
      <xdr:row>46</xdr:row>
      <xdr:rowOff>95760</xdr:rowOff>
    </xdr:to>
    <xdr:pic>
      <xdr:nvPicPr>
        <xdr:cNvPr id="5" name="Picture 4" descr=""/>
        <xdr:cNvPicPr/>
      </xdr:nvPicPr>
      <xdr:blipFill>
        <a:blip r:embed="rId3"/>
        <a:stretch/>
      </xdr:blipFill>
      <xdr:spPr>
        <a:xfrm>
          <a:off x="0" y="3861000"/>
          <a:ext cx="5310360" cy="371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33120</xdr:rowOff>
    </xdr:from>
    <xdr:to>
      <xdr:col>6</xdr:col>
      <xdr:colOff>472320</xdr:colOff>
      <xdr:row>68</xdr:row>
      <xdr:rowOff>151920</xdr:rowOff>
    </xdr:to>
    <xdr:pic>
      <xdr:nvPicPr>
        <xdr:cNvPr id="6" name="Picture 5" descr=""/>
        <xdr:cNvPicPr/>
      </xdr:nvPicPr>
      <xdr:blipFill>
        <a:blip r:embed="rId4"/>
        <a:stretch/>
      </xdr:blipFill>
      <xdr:spPr>
        <a:xfrm>
          <a:off x="0" y="7510680"/>
          <a:ext cx="5348880" cy="369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29880</xdr:rowOff>
    </xdr:from>
    <xdr:to>
      <xdr:col>6</xdr:col>
      <xdr:colOff>443160</xdr:colOff>
      <xdr:row>92</xdr:row>
      <xdr:rowOff>48600</xdr:rowOff>
    </xdr:to>
    <xdr:pic>
      <xdr:nvPicPr>
        <xdr:cNvPr id="7" name="Picture 6" descr=""/>
        <xdr:cNvPicPr/>
      </xdr:nvPicPr>
      <xdr:blipFill>
        <a:blip r:embed="rId5"/>
        <a:stretch/>
      </xdr:blipFill>
      <xdr:spPr>
        <a:xfrm>
          <a:off x="0" y="11246400"/>
          <a:ext cx="5319720" cy="375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452880</xdr:colOff>
      <xdr:row>23</xdr:row>
      <xdr:rowOff>78840</xdr:rowOff>
    </xdr:from>
    <xdr:to>
      <xdr:col>13</xdr:col>
      <xdr:colOff>64080</xdr:colOff>
      <xdr:row>46</xdr:row>
      <xdr:rowOff>92880</xdr:rowOff>
    </xdr:to>
    <xdr:pic>
      <xdr:nvPicPr>
        <xdr:cNvPr id="8" name="Picture 7" descr=""/>
        <xdr:cNvPicPr/>
      </xdr:nvPicPr>
      <xdr:blipFill>
        <a:blip r:embed="rId6"/>
        <a:stretch/>
      </xdr:blipFill>
      <xdr:spPr>
        <a:xfrm>
          <a:off x="5329440" y="3817440"/>
          <a:ext cx="5301000" cy="375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485640</xdr:colOff>
      <xdr:row>46</xdr:row>
      <xdr:rowOff>134280</xdr:rowOff>
    </xdr:from>
    <xdr:to>
      <xdr:col>13</xdr:col>
      <xdr:colOff>87480</xdr:colOff>
      <xdr:row>69</xdr:row>
      <xdr:rowOff>112320</xdr:rowOff>
    </xdr:to>
    <xdr:pic>
      <xdr:nvPicPr>
        <xdr:cNvPr id="9" name="Picture 8" descr=""/>
        <xdr:cNvPicPr/>
      </xdr:nvPicPr>
      <xdr:blipFill>
        <a:blip r:embed="rId7"/>
        <a:stretch/>
      </xdr:blipFill>
      <xdr:spPr>
        <a:xfrm>
          <a:off x="5362200" y="7611840"/>
          <a:ext cx="5291640" cy="371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495000</xdr:colOff>
      <xdr:row>69</xdr:row>
      <xdr:rowOff>120240</xdr:rowOff>
    </xdr:from>
    <xdr:to>
      <xdr:col>13</xdr:col>
      <xdr:colOff>68040</xdr:colOff>
      <xdr:row>91</xdr:row>
      <xdr:rowOff>122040</xdr:rowOff>
    </xdr:to>
    <xdr:pic>
      <xdr:nvPicPr>
        <xdr:cNvPr id="10" name="Picture 9" descr=""/>
        <xdr:cNvPicPr/>
      </xdr:nvPicPr>
      <xdr:blipFill>
        <a:blip r:embed="rId8"/>
        <a:stretch/>
      </xdr:blipFill>
      <xdr:spPr>
        <a:xfrm>
          <a:off x="5371560" y="11336760"/>
          <a:ext cx="5262840" cy="357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460800</xdr:colOff>
      <xdr:row>93</xdr:row>
      <xdr:rowOff>143640</xdr:rowOff>
    </xdr:from>
    <xdr:to>
      <xdr:col>9</xdr:col>
      <xdr:colOff>72000</xdr:colOff>
      <xdr:row>115</xdr:row>
      <xdr:rowOff>50040</xdr:rowOff>
    </xdr:to>
    <xdr:pic>
      <xdr:nvPicPr>
        <xdr:cNvPr id="11" name="Picture 10" descr=""/>
        <xdr:cNvPicPr/>
      </xdr:nvPicPr>
      <xdr:blipFill>
        <a:blip r:embed="rId9"/>
        <a:stretch/>
      </xdr:blipFill>
      <xdr:spPr>
        <a:xfrm>
          <a:off x="2086200" y="15261480"/>
          <a:ext cx="5301000" cy="348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86760</xdr:colOff>
      <xdr:row>93</xdr:row>
      <xdr:rowOff>136440</xdr:rowOff>
    </xdr:from>
    <xdr:to>
      <xdr:col>15</xdr:col>
      <xdr:colOff>546120</xdr:colOff>
      <xdr:row>115</xdr:row>
      <xdr:rowOff>56880</xdr:rowOff>
    </xdr:to>
    <xdr:pic>
      <xdr:nvPicPr>
        <xdr:cNvPr id="12" name="Picture 11" descr=""/>
        <xdr:cNvPicPr/>
      </xdr:nvPicPr>
      <xdr:blipFill>
        <a:blip r:embed="rId10"/>
        <a:stretch/>
      </xdr:blipFill>
      <xdr:spPr>
        <a:xfrm>
          <a:off x="7401960" y="15254280"/>
          <a:ext cx="5335920" cy="349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63720</xdr:colOff>
      <xdr:row>24</xdr:row>
      <xdr:rowOff>66600</xdr:rowOff>
    </xdr:from>
    <xdr:to>
      <xdr:col>19</xdr:col>
      <xdr:colOff>611640</xdr:colOff>
      <xdr:row>46</xdr:row>
      <xdr:rowOff>106200</xdr:rowOff>
    </xdr:to>
    <xdr:pic>
      <xdr:nvPicPr>
        <xdr:cNvPr id="13" name="Picture 12" descr=""/>
        <xdr:cNvPicPr/>
      </xdr:nvPicPr>
      <xdr:blipFill>
        <a:blip r:embed="rId11"/>
        <a:stretch/>
      </xdr:blipFill>
      <xdr:spPr>
        <a:xfrm>
          <a:off x="10630080" y="3967920"/>
          <a:ext cx="5424480" cy="361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3.8" hidden="false" customHeight="false" outlineLevel="0" collapsed="false"/>
    <row r="4" customFormat="false" ht="13.8" hidden="false" customHeight="false" outlineLevel="0" collapsed="false">
      <c r="A4" s="1" t="s">
        <v>2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3</v>
      </c>
      <c r="B5" s="1" t="n">
        <f aca="false">1473.15</f>
        <v>1473.15</v>
      </c>
      <c r="C5" s="1"/>
      <c r="D5" s="1" t="s">
        <v>4</v>
      </c>
      <c r="E5" s="1" t="n">
        <v>8.31446</v>
      </c>
      <c r="F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</row>
    <row r="7" customFormat="false" ht="13.8" hidden="false" customHeight="false" outlineLevel="0" collapsed="false">
      <c r="A7" s="1" t="s">
        <v>5</v>
      </c>
      <c r="B7" s="1"/>
      <c r="C7" s="1"/>
      <c r="D7" s="1"/>
      <c r="E7" s="1"/>
      <c r="F7" s="1"/>
      <c r="G7" s="2"/>
    </row>
    <row r="8" customFormat="false" ht="13.8" hidden="false" customHeight="false" outlineLevel="0" collapsed="false">
      <c r="A8" s="1"/>
      <c r="B8" s="1" t="s">
        <v>6</v>
      </c>
      <c r="C8" s="1" t="s">
        <v>7</v>
      </c>
      <c r="D8" s="1" t="s">
        <v>8</v>
      </c>
      <c r="E8" s="1"/>
      <c r="F8" s="1"/>
    </row>
    <row r="9" customFormat="false" ht="13.8" hidden="false" customHeight="false" outlineLevel="0" collapsed="false">
      <c r="A9" s="1" t="s">
        <v>9</v>
      </c>
      <c r="B9" s="1" t="n">
        <v>0.43759</v>
      </c>
      <c r="C9" s="1" t="n">
        <v>0.50439</v>
      </c>
      <c r="D9" s="3" t="n">
        <v>0.0025191</v>
      </c>
      <c r="E9" s="1"/>
      <c r="F9" s="1"/>
    </row>
    <row r="10" customFormat="false" ht="13.8" hidden="false" customHeight="false" outlineLevel="0" collapsed="false">
      <c r="A10" s="1" t="s">
        <v>10</v>
      </c>
      <c r="B10" s="1" t="n">
        <v>0</v>
      </c>
      <c r="C10" s="3" t="n">
        <v>3.085E-006</v>
      </c>
      <c r="D10" s="3" t="n">
        <v>0.052141</v>
      </c>
      <c r="E10" s="1"/>
      <c r="F10" s="1" t="s">
        <v>11</v>
      </c>
    </row>
    <row r="11" customFormat="false" ht="13.8" hidden="false" customHeight="false" outlineLevel="0" collapsed="false">
      <c r="A11" s="1" t="s">
        <v>8</v>
      </c>
      <c r="B11" s="1" t="n">
        <v>0</v>
      </c>
      <c r="C11" s="1" t="n">
        <v>0</v>
      </c>
      <c r="D11" s="3" t="n">
        <v>0.0033605</v>
      </c>
      <c r="E11" s="1"/>
      <c r="F11" s="1" t="n">
        <v>1.4375</v>
      </c>
      <c r="H11" s="2"/>
      <c r="P11" s="2"/>
    </row>
    <row r="12" customFormat="false" ht="13.8" hidden="false" customHeight="false" outlineLevel="0" collapsed="false"/>
    <row r="13" customFormat="false" ht="13.8" hidden="false" customHeight="false" outlineLevel="0" collapsed="false">
      <c r="A13" s="1" t="s">
        <v>12</v>
      </c>
      <c r="B13" s="1"/>
      <c r="C13" s="1"/>
      <c r="D13" s="1"/>
    </row>
    <row r="14" customFormat="false" ht="13.8" hidden="false" customHeight="false" outlineLevel="0" collapsed="false">
      <c r="A14" s="1" t="s">
        <v>13</v>
      </c>
      <c r="B14" s="1" t="s">
        <v>6</v>
      </c>
      <c r="C14" s="1" t="s">
        <v>7</v>
      </c>
      <c r="D14" s="1" t="s">
        <v>8</v>
      </c>
      <c r="Q14" s="2"/>
    </row>
    <row r="15" customFormat="false" ht="13.8" hidden="false" customHeight="false" outlineLevel="0" collapsed="false">
      <c r="A15" s="1" t="s">
        <v>9</v>
      </c>
      <c r="B15" s="1" t="n">
        <v>6</v>
      </c>
      <c r="C15" s="1" t="n">
        <v>2</v>
      </c>
      <c r="D15" s="1" t="n">
        <v>6</v>
      </c>
      <c r="Q15" s="2"/>
    </row>
    <row r="16" customFormat="false" ht="13.8" hidden="false" customHeight="false" outlineLevel="0" collapsed="false">
      <c r="A16" s="1" t="s">
        <v>10</v>
      </c>
      <c r="B16" s="1" t="n">
        <v>2</v>
      </c>
      <c r="C16" s="1" t="n">
        <v>6</v>
      </c>
      <c r="D16" s="1" t="n">
        <v>2</v>
      </c>
      <c r="H16" s="2"/>
    </row>
    <row r="17" customFormat="false" ht="13.8" hidden="false" customHeight="false" outlineLevel="0" collapsed="false">
      <c r="A17" s="1" t="s">
        <v>8</v>
      </c>
      <c r="B17" s="1" t="n">
        <v>6</v>
      </c>
      <c r="C17" s="1" t="n">
        <v>3</v>
      </c>
      <c r="D17" s="1" t="n">
        <v>6</v>
      </c>
      <c r="Q17" s="2"/>
    </row>
    <row r="18" customFormat="false" ht="13.8" hidden="false" customHeight="false" outlineLevel="0" collapsed="false">
      <c r="Q18" s="2"/>
    </row>
    <row r="19" customFormat="false" ht="13.8" hidden="false" customHeight="false" outlineLevel="0" collapsed="false">
      <c r="A19" s="4" t="s">
        <v>14</v>
      </c>
      <c r="B19" s="4"/>
      <c r="C19" s="4"/>
      <c r="D19" s="4"/>
    </row>
    <row r="20" customFormat="false" ht="13.8" hidden="false" customHeight="false" outlineLevel="0" collapsed="false">
      <c r="B20" s="0" t="s">
        <v>6</v>
      </c>
      <c r="C20" s="0" t="s">
        <v>7</v>
      </c>
      <c r="D20" s="0" t="s">
        <v>8</v>
      </c>
    </row>
    <row r="21" customFormat="false" ht="13.8" hidden="false" customHeight="false" outlineLevel="0" collapsed="false">
      <c r="A21" s="0" t="s">
        <v>9</v>
      </c>
      <c r="B21" s="0" t="n">
        <f aca="false">X_FeFe*n_pairs</f>
        <v>0.629035625</v>
      </c>
      <c r="C21" s="0" t="n">
        <f aca="false">X_FeO*n_pairs</f>
        <v>0.725060625</v>
      </c>
      <c r="D21" s="0" t="n">
        <f aca="false">X_FeFe3*n_pairs</f>
        <v>0.00362120625</v>
      </c>
    </row>
    <row r="22" customFormat="false" ht="13.8" hidden="false" customHeight="false" outlineLevel="0" collapsed="false">
      <c r="A22" s="0" t="s">
        <v>10</v>
      </c>
      <c r="C22" s="0" t="n">
        <f aca="false">X_OO*n_pairs</f>
        <v>4.4346875E-006</v>
      </c>
      <c r="D22" s="0" t="n">
        <f aca="false">X_OFe3*n_pairs</f>
        <v>0.0749526875</v>
      </c>
    </row>
    <row r="23" customFormat="false" ht="13.8" hidden="false" customHeight="false" outlineLevel="0" collapsed="false">
      <c r="A23" s="0" t="s">
        <v>8</v>
      </c>
      <c r="D23" s="0" t="n">
        <f aca="false">X_Fe3Fe3*n_pairs</f>
        <v>0.00483071875</v>
      </c>
    </row>
    <row r="25" customFormat="false" ht="13.8" hidden="false" customHeight="false" outlineLevel="0" collapsed="false">
      <c r="B25" s="0" t="s">
        <v>15</v>
      </c>
      <c r="C25" s="0" t="s">
        <v>7</v>
      </c>
      <c r="D25" s="0" t="s">
        <v>8</v>
      </c>
      <c r="E25" s="0" t="s">
        <v>16</v>
      </c>
    </row>
    <row r="26" customFormat="false" ht="13.8" hidden="false" customHeight="false" outlineLevel="0" collapsed="false">
      <c r="A26" s="4" t="s">
        <v>17</v>
      </c>
      <c r="B26" s="0" t="n">
        <f aca="false">2*B21/B15 + C21/C15 + D21/D15</f>
        <v>0.572812388541667</v>
      </c>
      <c r="C26" s="0" t="n">
        <f aca="false">C21/B16 + 2*C22/C16 + D22/D16</f>
        <v>0.400008134479167</v>
      </c>
      <c r="D26" s="0" t="n">
        <f aca="false">D21/B17 +D22/C17 + 2*D23/D17</f>
        <v>0.027198003125</v>
      </c>
      <c r="E26" s="0" t="n">
        <f aca="false">SUM(B26:D26)</f>
        <v>1.00001852614583</v>
      </c>
      <c r="G26" s="5" t="s">
        <v>18</v>
      </c>
      <c r="H26" s="4"/>
    </row>
    <row r="27" customFormat="false" ht="13.8" hidden="false" customHeight="false" outlineLevel="0" collapsed="false">
      <c r="A27" s="4" t="s">
        <v>19</v>
      </c>
      <c r="B27" s="0" t="n">
        <f aca="false">n_Fe/n_moles</f>
        <v>0.572801776732417</v>
      </c>
      <c r="C27" s="0" t="n">
        <f aca="false">n_O/n_moles</f>
        <v>0.40000072400742</v>
      </c>
      <c r="D27" s="0" t="n">
        <f aca="false">n_Fe3/n_moles</f>
        <v>0.0271974992601624</v>
      </c>
      <c r="E27" s="0" t="n">
        <f aca="false">SUM(B27:D27)</f>
        <v>1</v>
      </c>
      <c r="G27" s="0" t="s">
        <v>9</v>
      </c>
      <c r="H27" s="0" t="s">
        <v>10</v>
      </c>
    </row>
    <row r="28" customFormat="false" ht="13.8" hidden="false" customHeight="false" outlineLevel="0" collapsed="false">
      <c r="A28" s="4" t="s">
        <v>20</v>
      </c>
      <c r="B28" s="0" t="n">
        <f aca="false">X_FeFe + X_FeO/2 + X_FeFe3/2</f>
        <v>0.69104455</v>
      </c>
      <c r="C28" s="0" t="n">
        <f aca="false">X_FeO/2 + X_OO + X_OFe3/2</f>
        <v>0.278268585</v>
      </c>
      <c r="D28" s="0" t="n">
        <f aca="false">X_FeFe3/2 + X_OFe3/2 + X_Fe3Fe3</f>
        <v>0.03069055</v>
      </c>
      <c r="E28" s="0" t="n">
        <f aca="false">SUM(B28:D28)</f>
        <v>1.000003685</v>
      </c>
      <c r="G28" s="6" t="n">
        <f aca="false">n_Fe+n_Fe3</f>
        <v>0.600010391666667</v>
      </c>
      <c r="H28" s="6" t="n">
        <f aca="false">n_O</f>
        <v>0.400008134479167</v>
      </c>
      <c r="I28" s="6" t="s">
        <v>21</v>
      </c>
      <c r="P28" s="7"/>
    </row>
    <row r="32" customFormat="false" ht="13.8" hidden="false" customHeight="false" outlineLevel="0" collapsed="false">
      <c r="A32" s="4" t="s">
        <v>22</v>
      </c>
      <c r="B32" s="4"/>
      <c r="C32" s="4"/>
      <c r="D32" s="4"/>
    </row>
    <row r="33" customFormat="false" ht="13.8" hidden="false" customHeight="false" outlineLevel="0" collapsed="false">
      <c r="B33" s="0" t="s">
        <v>15</v>
      </c>
      <c r="C33" s="0" t="s">
        <v>7</v>
      </c>
      <c r="D33" s="0" t="s">
        <v>8</v>
      </c>
    </row>
    <row r="34" customFormat="false" ht="13.8" hidden="false" customHeight="false" outlineLevel="0" collapsed="false">
      <c r="A34" s="0" t="s">
        <v>9</v>
      </c>
      <c r="C34" s="8" t="n">
        <v>-391580.56</v>
      </c>
      <c r="D34" s="8" t="n">
        <v>83680</v>
      </c>
    </row>
    <row r="35" customFormat="false" ht="13.8" hidden="false" customHeight="false" outlineLevel="0" collapsed="false">
      <c r="A35" s="0" t="s">
        <v>10</v>
      </c>
      <c r="D35" s="8" t="n">
        <f aca="false">-394551.2 + 12.552*T</f>
        <v>-376060.2212</v>
      </c>
    </row>
    <row r="36" customFormat="false" ht="13.8" hidden="false" customHeight="false" outlineLevel="0" collapsed="false">
      <c r="A36" s="0" t="s">
        <v>8</v>
      </c>
    </row>
    <row r="38" customFormat="false" ht="13.8" hidden="false" customHeight="false" outlineLevel="0" collapsed="false"/>
    <row r="39" customFormat="false" ht="13.8" hidden="false" customHeight="false" outlineLevel="0" collapsed="false">
      <c r="A39" s="4" t="s">
        <v>23</v>
      </c>
      <c r="B39" s="4"/>
      <c r="C39" s="4"/>
      <c r="D39" s="4"/>
    </row>
    <row r="40" customFormat="false" ht="13.8" hidden="false" customHeight="false" outlineLevel="0" collapsed="false">
      <c r="B40" s="0" t="s">
        <v>15</v>
      </c>
      <c r="C40" s="0" t="s">
        <v>7</v>
      </c>
      <c r="D40" s="0" t="s">
        <v>8</v>
      </c>
    </row>
    <row r="41" customFormat="false" ht="13.8" hidden="false" customHeight="false" outlineLevel="0" collapsed="false">
      <c r="A41" s="0" t="s">
        <v>9</v>
      </c>
      <c r="C41" s="0" t="n">
        <f aca="false">(129778.6321 - 30.334*T)*X_FeFe</f>
        <v>37235.452039</v>
      </c>
      <c r="D41" s="0" t="n">
        <f aca="false">(30543.2 - 44.0041380176*T)*Y_Fe*Y_O*Y_Fe3</f>
        <v>-202.318064658278</v>
      </c>
    </row>
    <row r="42" customFormat="false" ht="13.8" hidden="false" customHeight="false" outlineLevel="0" collapsed="false">
      <c r="A42" s="0" t="s">
        <v>10</v>
      </c>
      <c r="D42" s="8" t="n">
        <f aca="false">83680*X_Fe3Fe3^2</f>
        <v>0.94499491372</v>
      </c>
    </row>
    <row r="43" customFormat="false" ht="13.8" hidden="false" customHeight="false" outlineLevel="0" collapsed="false">
      <c r="A43" s="0" t="s">
        <v>8</v>
      </c>
      <c r="M43" s="8"/>
    </row>
    <row r="45" customFormat="false" ht="13.8" hidden="false" customHeight="false" outlineLevel="0" collapsed="false">
      <c r="A45" s="4" t="s">
        <v>24</v>
      </c>
      <c r="B45" s="4"/>
      <c r="C45" s="4"/>
      <c r="D45" s="4"/>
    </row>
    <row r="46" customFormat="false" ht="13.8" hidden="false" customHeight="false" outlineLevel="0" collapsed="false">
      <c r="B46" s="0" t="s">
        <v>15</v>
      </c>
      <c r="C46" s="0" t="s">
        <v>7</v>
      </c>
      <c r="D46" s="0" t="s">
        <v>8</v>
      </c>
    </row>
    <row r="47" customFormat="false" ht="13.8" hidden="false" customHeight="false" outlineLevel="0" collapsed="false">
      <c r="A47" s="0" t="s">
        <v>9</v>
      </c>
      <c r="C47" s="0" t="n">
        <f aca="false">(dG0_FeO + dG1_FeO)*n_FeO/2</f>
        <v>-128460.842721948</v>
      </c>
      <c r="D47" s="0" t="n">
        <f aca="false">(dG0_FeFe3 + dG1_FeFe3)*n_FeFe3/2</f>
        <v>151.144951779886</v>
      </c>
      <c r="F47" s="8"/>
    </row>
    <row r="48" customFormat="false" ht="13.8" hidden="false" customHeight="false" outlineLevel="0" collapsed="false">
      <c r="A48" s="0" t="s">
        <v>10</v>
      </c>
      <c r="D48" s="0" t="n">
        <f aca="false">(dG0_OFe3 + dG1_OFe3)*n_OFe3/2</f>
        <v>-14093.326705438</v>
      </c>
    </row>
    <row r="49" customFormat="false" ht="13.8" hidden="false" customHeight="false" outlineLevel="0" collapsed="false">
      <c r="A49" s="0" t="s">
        <v>8</v>
      </c>
    </row>
    <row r="50" customFormat="false" ht="13.8" hidden="false" customHeight="false" outlineLevel="0" collapsed="false">
      <c r="K50" s="8"/>
    </row>
    <row r="51" customFormat="false" ht="13.8" hidden="false" customHeight="false" outlineLevel="0" collapsed="false">
      <c r="B51" s="0" t="s">
        <v>15</v>
      </c>
      <c r="C51" s="0" t="s">
        <v>7</v>
      </c>
      <c r="D51" s="0" t="s">
        <v>8</v>
      </c>
    </row>
    <row r="52" customFormat="false" ht="13.8" hidden="false" customHeight="false" outlineLevel="0" collapsed="false">
      <c r="A52" s="4" t="s">
        <v>25</v>
      </c>
      <c r="B52" s="0" t="n">
        <f aca="false">13265.9 + 117.5756*T - 23.5143*T*LN(T)-0.00439752*T^2 - 0.0000000589269*T^3 + 77358.5/T - 3.6751551E-021*T^7</f>
        <v>-75967.1324909446</v>
      </c>
      <c r="C52" s="0" t="n">
        <f aca="false">121184.8 + 136.0406*T - 24.5*T*LN(T) - 0.0009842*T^2 - 0.00000012938*T^3 + 322517/T</f>
        <v>55964.3036305818</v>
      </c>
      <c r="D52" s="0" t="n">
        <f aca="false">G_Fe+6276</f>
        <v>-69691.1324909446</v>
      </c>
      <c r="F52" s="9" t="s">
        <v>26</v>
      </c>
      <c r="G52" s="9"/>
      <c r="H52" s="9"/>
      <c r="I52" s="9"/>
      <c r="J52" s="9"/>
      <c r="K52" s="9"/>
    </row>
    <row r="54" customFormat="false" ht="13.8" hidden="false" customHeight="false" outlineLevel="0" collapsed="false">
      <c r="B54" s="0" t="s">
        <v>27</v>
      </c>
      <c r="C54" s="0" t="s">
        <v>28</v>
      </c>
      <c r="D54" s="0" t="s">
        <v>29</v>
      </c>
      <c r="F54" s="0" t="s">
        <v>30</v>
      </c>
    </row>
    <row r="55" customFormat="false" ht="13.8" hidden="false" customHeight="false" outlineLevel="0" collapsed="false">
      <c r="A55" s="4" t="s">
        <v>31</v>
      </c>
      <c r="B55" s="0" t="n">
        <f aca="false">-gcR*(n_Fe*LN(X_Fe) + n_O*LN(X_O) + n_Fe3*LN(X_Fe3))</f>
        <v>6.5163893788772</v>
      </c>
      <c r="C55" s="0" t="n">
        <f aca="false">-gcR*(n_FeFe*LN(X_FeFe/Y_Fe^2) + n_OO*LN(X_OO/Y_O^2) + n_Fe3Fe3*LN(X_Fe3Fe3/Y_Fe3^2))</f>
        <v>0.406244332485944</v>
      </c>
      <c r="D55" s="0" t="n">
        <f aca="false">-gcR*(n_FeO*LN(X_FeO/(2*Y_Fe*Y_O)) + n_FeFe3*LN(X_FeFe3/(2*Y_Fe*Y_Fe3)) + n_OFe3*LN(X_OFe3/(2*Y_O*Y_Fe3)))</f>
        <v>-2.24520279090215</v>
      </c>
      <c r="F55" s="0" t="n">
        <f aca="false">SUM(B55:D55)</f>
        <v>4.67743092046099</v>
      </c>
    </row>
    <row r="58" customFormat="false" ht="13.8" hidden="false" customHeight="false" outlineLevel="0" collapsed="false">
      <c r="B58" s="0" t="s">
        <v>32</v>
      </c>
      <c r="C58" s="0" t="s">
        <v>33</v>
      </c>
      <c r="D58" s="0" t="s">
        <v>34</v>
      </c>
      <c r="F58" s="0" t="s">
        <v>16</v>
      </c>
    </row>
    <row r="59" customFormat="false" ht="13.8" hidden="false" customHeight="false" outlineLevel="0" collapsed="false">
      <c r="A59" s="10" t="s">
        <v>35</v>
      </c>
      <c r="B59" s="10" t="n">
        <f aca="false">n_Fe*G_Fe + n_O*G_O + n_Fe3*G_Fe3</f>
        <v>-23024.1975593781</v>
      </c>
      <c r="C59" s="10" t="n">
        <f aca="false">- T*Sconf</f>
        <v>-6890.55736047711</v>
      </c>
      <c r="D59" s="10" t="n">
        <f aca="false">SUM(dG_excesses)</f>
        <v>-142403.024475606</v>
      </c>
      <c r="E59" s="10"/>
      <c r="F59" s="10" t="n">
        <f aca="false">SUM(B59:D59)</f>
        <v>-172317.779395461</v>
      </c>
      <c r="G59" s="11" t="s">
        <v>36</v>
      </c>
    </row>
    <row r="60" customFormat="false" ht="13.8" hidden="false" customHeight="false" outlineLevel="0" collapsed="false">
      <c r="D60" s="12" t="s">
        <v>37</v>
      </c>
      <c r="E60" s="12"/>
      <c r="F60" s="12" t="n">
        <v>-171807</v>
      </c>
      <c r="G60" s="12" t="s">
        <v>36</v>
      </c>
    </row>
    <row r="61" customFormat="false" ht="13.8" hidden="false" customHeight="false" outlineLevel="0" collapsed="false">
      <c r="E61" s="13" t="s">
        <v>38</v>
      </c>
      <c r="F61" s="14" t="n">
        <f aca="false">F60-F59</f>
        <v>510.779395460879</v>
      </c>
      <c r="G61" s="13" t="s">
        <v>36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2018-06-14T03:45:58Z</dcterms:created>
  <dc:creator>Denis Shishin</dc:creator>
  <dc:description/>
  <dc:language>en-GB</dc:language>
  <cp:lastModifiedBy/>
  <dcterms:modified xsi:type="dcterms:W3CDTF">2018-06-14T21:50:39Z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