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39.png" ContentType="image/png"/>
  <Override PartName="/xl/media/image38.png" ContentType="image/png"/>
  <Override PartName="/xl/media/image37.png" ContentType="image/png"/>
  <Override PartName="/xl/media/image35.png" ContentType="image/png"/>
  <Override PartName="/xl/media/image30.png" ContentType="image/png"/>
  <Override PartName="/xl/media/image36.png" ContentType="image/png"/>
  <Override PartName="/xl/media/image29.png" ContentType="image/png"/>
  <Override PartName="/xl/media/image31.png" ContentType="image/png"/>
  <Override PartName="/xl/media/image32.png" ContentType="image/png"/>
  <Override PartName="/xl/media/image40.png" ContentType="image/png"/>
  <Override PartName="/xl/media/image33.png" ContentType="image/png"/>
  <Override PartName="/xl/media/image41.png" ContentType="image/png"/>
  <Override PartName="/xl/media/image3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ions" sheetId="1" state="visible" r:id="rId2"/>
    <sheet name="FactSage Screenshots" sheetId="2" state="visible" r:id="rId3"/>
  </sheets>
  <definedNames>
    <definedName function="false" hidden="false" name="chi_Fe3Fe" vbProcedure="false">Calculations!$H$23</definedName>
    <definedName function="false" hidden="false" name="chi_Fe3O" vbProcedure="false">Calculations!$I$23</definedName>
    <definedName function="false" hidden="false" name="chi_FeFe" vbProcedure="false">Calculations!$H$21</definedName>
    <definedName function="false" hidden="false" name="chi_FeFe3" vbProcedure="false">Calculations!$J$21</definedName>
    <definedName function="false" hidden="false" name="chi_FeO" vbProcedure="false">Calculations!$I$21</definedName>
    <definedName function="false" hidden="false" name="chi_OFe" vbProcedure="false">Calculations!$H$22</definedName>
    <definedName function="false" hidden="false" name="chi_OFe3" vbProcedure="false">Calculations!$J$22</definedName>
    <definedName function="false" hidden="false" name="dG0_FeFe3" vbProcedure="false">Calculations!$D$34</definedName>
    <definedName function="false" hidden="false" name="dG0_FeO" vbProcedure="false">Calculations!$C$34</definedName>
    <definedName function="false" hidden="false" name="dG0_OFe3" vbProcedure="false">Calculations!$D$35</definedName>
    <definedName function="false" hidden="false" name="dG1_FeFe3" vbProcedure="false">Calculations!$D$41</definedName>
    <definedName function="false" hidden="false" name="dG1_FeO" vbProcedure="false">Calculations!$C$41</definedName>
    <definedName function="false" hidden="false" name="dG1_OFe3" vbProcedure="false">Calculations!$D$42</definedName>
    <definedName function="false" hidden="false" name="dG_excesses" vbProcedure="false">Calculations!$B$47:$D$49</definedName>
    <definedName function="false" hidden="false" name="dT" vbProcedure="false">Calculations!$B$50</definedName>
    <definedName function="false" hidden="false" name="gcR" vbProcedure="false">Calculations!$E$5</definedName>
    <definedName function="false" hidden="false" name="G_Fe" vbProcedure="false">Calculations!$B$52</definedName>
    <definedName function="false" hidden="false" name="G_Fe3" vbProcedure="false">Calculations!$D$52</definedName>
    <definedName function="false" hidden="false" name="G_O" vbProcedure="false">Calculations!$C$52</definedName>
    <definedName function="false" hidden="false" name="n_Fe" vbProcedure="false">Calculations!$B$26</definedName>
    <definedName function="false" hidden="false" name="n_Fe3" vbProcedure="false">Calculations!$D$26</definedName>
    <definedName function="false" hidden="false" name="n_Fe3Fe3" vbProcedure="false">Calculations!$D$23</definedName>
    <definedName function="false" hidden="false" name="n_FeFe" vbProcedure="false">Calculations!$B$21</definedName>
    <definedName function="false" hidden="false" name="n_FeFe3" vbProcedure="false">Calculations!$D$21</definedName>
    <definedName function="false" hidden="false" name="n_FeO" vbProcedure="false">Calculations!$C$21</definedName>
    <definedName function="false" hidden="false" name="n_moles" vbProcedure="false">Calculations!$E$26</definedName>
    <definedName function="false" hidden="false" name="n_O" vbProcedure="false">Calculations!$C$26</definedName>
    <definedName function="false" hidden="false" name="n_OFe3" vbProcedure="false">Calculations!$D$22</definedName>
    <definedName function="false" hidden="false" name="n_OO" vbProcedure="false">Calculations!$C$22</definedName>
    <definedName function="false" hidden="false" name="n_pairs" vbProcedure="false">Calculations!$F$11</definedName>
    <definedName function="false" hidden="false" name="Sconf" vbProcedure="false">Calculations!$F$56</definedName>
    <definedName function="false" hidden="false" name="T" vbProcedure="false">Calculations!$B$5</definedName>
    <definedName function="false" hidden="false" name="X_Fe" vbProcedure="false">Calculations!$B$27</definedName>
    <definedName function="false" hidden="false" name="X_Fe3" vbProcedure="false">Calculations!$D$27</definedName>
    <definedName function="false" hidden="false" name="X_Fe3Fe3" vbProcedure="false">Calculations!$D$11</definedName>
    <definedName function="false" hidden="false" name="X_FeFe" vbProcedure="false">Calculations!$B$9</definedName>
    <definedName function="false" hidden="false" name="X_FeFe3" vbProcedure="false">Calculations!$D$9</definedName>
    <definedName function="false" hidden="false" name="X_FeO" vbProcedure="false">Calculations!$C$9</definedName>
    <definedName function="false" hidden="false" name="X_O" vbProcedure="false">Calculations!$C$27</definedName>
    <definedName function="false" hidden="false" name="X_OFe3" vbProcedure="false">Calculations!$D$10</definedName>
    <definedName function="false" hidden="false" name="X_OO" vbProcedure="false">Calculations!$C$10</definedName>
    <definedName function="false" hidden="false" name="Y_Fe" vbProcedure="false">Calculations!$B$28</definedName>
    <definedName function="false" hidden="false" name="Y_Fe3" vbProcedure="false">Calculations!$D$28</definedName>
    <definedName function="false" hidden="false" name="Y_O" vbProcedure="false">Calculations!$C$28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<sst xmlns="http://schemas.openxmlformats.org/spreadsheetml/2006/main" count="176" uniqueCount="93">
  <si>
    <t xml:space="preserve">SEE NEXT PAGE FOR SCREENSHOTS OF FACTSAGE INPUTS</t>
  </si>
  <si>
    <t xml:space="preserve">I’VE TRIPLE CHECKED THEM WITH THE VALUES IN THE PAPER</t>
  </si>
  <si>
    <t xml:space="preserve">Fe</t>
  </si>
  <si>
    <t xml:space="preserve">+</t>
  </si>
  <si>
    <t xml:space="preserve">O</t>
  </si>
  <si>
    <t xml:space="preserve">=</t>
  </si>
  <si>
    <t xml:space="preserve">FACTSAGE INPUT</t>
  </si>
  <si>
    <t xml:space="preserve">mol</t>
  </si>
  <si>
    <t xml:space="preserve">gas_ideal</t>
  </si>
  <si>
    <t xml:space="preserve">T</t>
  </si>
  <si>
    <t xml:space="preserve">R</t>
  </si>
  <si>
    <t xml:space="preserve">(1200</t>
  </si>
  <si>
    <t xml:space="preserve">C</t>
  </si>
  <si>
    <t xml:space="preserve">atm</t>
  </si>
  <si>
    <t xml:space="preserve">a=6.2499E-06)</t>
  </si>
  <si>
    <t xml:space="preserve">(</t>
  </si>
  <si>
    <t xml:space="preserve">O2</t>
  </si>
  <si>
    <t xml:space="preserve">Pair proportions (X_ij)</t>
  </si>
  <si>
    <t xml:space="preserve">Fe </t>
  </si>
  <si>
    <t xml:space="preserve">O </t>
  </si>
  <si>
    <t xml:space="preserve">FeIII</t>
  </si>
  <si>
    <t xml:space="preserve">FeO</t>
  </si>
  <si>
    <t xml:space="preserve">Total pairs</t>
  </si>
  <si>
    <t xml:space="preserve">O3)</t>
  </si>
  <si>
    <t xml:space="preserve">Liq(Matte/Metal)</t>
  </si>
  <si>
    <t xml:space="preserve">Zij</t>
  </si>
  <si>
    <t xml:space="preserve">ksi_ij</t>
  </si>
  <si>
    <t xml:space="preserve">(33.133</t>
  </si>
  <si>
    <t xml:space="preserve">gram</t>
  </si>
  <si>
    <t xml:space="preserve">mol)</t>
  </si>
  <si>
    <t xml:space="preserve">m n→ </t>
  </si>
  <si>
    <t xml:space="preserve">1 2 → </t>
  </si>
  <si>
    <t xml:space="preserve">a=1.0000)</t>
  </si>
  <si>
    <t xml:space="preserve">Fe3+)</t>
  </si>
  <si>
    <t xml:space="preserve">Number of pairs (n_ij)</t>
  </si>
  <si>
    <t xml:space="preserve">chi_ij</t>
  </si>
  <si>
    <t xml:space="preserve">Mole</t>
  </si>
  <si>
    <t xml:space="preserve">fraction</t>
  </si>
  <si>
    <t xml:space="preserve">of</t>
  </si>
  <si>
    <t xml:space="preserve">quadruplets:</t>
  </si>
  <si>
    <t xml:space="preserve">Fe-Fe-Va-Va</t>
  </si>
  <si>
    <t xml:space="preserve">O-O-Va-Va</t>
  </si>
  <si>
    <t xml:space="preserve">Fe3+-Fe3+-Va-Va</t>
  </si>
  <si>
    <t xml:space="preserve">GOOD</t>
  </si>
  <si>
    <t xml:space="preserve">Fe-O-Va-Va</t>
  </si>
  <si>
    <t xml:space="preserve">Fe-Fe3+-Va-Va</t>
  </si>
  <si>
    <t xml:space="preserve">FeII</t>
  </si>
  <si>
    <t xml:space="preserve">Total</t>
  </si>
  <si>
    <t xml:space="preserve">O-Fe3+-Va-Va</t>
  </si>
  <si>
    <t xml:space="preserve">n_i</t>
  </si>
  <si>
    <t xml:space="preserve">Composition</t>
  </si>
  <si>
    <t xml:space="preserve">amount/mol</t>
  </si>
  <si>
    <t xml:space="preserve">X_i </t>
  </si>
  <si>
    <t xml:space="preserve">Y_i</t>
  </si>
  <si>
    <t xml:space="preserve">System</t>
  </si>
  <si>
    <t xml:space="preserve">component</t>
  </si>
  <si>
    <t xml:space="preserve">Amount/mol</t>
  </si>
  <si>
    <t xml:space="preserve">Amount/gram</t>
  </si>
  <si>
    <t xml:space="preserve">Mass</t>
  </si>
  <si>
    <t xml:space="preserve">DeltaG^0_ij</t>
  </si>
  <si>
    <t xml:space="preserve">Cut-off</t>
  </si>
  <si>
    <t xml:space="preserve">limit</t>
  </si>
  <si>
    <t xml:space="preserve">for</t>
  </si>
  <si>
    <t xml:space="preserve">gaseous</t>
  </si>
  <si>
    <t xml:space="preserve">fractions/phase</t>
  </si>
  <si>
    <t xml:space="preserve">activities</t>
  </si>
  <si>
    <t xml:space="preserve">********************************************************************</t>
  </si>
  <si>
    <t xml:space="preserve">H</t>
  </si>
  <si>
    <t xml:space="preserve">G</t>
  </si>
  <si>
    <t xml:space="preserve">V</t>
  </si>
  <si>
    <t xml:space="preserve">S</t>
  </si>
  <si>
    <t xml:space="preserve">Cp</t>
  </si>
  <si>
    <t xml:space="preserve">(J)</t>
  </si>
  <si>
    <t xml:space="preserve">(litre)</t>
  </si>
  <si>
    <t xml:space="preserve">(J/K)</t>
  </si>
  <si>
    <t xml:space="preserve">DeltaG^1_ij </t>
  </si>
  <si>
    <t xml:space="preserve">Gexcess_ij</t>
  </si>
  <si>
    <t xml:space="preserve">dT</t>
  </si>
  <si>
    <t xml:space="preserve">G0</t>
  </si>
  <si>
    <t xml:space="preserve">← these numbers valid only between 298 and 1811 K </t>
  </si>
  <si>
    <t xml:space="preserve">ideal</t>
  </si>
  <si>
    <t xml:space="preserve">ii pairs</t>
  </si>
  <si>
    <t xml:space="preserve">ij pairs</t>
  </si>
  <si>
    <t xml:space="preserve">Total Sconf</t>
  </si>
  <si>
    <t xml:space="preserve">Sconf</t>
  </si>
  <si>
    <t xml:space="preserve">Smech</t>
  </si>
  <si>
    <t xml:space="preserve">mech</t>
  </si>
  <si>
    <t xml:space="preserve">conf</t>
  </si>
  <si>
    <t xml:space="preserve">excess</t>
  </si>
  <si>
    <t xml:space="preserve">Gibbs</t>
  </si>
  <si>
    <t xml:space="preserve">J/mol</t>
  </si>
  <si>
    <t xml:space="preserve">FACTSAGE output</t>
  </si>
  <si>
    <t xml:space="preserve">DIFF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</si>
</sst>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00E+00"/>
    <numFmt numFmtId="167" formatCode="0.0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99FF66"/>
        <bgColor rgb="FF99CC00"/>
      </patternFill>
    </fill>
    <fill>
      <patternFill patternType="solid">
        <fgColor rgb="FFFF9999"/>
        <bgColor rgb="FFFF8080"/>
      </patternFill>
    </fill>
    <fill>
      <patternFill patternType="solid">
        <fgColor rgb="FFFF9900"/>
        <bgColor rgb="FFFFCC00"/>
      </patternFill>
    </fill>
    <fill>
      <patternFill patternType="solid">
        <fgColor rgb="FF83CAFF"/>
        <bgColor rgb="FF66CCFF"/>
      </patternFill>
    </fill>
    <fill>
      <patternFill patternType="solid">
        <fgColor rgb="FF66CCFF"/>
        <bgColor rgb="FF83CAFF"/>
      </patternFill>
    </fill>
    <fill>
      <patternFill patternType="solid">
        <fgColor rgb="FFFF3333"/>
        <bgColor rgb="FFCE181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83CAFF"/>
      <rgbColor rgb="FFFF9999"/>
      <rgbColor rgb="FFCC99FF"/>
      <rgbColor rgb="FFFFCC99"/>
      <rgbColor rgb="FF3366FF"/>
      <rgbColor rgb="FF66CCFF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3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2.png"/><Relationship Id="rId3" Type="http://schemas.openxmlformats.org/officeDocument/2006/relationships/image" Target="../media/image33.png"/><Relationship Id="rId4" Type="http://schemas.openxmlformats.org/officeDocument/2006/relationships/image" Target="../media/image34.png"/><Relationship Id="rId5" Type="http://schemas.openxmlformats.org/officeDocument/2006/relationships/image" Target="../media/image35.png"/><Relationship Id="rId6" Type="http://schemas.openxmlformats.org/officeDocument/2006/relationships/image" Target="../media/image36.png"/><Relationship Id="rId7" Type="http://schemas.openxmlformats.org/officeDocument/2006/relationships/image" Target="../media/image37.png"/><Relationship Id="rId8" Type="http://schemas.openxmlformats.org/officeDocument/2006/relationships/image" Target="../media/image38.png"/><Relationship Id="rId9" Type="http://schemas.openxmlformats.org/officeDocument/2006/relationships/image" Target="../media/image39.png"/><Relationship Id="rId10" Type="http://schemas.openxmlformats.org/officeDocument/2006/relationships/image" Target="../media/image40.png"/><Relationship Id="rId11" Type="http://schemas.openxmlformats.org/officeDocument/2006/relationships/image" Target="../media/image4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89280</xdr:colOff>
      <xdr:row>37</xdr:row>
      <xdr:rowOff>97920</xdr:rowOff>
    </xdr:from>
    <xdr:to>
      <xdr:col>9</xdr:col>
      <xdr:colOff>559080</xdr:colOff>
      <xdr:row>43</xdr:row>
      <xdr:rowOff>90720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525120" y="6597720"/>
          <a:ext cx="3700080" cy="1044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200520</xdr:colOff>
      <xdr:row>31</xdr:row>
      <xdr:rowOff>19440</xdr:rowOff>
    </xdr:from>
    <xdr:to>
      <xdr:col>7</xdr:col>
      <xdr:colOff>265680</xdr:colOff>
      <xdr:row>36</xdr:row>
      <xdr:rowOff>116280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3636360" y="5467680"/>
          <a:ext cx="2072520" cy="973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316440</xdr:colOff>
      <xdr:row>0</xdr:row>
      <xdr:rowOff>66600</xdr:rowOff>
    </xdr:from>
    <xdr:to>
      <xdr:col>8</xdr:col>
      <xdr:colOff>484560</xdr:colOff>
      <xdr:row>18</xdr:row>
      <xdr:rowOff>144360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1539360" y="66600"/>
          <a:ext cx="3837240" cy="300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533160</xdr:colOff>
      <xdr:row>0</xdr:row>
      <xdr:rowOff>72000</xdr:rowOff>
    </xdr:from>
    <xdr:to>
      <xdr:col>15</xdr:col>
      <xdr:colOff>114480</xdr:colOff>
      <xdr:row>18</xdr:row>
      <xdr:rowOff>151920</xdr:rowOff>
    </xdr:to>
    <xdr:pic>
      <xdr:nvPicPr>
        <xdr:cNvPr id="3" name="Picture 2" descr=""/>
        <xdr:cNvPicPr/>
      </xdr:nvPicPr>
      <xdr:blipFill>
        <a:blip r:embed="rId2"/>
        <a:stretch/>
      </xdr:blipFill>
      <xdr:spPr>
        <a:xfrm>
          <a:off x="5425200" y="72000"/>
          <a:ext cx="3861720" cy="300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93240</xdr:rowOff>
    </xdr:from>
    <xdr:to>
      <xdr:col>6</xdr:col>
      <xdr:colOff>432360</xdr:colOff>
      <xdr:row>38</xdr:row>
      <xdr:rowOff>50400</xdr:rowOff>
    </xdr:to>
    <xdr:pic>
      <xdr:nvPicPr>
        <xdr:cNvPr id="4" name="Picture 4" descr=""/>
        <xdr:cNvPicPr/>
      </xdr:nvPicPr>
      <xdr:blipFill>
        <a:blip r:embed="rId3"/>
        <a:stretch/>
      </xdr:blipFill>
      <xdr:spPr>
        <a:xfrm>
          <a:off x="0" y="3181680"/>
          <a:ext cx="4101120" cy="3045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360</xdr:rowOff>
    </xdr:from>
    <xdr:to>
      <xdr:col>6</xdr:col>
      <xdr:colOff>470880</xdr:colOff>
      <xdr:row>56</xdr:row>
      <xdr:rowOff>106200</xdr:rowOff>
    </xdr:to>
    <xdr:pic>
      <xdr:nvPicPr>
        <xdr:cNvPr id="5" name="Picture 5" descr=""/>
        <xdr:cNvPicPr/>
      </xdr:nvPicPr>
      <xdr:blipFill>
        <a:blip r:embed="rId4"/>
        <a:stretch/>
      </xdr:blipFill>
      <xdr:spPr>
        <a:xfrm>
          <a:off x="0" y="6177600"/>
          <a:ext cx="4139640" cy="303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141120</xdr:rowOff>
    </xdr:from>
    <xdr:to>
      <xdr:col>6</xdr:col>
      <xdr:colOff>441720</xdr:colOff>
      <xdr:row>75</xdr:row>
      <xdr:rowOff>136080</xdr:rowOff>
    </xdr:to>
    <xdr:pic>
      <xdr:nvPicPr>
        <xdr:cNvPr id="6" name="Picture 6" descr=""/>
        <xdr:cNvPicPr/>
      </xdr:nvPicPr>
      <xdr:blipFill>
        <a:blip r:embed="rId5"/>
        <a:stretch/>
      </xdr:blipFill>
      <xdr:spPr>
        <a:xfrm>
          <a:off x="0" y="9244440"/>
          <a:ext cx="4110480" cy="308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452880</xdr:colOff>
      <xdr:row>19</xdr:row>
      <xdr:rowOff>57240</xdr:rowOff>
    </xdr:from>
    <xdr:to>
      <xdr:col>13</xdr:col>
      <xdr:colOff>62640</xdr:colOff>
      <xdr:row>38</xdr:row>
      <xdr:rowOff>47880</xdr:rowOff>
    </xdr:to>
    <xdr:pic>
      <xdr:nvPicPr>
        <xdr:cNvPr id="7" name="Picture 7" descr=""/>
        <xdr:cNvPicPr/>
      </xdr:nvPicPr>
      <xdr:blipFill>
        <a:blip r:embed="rId6"/>
        <a:stretch/>
      </xdr:blipFill>
      <xdr:spPr>
        <a:xfrm>
          <a:off x="4121640" y="3145680"/>
          <a:ext cx="3890520" cy="307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485640</xdr:colOff>
      <xdr:row>38</xdr:row>
      <xdr:rowOff>83520</xdr:rowOff>
    </xdr:from>
    <xdr:to>
      <xdr:col>13</xdr:col>
      <xdr:colOff>86040</xdr:colOff>
      <xdr:row>57</xdr:row>
      <xdr:rowOff>45000</xdr:rowOff>
    </xdr:to>
    <xdr:pic>
      <xdr:nvPicPr>
        <xdr:cNvPr id="8" name="Picture 8" descr=""/>
        <xdr:cNvPicPr/>
      </xdr:nvPicPr>
      <xdr:blipFill>
        <a:blip r:embed="rId7"/>
        <a:stretch/>
      </xdr:blipFill>
      <xdr:spPr>
        <a:xfrm>
          <a:off x="4154400" y="6260760"/>
          <a:ext cx="3881160" cy="304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495000</xdr:colOff>
      <xdr:row>57</xdr:row>
      <xdr:rowOff>52920</xdr:rowOff>
    </xdr:from>
    <xdr:to>
      <xdr:col>13</xdr:col>
      <xdr:colOff>66600</xdr:colOff>
      <xdr:row>75</xdr:row>
      <xdr:rowOff>62640</xdr:rowOff>
    </xdr:to>
    <xdr:pic>
      <xdr:nvPicPr>
        <xdr:cNvPr id="9" name="Picture 9" descr=""/>
        <xdr:cNvPicPr/>
      </xdr:nvPicPr>
      <xdr:blipFill>
        <a:blip r:embed="rId8"/>
        <a:stretch/>
      </xdr:blipFill>
      <xdr:spPr>
        <a:xfrm>
          <a:off x="4163760" y="9318600"/>
          <a:ext cx="3852360" cy="293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460800</xdr:colOff>
      <xdr:row>77</xdr:row>
      <xdr:rowOff>23760</xdr:rowOff>
    </xdr:from>
    <xdr:to>
      <xdr:col>9</xdr:col>
      <xdr:colOff>70560</xdr:colOff>
      <xdr:row>94</xdr:row>
      <xdr:rowOff>117360</xdr:rowOff>
    </xdr:to>
    <xdr:pic>
      <xdr:nvPicPr>
        <xdr:cNvPr id="10" name="Picture 10" descr=""/>
        <xdr:cNvPicPr/>
      </xdr:nvPicPr>
      <xdr:blipFill>
        <a:blip r:embed="rId9"/>
        <a:stretch/>
      </xdr:blipFill>
      <xdr:spPr>
        <a:xfrm>
          <a:off x="1683720" y="12540600"/>
          <a:ext cx="3890160" cy="2857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86760</xdr:colOff>
      <xdr:row>77</xdr:row>
      <xdr:rowOff>17640</xdr:rowOff>
    </xdr:from>
    <xdr:to>
      <xdr:col>15</xdr:col>
      <xdr:colOff>544680</xdr:colOff>
      <xdr:row>94</xdr:row>
      <xdr:rowOff>123120</xdr:rowOff>
    </xdr:to>
    <xdr:pic>
      <xdr:nvPicPr>
        <xdr:cNvPr id="11" name="Picture 11" descr=""/>
        <xdr:cNvPicPr/>
      </xdr:nvPicPr>
      <xdr:blipFill>
        <a:blip r:embed="rId10"/>
        <a:stretch/>
      </xdr:blipFill>
      <xdr:spPr>
        <a:xfrm>
          <a:off x="5590080" y="12534480"/>
          <a:ext cx="4127040" cy="286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63720</xdr:colOff>
      <xdr:row>20</xdr:row>
      <xdr:rowOff>18000</xdr:rowOff>
    </xdr:from>
    <xdr:to>
      <xdr:col>19</xdr:col>
      <xdr:colOff>610200</xdr:colOff>
      <xdr:row>38</xdr:row>
      <xdr:rowOff>59040</xdr:rowOff>
    </xdr:to>
    <xdr:pic>
      <xdr:nvPicPr>
        <xdr:cNvPr id="12" name="Picture 12" descr=""/>
        <xdr:cNvPicPr/>
      </xdr:nvPicPr>
      <xdr:blipFill>
        <a:blip r:embed="rId11"/>
        <a:stretch/>
      </xdr:blipFill>
      <xdr:spPr>
        <a:xfrm>
          <a:off x="8013240" y="3269160"/>
          <a:ext cx="4215240" cy="2967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7" activeCellId="0" sqref="D47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31"/>
    <col collapsed="false" customWidth="true" hidden="false" outlineLevel="0" max="3" min="3" style="0" width="12.37"/>
    <col collapsed="false" customWidth="true" hidden="false" outlineLevel="0" max="4" min="4" style="0" width="13.35"/>
    <col collapsed="false" customWidth="true" hidden="false" outlineLevel="0" max="5" min="5" style="0" width="8.67"/>
    <col collapsed="false" customWidth="true" hidden="false" outlineLevel="0" max="6" min="6" style="0" width="11.11"/>
    <col collapsed="false" customWidth="true" hidden="false" outlineLevel="0" max="12" min="7" style="0" width="8.67"/>
    <col collapsed="false" customWidth="true" hidden="false" outlineLevel="0" max="13" min="13" style="0" width="13.06"/>
    <col collapsed="false" customWidth="true" hidden="false" outlineLevel="0" max="14" min="14" style="0" width="16.53"/>
    <col collapsed="false" customWidth="true" hidden="false" outlineLevel="0" max="15" min="15" style="0" width="8.67"/>
    <col collapsed="false" customWidth="true" hidden="false" outlineLevel="0" max="16" min="16" style="0" width="16.26"/>
    <col collapsed="false" customWidth="true" hidden="false" outlineLevel="0" max="1025" min="17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8" hidden="false" customHeight="false" outlineLevel="0" collapsed="false">
      <c r="A2" s="1" t="s">
        <v>1</v>
      </c>
      <c r="B2" s="1"/>
      <c r="C2" s="1"/>
      <c r="D2" s="1"/>
      <c r="E2" s="1"/>
      <c r="F2" s="1"/>
      <c r="L2" s="2" t="n">
        <v>0.43</v>
      </c>
      <c r="M2" s="2" t="s">
        <v>2</v>
      </c>
      <c r="N2" s="2" t="s">
        <v>3</v>
      </c>
      <c r="O2" s="2" t="n">
        <v>0.57</v>
      </c>
      <c r="P2" s="2" t="s">
        <v>4</v>
      </c>
      <c r="Q2" s="2" t="s">
        <v>5</v>
      </c>
      <c r="R2" s="2"/>
      <c r="S2" s="2"/>
      <c r="T2" s="2"/>
    </row>
    <row r="3" customFormat="false" ht="13.8" hidden="false" customHeight="false" outlineLevel="0" collapsed="false">
      <c r="L3" s="2"/>
      <c r="M3" s="2"/>
      <c r="N3" s="2"/>
      <c r="O3" s="2"/>
      <c r="P3" s="2"/>
      <c r="Q3" s="2"/>
      <c r="R3" s="2"/>
      <c r="S3" s="2"/>
      <c r="T3" s="2"/>
    </row>
    <row r="4" customFormat="false" ht="13.8" hidden="false" customHeight="false" outlineLevel="0" collapsed="false">
      <c r="A4" s="1" t="s">
        <v>6</v>
      </c>
      <c r="B4" s="1"/>
      <c r="C4" s="1"/>
      <c r="D4" s="1"/>
      <c r="E4" s="1"/>
      <c r="F4" s="1"/>
      <c r="L4" s="2"/>
      <c r="M4" s="2" t="n">
        <v>0</v>
      </c>
      <c r="N4" s="2" t="s">
        <v>7</v>
      </c>
      <c r="O4" s="2" t="s">
        <v>8</v>
      </c>
      <c r="P4" s="2"/>
      <c r="Q4" s="2"/>
      <c r="R4" s="2"/>
      <c r="S4" s="2"/>
      <c r="T4" s="2"/>
    </row>
    <row r="5" customFormat="false" ht="13.8" hidden="false" customHeight="false" outlineLevel="0" collapsed="false">
      <c r="A5" s="1" t="s">
        <v>9</v>
      </c>
      <c r="B5" s="1" t="n">
        <f aca="false">1473.15</f>
        <v>1473.15</v>
      </c>
      <c r="C5" s="1"/>
      <c r="D5" s="1" t="s">
        <v>10</v>
      </c>
      <c r="E5" s="1" t="n">
        <v>8.31446</v>
      </c>
      <c r="F5" s="1"/>
      <c r="L5" s="2"/>
      <c r="M5" s="2" t="s">
        <v>11</v>
      </c>
      <c r="N5" s="2" t="s">
        <v>12</v>
      </c>
      <c r="O5" s="2" t="n">
        <v>1</v>
      </c>
      <c r="P5" s="2" t="s">
        <v>13</v>
      </c>
      <c r="Q5" s="2" t="s">
        <v>14</v>
      </c>
      <c r="R5" s="2"/>
      <c r="S5" s="2"/>
      <c r="T5" s="2"/>
    </row>
    <row r="6" customFormat="false" ht="13.8" hidden="false" customHeight="false" outlineLevel="0" collapsed="false">
      <c r="A6" s="1"/>
      <c r="B6" s="1"/>
      <c r="C6" s="1"/>
      <c r="D6" s="1"/>
      <c r="E6" s="1"/>
      <c r="F6" s="1"/>
      <c r="L6" s="2"/>
      <c r="M6" s="2" t="s">
        <v>15</v>
      </c>
      <c r="N6" s="3" t="n">
        <v>6.2429E-006</v>
      </c>
      <c r="O6" s="2" t="s">
        <v>16</v>
      </c>
      <c r="P6" s="2"/>
      <c r="Q6" s="2"/>
      <c r="R6" s="2"/>
      <c r="S6" s="2"/>
      <c r="T6" s="2"/>
    </row>
    <row r="7" customFormat="false" ht="13.8" hidden="false" customHeight="false" outlineLevel="0" collapsed="false">
      <c r="A7" s="1" t="s">
        <v>17</v>
      </c>
      <c r="B7" s="1"/>
      <c r="C7" s="1"/>
      <c r="D7" s="1"/>
      <c r="E7" s="1"/>
      <c r="F7" s="1"/>
      <c r="G7" s="4"/>
      <c r="L7" s="2"/>
      <c r="M7" s="2" t="s">
        <v>3</v>
      </c>
      <c r="N7" s="3" t="n">
        <v>6.9448E-009</v>
      </c>
      <c r="O7" s="2" t="s">
        <v>4</v>
      </c>
      <c r="P7" s="2"/>
      <c r="Q7" s="2"/>
      <c r="R7" s="2"/>
      <c r="S7" s="2"/>
      <c r="T7" s="2"/>
    </row>
    <row r="8" customFormat="false" ht="13.8" hidden="false" customHeight="false" outlineLevel="0" collapsed="false">
      <c r="A8" s="1"/>
      <c r="B8" s="1" t="s">
        <v>18</v>
      </c>
      <c r="C8" s="1" t="s">
        <v>19</v>
      </c>
      <c r="D8" s="1" t="s">
        <v>20</v>
      </c>
      <c r="E8" s="1"/>
      <c r="F8" s="1"/>
      <c r="L8" s="2"/>
      <c r="M8" s="2" t="s">
        <v>3</v>
      </c>
      <c r="N8" s="3" t="n">
        <v>8.4898E-011</v>
      </c>
      <c r="O8" s="2" t="s">
        <v>21</v>
      </c>
      <c r="P8" s="2"/>
      <c r="Q8" s="2"/>
      <c r="R8" s="2"/>
      <c r="S8" s="2"/>
      <c r="T8" s="2"/>
    </row>
    <row r="9" customFormat="false" ht="13.8" hidden="false" customHeight="false" outlineLevel="0" collapsed="false">
      <c r="A9" s="1" t="s">
        <v>2</v>
      </c>
      <c r="B9" s="5" t="n">
        <f aca="false">N20</f>
        <v>0.00091326</v>
      </c>
      <c r="C9" s="5" t="n">
        <f aca="false">N23</f>
        <v>0.25235</v>
      </c>
      <c r="D9" s="6" t="n">
        <f aca="false">N24</f>
        <v>0.00012217</v>
      </c>
      <c r="E9" s="1"/>
      <c r="F9" s="1"/>
      <c r="L9" s="2"/>
      <c r="M9" s="2" t="s">
        <v>3</v>
      </c>
      <c r="N9" s="3" t="n">
        <v>1.3857E-011</v>
      </c>
      <c r="O9" s="2" t="s">
        <v>2</v>
      </c>
      <c r="P9" s="2"/>
      <c r="Q9" s="2"/>
      <c r="R9" s="2"/>
      <c r="S9" s="2"/>
      <c r="T9" s="2"/>
    </row>
    <row r="10" customFormat="false" ht="13.8" hidden="false" customHeight="false" outlineLevel="0" collapsed="false">
      <c r="A10" s="1" t="s">
        <v>4</v>
      </c>
      <c r="B10" s="5" t="n">
        <v>0</v>
      </c>
      <c r="C10" s="6" t="n">
        <f aca="false">N21</f>
        <v>8.7636E-005</v>
      </c>
      <c r="D10" s="6" t="n">
        <f aca="false">N25</f>
        <v>0.74274</v>
      </c>
      <c r="E10" s="1"/>
      <c r="F10" s="1" t="s">
        <v>22</v>
      </c>
      <c r="L10" s="2"/>
      <c r="M10" s="2" t="s">
        <v>3</v>
      </c>
      <c r="N10" s="3" t="n">
        <v>3.5553E-017</v>
      </c>
      <c r="O10" s="2" t="s">
        <v>23</v>
      </c>
      <c r="P10" s="2"/>
      <c r="Q10" s="2"/>
      <c r="R10" s="2"/>
      <c r="S10" s="2"/>
      <c r="T10" s="2"/>
    </row>
    <row r="11" customFormat="false" ht="13.8" hidden="false" customHeight="false" outlineLevel="0" collapsed="false">
      <c r="A11" s="1" t="s">
        <v>20</v>
      </c>
      <c r="B11" s="5" t="n">
        <v>0</v>
      </c>
      <c r="C11" s="5" t="n">
        <v>0</v>
      </c>
      <c r="D11" s="6" t="n">
        <f aca="false">N22</f>
        <v>0.0037874</v>
      </c>
      <c r="E11" s="1"/>
      <c r="F11" s="1" t="n">
        <f aca="false">O26</f>
        <v>1.1456</v>
      </c>
      <c r="H11" s="4"/>
      <c r="L11" s="2"/>
      <c r="M11" s="2"/>
      <c r="N11" s="2"/>
      <c r="O11" s="2"/>
      <c r="P11" s="2"/>
      <c r="Q11" s="3"/>
      <c r="R11" s="2"/>
      <c r="S11" s="2"/>
      <c r="T11" s="2"/>
    </row>
    <row r="12" customFormat="false" ht="13.8" hidden="false" customHeight="false" outlineLevel="0" collapsed="false">
      <c r="L12" s="2"/>
      <c r="M12" s="2" t="s">
        <v>3</v>
      </c>
      <c r="N12" s="2" t="n">
        <v>1</v>
      </c>
      <c r="O12" s="2" t="s">
        <v>7</v>
      </c>
      <c r="P12" s="2" t="s">
        <v>24</v>
      </c>
      <c r="Q12" s="2"/>
      <c r="R12" s="2"/>
      <c r="S12" s="2"/>
      <c r="T12" s="2"/>
    </row>
    <row r="13" customFormat="false" ht="13.8" hidden="false" customHeight="false" outlineLevel="0" collapsed="false">
      <c r="A13" s="1" t="s">
        <v>25</v>
      </c>
      <c r="B13" s="1"/>
      <c r="C13" s="1"/>
      <c r="D13" s="1"/>
      <c r="F13" s="7" t="s">
        <v>26</v>
      </c>
      <c r="G13" s="7"/>
      <c r="H13" s="7"/>
      <c r="I13" s="7"/>
      <c r="J13" s="7"/>
      <c r="L13" s="2"/>
      <c r="M13" s="2" t="s">
        <v>27</v>
      </c>
      <c r="N13" s="2" t="s">
        <v>28</v>
      </c>
      <c r="O13" s="2" t="n">
        <v>1</v>
      </c>
      <c r="P13" s="2" t="s">
        <v>29</v>
      </c>
      <c r="Q13" s="2"/>
      <c r="R13" s="2"/>
      <c r="S13" s="2"/>
      <c r="T13" s="2"/>
    </row>
    <row r="14" customFormat="false" ht="13.8" hidden="false" customHeight="false" outlineLevel="0" collapsed="false">
      <c r="A14" s="1" t="s">
        <v>30</v>
      </c>
      <c r="B14" s="1" t="s">
        <v>18</v>
      </c>
      <c r="C14" s="1" t="s">
        <v>19</v>
      </c>
      <c r="D14" s="1" t="s">
        <v>20</v>
      </c>
      <c r="G14" s="0" t="s">
        <v>31</v>
      </c>
      <c r="H14" s="0" t="s">
        <v>18</v>
      </c>
      <c r="I14" s="0" t="s">
        <v>19</v>
      </c>
      <c r="J14" s="0" t="s">
        <v>20</v>
      </c>
      <c r="L14" s="2"/>
      <c r="M14" s="2" t="s">
        <v>11</v>
      </c>
      <c r="N14" s="2" t="s">
        <v>12</v>
      </c>
      <c r="O14" s="2" t="n">
        <v>1</v>
      </c>
      <c r="P14" s="2" t="s">
        <v>13</v>
      </c>
      <c r="Q14" s="2" t="s">
        <v>32</v>
      </c>
      <c r="R14" s="3"/>
      <c r="S14" s="2"/>
      <c r="T14" s="2"/>
    </row>
    <row r="15" customFormat="false" ht="13.8" hidden="false" customHeight="false" outlineLevel="0" collapsed="false">
      <c r="A15" s="1" t="s">
        <v>2</v>
      </c>
      <c r="B15" s="1" t="n">
        <v>6</v>
      </c>
      <c r="C15" s="1" t="n">
        <v>2</v>
      </c>
      <c r="D15" s="1" t="n">
        <v>6</v>
      </c>
      <c r="G15" s="0" t="s">
        <v>2</v>
      </c>
      <c r="H15" s="0" t="n">
        <v>0</v>
      </c>
      <c r="I15" s="0" t="n">
        <f aca="false">Y_Fe + Y_Fe3</f>
        <v>0.50236783</v>
      </c>
      <c r="J15" s="0" t="n">
        <f aca="false">Y_Fe</f>
        <v>0.127149345</v>
      </c>
      <c r="L15" s="2"/>
      <c r="M15" s="2" t="s">
        <v>15</v>
      </c>
      <c r="N15" s="2" t="n">
        <v>0.14491</v>
      </c>
      <c r="O15" s="2" t="s">
        <v>2</v>
      </c>
      <c r="P15" s="2"/>
      <c r="Q15" s="2"/>
      <c r="R15" s="3"/>
      <c r="S15" s="2"/>
      <c r="T15" s="2"/>
    </row>
    <row r="16" customFormat="false" ht="13.8" hidden="false" customHeight="false" outlineLevel="0" collapsed="false">
      <c r="A16" s="1" t="s">
        <v>4</v>
      </c>
      <c r="B16" s="1" t="n">
        <v>2</v>
      </c>
      <c r="C16" s="1" t="n">
        <v>6</v>
      </c>
      <c r="D16" s="1" t="n">
        <v>2</v>
      </c>
      <c r="G16" s="0" t="s">
        <v>4</v>
      </c>
      <c r="H16" s="4" t="n">
        <f aca="false">Y_O</f>
        <v>0.497632636</v>
      </c>
      <c r="I16" s="0" t="n">
        <v>0</v>
      </c>
      <c r="J16" s="0" t="n">
        <f aca="false">Y_O</f>
        <v>0.497632636</v>
      </c>
      <c r="L16" s="2"/>
      <c r="M16" s="2" t="s">
        <v>3</v>
      </c>
      <c r="N16" s="2" t="n">
        <v>0.57</v>
      </c>
      <c r="O16" s="2" t="s">
        <v>4</v>
      </c>
      <c r="P16" s="2"/>
      <c r="Q16" s="2"/>
      <c r="R16" s="2"/>
      <c r="S16" s="2"/>
      <c r="T16" s="2"/>
    </row>
    <row r="17" customFormat="false" ht="13.8" hidden="false" customHeight="false" outlineLevel="0" collapsed="false">
      <c r="A17" s="1" t="s">
        <v>20</v>
      </c>
      <c r="B17" s="1" t="n">
        <v>6</v>
      </c>
      <c r="C17" s="1" t="n">
        <v>3</v>
      </c>
      <c r="D17" s="1" t="n">
        <v>6</v>
      </c>
      <c r="G17" s="0" t="s">
        <v>20</v>
      </c>
      <c r="H17" s="0" t="n">
        <f aca="false">Y_Fe3</f>
        <v>0.375218485</v>
      </c>
      <c r="I17" s="0" t="n">
        <f aca="false">Y_Fe3 + Y_Fe</f>
        <v>0.50236783</v>
      </c>
      <c r="J17" s="0" t="n">
        <v>0</v>
      </c>
      <c r="L17" s="2"/>
      <c r="M17" s="2" t="s">
        <v>3</v>
      </c>
      <c r="N17" s="2" t="n">
        <v>0.28509</v>
      </c>
      <c r="O17" s="2" t="s">
        <v>33</v>
      </c>
      <c r="P17" s="2"/>
      <c r="Q17" s="2"/>
      <c r="R17" s="3"/>
      <c r="S17" s="2"/>
      <c r="T17" s="2"/>
    </row>
    <row r="18" customFormat="false" ht="13.8" hidden="false" customHeight="false" outlineLevel="0" collapsed="false">
      <c r="L18" s="2"/>
      <c r="M18" s="2"/>
      <c r="N18" s="2"/>
      <c r="O18" s="2"/>
      <c r="P18" s="2"/>
      <c r="Q18" s="2"/>
      <c r="R18" s="3"/>
      <c r="S18" s="2"/>
      <c r="T18" s="2"/>
    </row>
    <row r="19" customFormat="false" ht="13.8" hidden="false" customHeight="false" outlineLevel="0" collapsed="false">
      <c r="A19" s="7" t="s">
        <v>34</v>
      </c>
      <c r="B19" s="7"/>
      <c r="C19" s="7"/>
      <c r="D19" s="7"/>
      <c r="F19" s="7" t="s">
        <v>35</v>
      </c>
      <c r="G19" s="7"/>
      <c r="H19" s="7"/>
      <c r="I19" s="7"/>
      <c r="J19" s="7"/>
      <c r="L19" s="2"/>
      <c r="M19" s="2" t="s">
        <v>36</v>
      </c>
      <c r="N19" s="2" t="s">
        <v>37</v>
      </c>
      <c r="O19" s="2" t="s">
        <v>38</v>
      </c>
      <c r="P19" s="2" t="s">
        <v>39</v>
      </c>
      <c r="Q19" s="2"/>
      <c r="R19" s="2"/>
      <c r="S19" s="2"/>
      <c r="T19" s="2"/>
    </row>
    <row r="20" customFormat="false" ht="13.8" hidden="false" customHeight="false" outlineLevel="0" collapsed="false">
      <c r="B20" s="0" t="s">
        <v>18</v>
      </c>
      <c r="C20" s="0" t="s">
        <v>19</v>
      </c>
      <c r="D20" s="0" t="s">
        <v>20</v>
      </c>
      <c r="G20" s="0" t="s">
        <v>31</v>
      </c>
      <c r="H20" s="0" t="s">
        <v>18</v>
      </c>
      <c r="I20" s="0" t="s">
        <v>19</v>
      </c>
      <c r="J20" s="0" t="s">
        <v>20</v>
      </c>
      <c r="L20" s="2"/>
      <c r="M20" s="2" t="s">
        <v>40</v>
      </c>
      <c r="N20" s="3" t="n">
        <v>0.00091326</v>
      </c>
      <c r="O20" s="2"/>
      <c r="P20" s="2"/>
      <c r="Q20" s="2"/>
      <c r="R20" s="2"/>
      <c r="S20" s="2"/>
      <c r="T20" s="2"/>
    </row>
    <row r="21" customFormat="false" ht="13.8" hidden="false" customHeight="false" outlineLevel="0" collapsed="false">
      <c r="A21" s="0" t="s">
        <v>2</v>
      </c>
      <c r="B21" s="0" t="n">
        <f aca="false">X_FeFe*n_pairs</f>
        <v>0.001046230656</v>
      </c>
      <c r="C21" s="0" t="n">
        <f aca="false">X_FeO*n_pairs</f>
        <v>0.28909216</v>
      </c>
      <c r="D21" s="0" t="n">
        <f aca="false">X_FeFe3*n_pairs</f>
        <v>0.000139957952</v>
      </c>
      <c r="G21" s="0" t="s">
        <v>2</v>
      </c>
      <c r="H21" s="0" t="n">
        <v>0</v>
      </c>
      <c r="I21" s="0" t="n">
        <f aca="false">(X_FeFe + X_FeFe3 + X_Fe3Fe3)</f>
        <v>0.00482283</v>
      </c>
      <c r="J21" s="0" t="n">
        <f aca="false">X_FeFe/(X_FeFe + X_Fe3Fe3 + X_FeFe3)</f>
        <v>0.189361847711821</v>
      </c>
      <c r="L21" s="2"/>
      <c r="M21" s="2" t="s">
        <v>41</v>
      </c>
      <c r="N21" s="3" t="n">
        <v>8.7636E-005</v>
      </c>
      <c r="O21" s="2"/>
      <c r="P21" s="2"/>
      <c r="Q21" s="2"/>
      <c r="R21" s="2"/>
      <c r="S21" s="2"/>
      <c r="T21" s="2"/>
    </row>
    <row r="22" customFormat="false" ht="13.8" hidden="false" customHeight="false" outlineLevel="0" collapsed="false">
      <c r="A22" s="0" t="s">
        <v>4</v>
      </c>
      <c r="C22" s="0" t="n">
        <f aca="false">X_OO*n_pairs</f>
        <v>0.0001003958016</v>
      </c>
      <c r="D22" s="0" t="n">
        <f aca="false">X_OFe3*n_pairs</f>
        <v>0.850882944</v>
      </c>
      <c r="G22" s="0" t="s">
        <v>4</v>
      </c>
      <c r="H22" s="4" t="n">
        <f aca="false">X_OO</f>
        <v>8.7636E-005</v>
      </c>
      <c r="I22" s="0" t="n">
        <v>0</v>
      </c>
      <c r="J22" s="4" t="n">
        <f aca="false">X_OO</f>
        <v>8.7636E-005</v>
      </c>
      <c r="L22" s="2"/>
      <c r="M22" s="2" t="s">
        <v>42</v>
      </c>
      <c r="N22" s="3" t="n">
        <v>0.0037874</v>
      </c>
      <c r="O22" s="2"/>
      <c r="P22" s="2"/>
      <c r="Q22" s="2"/>
      <c r="R22" s="2"/>
      <c r="S22" s="2"/>
      <c r="T22" s="2"/>
    </row>
    <row r="23" customFormat="false" ht="13.8" hidden="false" customHeight="false" outlineLevel="0" collapsed="false">
      <c r="A23" s="0" t="s">
        <v>20</v>
      </c>
      <c r="D23" s="0" t="n">
        <f aca="false">X_Fe3Fe3*n_pairs</f>
        <v>0.00433884544</v>
      </c>
      <c r="E23" s="2" t="n">
        <f aca="false">SUM(B21:D23)</f>
        <v>1.1456005338496</v>
      </c>
      <c r="F23" s="2" t="s">
        <v>43</v>
      </c>
      <c r="G23" s="0" t="s">
        <v>20</v>
      </c>
      <c r="H23" s="0" t="n">
        <f aca="false">X_Fe3Fe3/(X_FeFe + X_Fe3Fe3 + X_FeFe3)</f>
        <v>0.785306552376924</v>
      </c>
      <c r="I23" s="0" t="n">
        <f aca="false">X_Fe3Fe3 + X_FeFe + X_FeFe3</f>
        <v>0.00482283</v>
      </c>
      <c r="J23" s="0" t="n">
        <v>0</v>
      </c>
      <c r="L23" s="2"/>
      <c r="M23" s="2" t="s">
        <v>44</v>
      </c>
      <c r="N23" s="2" t="n">
        <v>0.25235</v>
      </c>
      <c r="O23" s="2"/>
      <c r="P23" s="2"/>
      <c r="Q23" s="2"/>
      <c r="R23" s="2"/>
      <c r="S23" s="2"/>
      <c r="T23" s="2"/>
    </row>
    <row r="24" customFormat="false" ht="13.8" hidden="false" customHeight="false" outlineLevel="0" collapsed="false">
      <c r="L24" s="2"/>
      <c r="M24" s="2" t="s">
        <v>45</v>
      </c>
      <c r="N24" s="3" t="n">
        <v>0.00012217</v>
      </c>
      <c r="O24" s="2"/>
      <c r="P24" s="2"/>
      <c r="Q24" s="2"/>
      <c r="R24" s="2"/>
      <c r="S24" s="2"/>
      <c r="T24" s="2"/>
    </row>
    <row r="25" customFormat="false" ht="13.8" hidden="false" customHeight="false" outlineLevel="0" collapsed="false">
      <c r="B25" s="0" t="s">
        <v>46</v>
      </c>
      <c r="C25" s="0" t="s">
        <v>19</v>
      </c>
      <c r="D25" s="0" t="s">
        <v>20</v>
      </c>
      <c r="E25" s="0" t="s">
        <v>47</v>
      </c>
      <c r="L25" s="2"/>
      <c r="M25" s="2" t="s">
        <v>48</v>
      </c>
      <c r="N25" s="2" t="n">
        <v>0.74274</v>
      </c>
      <c r="O25" s="2"/>
      <c r="P25" s="2"/>
      <c r="Q25" s="2"/>
      <c r="R25" s="2"/>
      <c r="S25" s="2"/>
      <c r="T25" s="2"/>
    </row>
    <row r="26" customFormat="false" ht="13.8" hidden="false" customHeight="false" outlineLevel="0" collapsed="false">
      <c r="A26" s="7" t="s">
        <v>49</v>
      </c>
      <c r="B26" s="2" t="n">
        <f aca="false">2*B21/B15 + C21/C15 + D21/D15</f>
        <v>0.144918149877333</v>
      </c>
      <c r="C26" s="2" t="n">
        <f aca="false">C21/B16 + 2*C22/C16 + D22/D16</f>
        <v>0.5700210172672</v>
      </c>
      <c r="D26" s="2" t="n">
        <f aca="false">D21/B17 +D22/C17 + 2*D23/D17</f>
        <v>0.285097256138667</v>
      </c>
      <c r="E26" s="0" t="n">
        <f aca="false">SUM(B26:D26)</f>
        <v>1.0000364232832</v>
      </c>
      <c r="G26" s="8" t="s">
        <v>50</v>
      </c>
      <c r="H26" s="7"/>
      <c r="L26" s="2"/>
      <c r="M26" s="2" t="s">
        <v>47</v>
      </c>
      <c r="N26" s="2" t="s">
        <v>51</v>
      </c>
      <c r="O26" s="2" t="n">
        <v>1.1456</v>
      </c>
      <c r="P26" s="2"/>
      <c r="Q26" s="2"/>
      <c r="R26" s="2"/>
      <c r="S26" s="2"/>
      <c r="T26" s="2"/>
    </row>
    <row r="27" customFormat="false" ht="13.8" hidden="false" customHeight="false" outlineLevel="0" collapsed="false">
      <c r="A27" s="7" t="s">
        <v>52</v>
      </c>
      <c r="B27" s="0" t="n">
        <f aca="false">n_Fe/n_moles</f>
        <v>0.144912871674769</v>
      </c>
      <c r="C27" s="0" t="n">
        <f aca="false">n_O/n_moles</f>
        <v>0.570000255986452</v>
      </c>
      <c r="D27" s="0" t="n">
        <f aca="false">n_Fe3/n_moles</f>
        <v>0.285086872338779</v>
      </c>
      <c r="E27" s="0" t="n">
        <f aca="false">SUM(B27:D27)</f>
        <v>1</v>
      </c>
      <c r="G27" s="0" t="s">
        <v>2</v>
      </c>
      <c r="H27" s="0" t="s">
        <v>4</v>
      </c>
      <c r="L27" s="2"/>
      <c r="M27" s="2"/>
      <c r="N27" s="2"/>
      <c r="O27" s="2"/>
      <c r="P27" s="2"/>
      <c r="Q27" s="2"/>
      <c r="R27" s="2"/>
      <c r="S27" s="2"/>
      <c r="T27" s="2"/>
    </row>
    <row r="28" customFormat="false" ht="13.8" hidden="false" customHeight="false" outlineLevel="0" collapsed="false">
      <c r="A28" s="7" t="s">
        <v>53</v>
      </c>
      <c r="B28" s="0" t="n">
        <f aca="false">X_FeFe + X_FeO/2 + X_FeFe3/2</f>
        <v>0.127149345</v>
      </c>
      <c r="C28" s="0" t="n">
        <f aca="false">X_FeO/2 + X_OO + X_OFe3/2</f>
        <v>0.497632636</v>
      </c>
      <c r="D28" s="0" t="n">
        <f aca="false">X_FeFe3/2 + X_OFe3/2 + X_Fe3Fe3</f>
        <v>0.375218485</v>
      </c>
      <c r="E28" s="0" t="n">
        <f aca="false">SUM(B28:D28)</f>
        <v>1.000000466</v>
      </c>
      <c r="G28" s="2" t="n">
        <f aca="false">n_Fe+n_Fe3</f>
        <v>0.430015406016</v>
      </c>
      <c r="H28" s="2" t="n">
        <f aca="false">n_O</f>
        <v>0.5700210172672</v>
      </c>
      <c r="I28" s="2" t="s">
        <v>43</v>
      </c>
      <c r="L28" s="2"/>
      <c r="M28" s="2" t="s">
        <v>54</v>
      </c>
      <c r="N28" s="2" t="s">
        <v>55</v>
      </c>
      <c r="O28" s="2" t="s">
        <v>56</v>
      </c>
      <c r="P28" s="2" t="s">
        <v>57</v>
      </c>
      <c r="Q28" s="9" t="s">
        <v>36</v>
      </c>
      <c r="R28" s="2" t="s">
        <v>37</v>
      </c>
      <c r="S28" s="2" t="s">
        <v>58</v>
      </c>
      <c r="T28" s="2" t="s">
        <v>37</v>
      </c>
    </row>
    <row r="29" customFormat="false" ht="13.8" hidden="false" customHeight="false" outlineLevel="0" collapsed="false">
      <c r="L29" s="2"/>
      <c r="M29" s="2" t="s">
        <v>2</v>
      </c>
      <c r="N29" s="2" t="n">
        <v>0.43</v>
      </c>
      <c r="O29" s="2" t="n">
        <v>24.013</v>
      </c>
      <c r="P29" s="2" t="n">
        <v>0.43</v>
      </c>
      <c r="Q29" s="2" t="n">
        <v>0.72476</v>
      </c>
      <c r="R29" s="2"/>
      <c r="S29" s="2"/>
      <c r="T29" s="2"/>
    </row>
    <row r="30" customFormat="false" ht="13.8" hidden="false" customHeight="false" outlineLevel="0" collapsed="false">
      <c r="M30" s="0" t="s">
        <v>4</v>
      </c>
      <c r="N30" s="0" t="n">
        <v>0.57</v>
      </c>
      <c r="O30" s="0" t="n">
        <v>9.1197</v>
      </c>
      <c r="P30" s="0" t="n">
        <v>0.57</v>
      </c>
      <c r="Q30" s="0" t="n">
        <v>0.27524</v>
      </c>
    </row>
    <row r="31" customFormat="false" ht="13.8" hidden="false" customHeight="false" outlineLevel="0" collapsed="false"/>
    <row r="32" customFormat="false" ht="13.8" hidden="false" customHeight="false" outlineLevel="0" collapsed="false">
      <c r="A32" s="7" t="s">
        <v>59</v>
      </c>
      <c r="B32" s="7"/>
      <c r="C32" s="7"/>
      <c r="D32" s="7"/>
      <c r="M32" s="0" t="s">
        <v>60</v>
      </c>
      <c r="N32" s="0" t="s">
        <v>61</v>
      </c>
      <c r="O32" s="0" t="s">
        <v>62</v>
      </c>
      <c r="P32" s="0" t="s">
        <v>63</v>
      </c>
      <c r="Q32" s="0" t="s">
        <v>64</v>
      </c>
      <c r="R32" s="0" t="s">
        <v>65</v>
      </c>
      <c r="S32" s="0" t="s">
        <v>5</v>
      </c>
      <c r="T32" s="4" t="n">
        <v>1E-075</v>
      </c>
    </row>
    <row r="33" customFormat="false" ht="13.8" hidden="false" customHeight="false" outlineLevel="0" collapsed="false">
      <c r="B33" s="0" t="s">
        <v>46</v>
      </c>
      <c r="C33" s="0" t="s">
        <v>19</v>
      </c>
      <c r="D33" s="0" t="s">
        <v>20</v>
      </c>
    </row>
    <row r="34" customFormat="false" ht="13.8" hidden="false" customHeight="false" outlineLevel="0" collapsed="false">
      <c r="A34" s="0" t="s">
        <v>2</v>
      </c>
      <c r="C34" s="10" t="n">
        <v>-391580.56</v>
      </c>
      <c r="D34" s="10" t="n">
        <v>83680</v>
      </c>
      <c r="M34" s="0" t="s">
        <v>66</v>
      </c>
    </row>
    <row r="35" customFormat="false" ht="13.8" hidden="false" customHeight="false" outlineLevel="0" collapsed="false">
      <c r="A35" s="0" t="s">
        <v>4</v>
      </c>
      <c r="D35" s="10" t="n">
        <f aca="false">-394551.2 + 12.552*T</f>
        <v>-376060.2212</v>
      </c>
      <c r="M35" s="0" t="s">
        <v>67</v>
      </c>
      <c r="N35" s="0" t="s">
        <v>68</v>
      </c>
      <c r="O35" s="0" t="s">
        <v>69</v>
      </c>
      <c r="P35" s="0" t="s">
        <v>70</v>
      </c>
      <c r="Q35" s="0" t="s">
        <v>71</v>
      </c>
    </row>
    <row r="36" customFormat="false" ht="13.8" hidden="false" customHeight="false" outlineLevel="0" collapsed="false">
      <c r="A36" s="0" t="s">
        <v>20</v>
      </c>
      <c r="M36" s="0" t="s">
        <v>72</v>
      </c>
      <c r="N36" s="0" t="s">
        <v>72</v>
      </c>
      <c r="O36" s="0" t="s">
        <v>73</v>
      </c>
      <c r="P36" s="0" t="s">
        <v>74</v>
      </c>
      <c r="Q36" s="0" t="s">
        <v>74</v>
      </c>
    </row>
    <row r="37" customFormat="false" ht="13.8" hidden="false" customHeight="false" outlineLevel="0" collapsed="false">
      <c r="M37" s="0" t="s">
        <v>66</v>
      </c>
    </row>
    <row r="38" customFormat="false" ht="13.8" hidden="false" customHeight="false" outlineLevel="0" collapsed="false">
      <c r="M38" s="4" t="n">
        <v>-105095</v>
      </c>
      <c r="N38" s="4" t="n">
        <v>-218804</v>
      </c>
      <c r="O38" s="4" t="n">
        <v>0</v>
      </c>
      <c r="P38" s="4" t="n">
        <v>77.1879</v>
      </c>
      <c r="Q38" s="4" t="n">
        <v>33.2729</v>
      </c>
    </row>
    <row r="39" customFormat="false" ht="13.8" hidden="false" customHeight="false" outlineLevel="0" collapsed="false">
      <c r="A39" s="7" t="s">
        <v>75</v>
      </c>
      <c r="B39" s="7"/>
      <c r="C39" s="7"/>
      <c r="D39" s="7"/>
    </row>
    <row r="40" customFormat="false" ht="13.8" hidden="false" customHeight="false" outlineLevel="0" collapsed="false">
      <c r="B40" s="0" t="s">
        <v>46</v>
      </c>
      <c r="C40" s="0" t="s">
        <v>19</v>
      </c>
      <c r="D40" s="0" t="s">
        <v>20</v>
      </c>
    </row>
    <row r="41" customFormat="false" ht="13.8" hidden="false" customHeight="false" outlineLevel="0" collapsed="false">
      <c r="A41" s="0" t="s">
        <v>2</v>
      </c>
      <c r="C41" s="0" t="n">
        <f aca="false">(129778.6321 - 30.334*T)*chi_FeO</f>
        <v>410.384732643</v>
      </c>
      <c r="D41" s="0" t="n">
        <f aca="false">(30543.2 - 44.0041380176*T)*Y_O</f>
        <v>-17059.5911810051</v>
      </c>
    </row>
    <row r="42" customFormat="false" ht="13.8" hidden="false" customHeight="false" outlineLevel="0" collapsed="false">
      <c r="A42" s="0" t="s">
        <v>4</v>
      </c>
      <c r="D42" s="10" t="n">
        <f aca="false">83680*chi_Fe3O^2</f>
        <v>1.94637079300075</v>
      </c>
    </row>
    <row r="43" customFormat="false" ht="13.8" hidden="false" customHeight="false" outlineLevel="0" collapsed="false">
      <c r="A43" s="0" t="s">
        <v>20</v>
      </c>
      <c r="M43" s="10"/>
    </row>
    <row r="44" customFormat="false" ht="13.8" hidden="false" customHeight="false" outlineLevel="0" collapsed="false"/>
    <row r="45" customFormat="false" ht="13.8" hidden="false" customHeight="false" outlineLevel="0" collapsed="false">
      <c r="A45" s="7" t="s">
        <v>76</v>
      </c>
      <c r="B45" s="7"/>
      <c r="C45" s="7"/>
      <c r="D45" s="7"/>
    </row>
    <row r="46" customFormat="false" ht="13.8" hidden="false" customHeight="false" outlineLevel="0" collapsed="false">
      <c r="B46" s="0" t="s">
        <v>46</v>
      </c>
      <c r="C46" s="0" t="s">
        <v>19</v>
      </c>
      <c r="D46" s="0" t="s">
        <v>20</v>
      </c>
      <c r="G46" s="0" t="n">
        <f aca="false">(129778.6321 - 30.334*(T+dT))*chi_FeO</f>
        <v>410.383269685748</v>
      </c>
      <c r="H46" s="0" t="n">
        <f aca="false">(30543.2 - 44.0041380176*(T+dT))*Y_O</f>
        <v>-17059.810159957</v>
      </c>
    </row>
    <row r="47" customFormat="false" ht="13.8" hidden="false" customHeight="false" outlineLevel="0" collapsed="false">
      <c r="A47" s="0" t="s">
        <v>2</v>
      </c>
      <c r="C47" s="0" t="n">
        <f aca="false">(dG0_FeO + dG1_FeO)*n_FeO/2</f>
        <v>-56542.1154478094</v>
      </c>
      <c r="D47" s="0" t="n">
        <f aca="false">(dG0_FeFe3 + dG1_FeFe3)*n_FeFe3/2</f>
        <v>4.66202798985463</v>
      </c>
      <c r="E47" s="11"/>
      <c r="F47" s="10"/>
      <c r="H47" s="10" t="n">
        <f aca="false">83680*chi_Fe3O^2</f>
        <v>1.94637079300075</v>
      </c>
    </row>
    <row r="48" customFormat="false" ht="13.8" hidden="false" customHeight="false" outlineLevel="0" collapsed="false">
      <c r="A48" s="0" t="s">
        <v>4</v>
      </c>
      <c r="D48" s="0" t="n">
        <f aca="false">(dG0_OFe3 + dG1_OFe3)*n_OFe3/2</f>
        <v>-159990.786001118</v>
      </c>
      <c r="E48" s="12"/>
    </row>
    <row r="49" customFormat="false" ht="13.8" hidden="false" customHeight="false" outlineLevel="0" collapsed="false">
      <c r="A49" s="0" t="s">
        <v>20</v>
      </c>
    </row>
    <row r="50" customFormat="false" ht="13.8" hidden="false" customHeight="false" outlineLevel="0" collapsed="false">
      <c r="A50" s="0" t="s">
        <v>77</v>
      </c>
      <c r="B50" s="0" t="n">
        <v>0.01</v>
      </c>
      <c r="K50" s="10"/>
    </row>
    <row r="51" customFormat="false" ht="13.8" hidden="false" customHeight="false" outlineLevel="0" collapsed="false">
      <c r="B51" s="0" t="s">
        <v>46</v>
      </c>
      <c r="C51" s="0" t="s">
        <v>19</v>
      </c>
      <c r="D51" s="0" t="s">
        <v>20</v>
      </c>
    </row>
    <row r="52" customFormat="false" ht="13.8" hidden="false" customHeight="false" outlineLevel="0" collapsed="false">
      <c r="A52" s="7" t="s">
        <v>78</v>
      </c>
      <c r="B52" s="0" t="n">
        <f aca="false">13265.9 + 117.5756*T - 23.5143*T*LN(T)-0.00439752*T^2 - 0.0000000589269*T^3 + 77358.5/T - 3.6751551E-021*T^7</f>
        <v>-75967.1324909446</v>
      </c>
      <c r="C52" s="0" t="n">
        <f aca="false">121184.8 + 136.0406*T - 24.5*T*LN(T) - 0.0009842*T^2 - 0.00000012938*T^3 + 322517/T</f>
        <v>55964.3036305818</v>
      </c>
      <c r="D52" s="0" t="n">
        <f aca="false">G_Fe+6276</f>
        <v>-69691.1324909446</v>
      </c>
      <c r="F52" s="13" t="s">
        <v>79</v>
      </c>
      <c r="G52" s="13"/>
      <c r="H52" s="13"/>
      <c r="I52" s="13"/>
      <c r="J52" s="13"/>
      <c r="K52" s="13"/>
    </row>
    <row r="53" customFormat="false" ht="13.8" hidden="false" customHeight="false" outlineLevel="0" collapsed="false">
      <c r="B53" s="0" t="n">
        <f aca="false">13265.9 + 117.5756*(T+dT) - 23.5143*(T+dT)*LN(T+dT)-0.00439752*(T+dT)^2 - 0.0000000589269*(T+dT)^3 + 77358.5/(T+dT) - 3.6751551E-021*(T+dT)^7</f>
        <v>-75968.0436710857</v>
      </c>
      <c r="C53" s="0" t="n">
        <f aca="false">121184.8 + 136.0406*(T+dT) - 24.5*(T+dT)*LN(T+dT) - 0.0009842*(T+dT)^2 - 0.00000012938*(T+dT)^3 + 322517/(T+dT)</f>
        <v>55963.5928149124</v>
      </c>
      <c r="D53" s="0" t="n">
        <f aca="false">B53+6276</f>
        <v>-69692.0436710857</v>
      </c>
    </row>
    <row r="54" customFormat="false" ht="13.8" hidden="false" customHeight="false" outlineLevel="0" collapsed="false"/>
    <row r="55" customFormat="false" ht="13.8" hidden="false" customHeight="false" outlineLevel="0" collapsed="false">
      <c r="B55" s="0" t="s">
        <v>80</v>
      </c>
      <c r="C55" s="0" t="s">
        <v>81</v>
      </c>
      <c r="D55" s="0" t="s">
        <v>82</v>
      </c>
      <c r="F55" s="0" t="s">
        <v>83</v>
      </c>
    </row>
    <row r="56" customFormat="false" ht="13.8" hidden="false" customHeight="false" outlineLevel="0" collapsed="false">
      <c r="A56" s="7" t="s">
        <v>84</v>
      </c>
      <c r="B56" s="0" t="n">
        <f aca="false">-gcR*(n_Fe*LN(X_Fe) + n_O*LN(X_O) + n_Fe3*LN(X_Fe3))</f>
        <v>7.96635473712422</v>
      </c>
      <c r="C56" s="0" t="n">
        <f aca="false">-gcR*(n_FeFe*LN(X_FeFe/(Y_Fe^2)) + n_OO*LN(X_OO/(Y_O^2)) + n_Fe3Fe3*LN(X_Fe3Fe3/(Y_Fe3^2)))</f>
        <v>0.162063848801365</v>
      </c>
      <c r="D56" s="0" t="n">
        <f aca="false">-gcR*(n_FeO*LN(X_FeO/(2*Y_Fe*Y_O)) + n_FeFe3*LN(X_FeFe3/(2*Y_Fe*Y_Fe3)) + n_OFe3*LN(X_OFe3/(2*Y_O*Y_Fe3)))</f>
        <v>-6.51564734439613</v>
      </c>
      <c r="F56" s="0" t="n">
        <f aca="false">SUM(B56:D56)</f>
        <v>1.61277124152945</v>
      </c>
    </row>
    <row r="57" customFormat="false" ht="13.8" hidden="false" customHeight="false" outlineLevel="0" collapsed="false">
      <c r="A57" s="0" t="s">
        <v>85</v>
      </c>
      <c r="B57" s="0" t="n">
        <f aca="false">(n_Fe*(G_Fe-B53) + n_O*(G_O-C53) + n_Fe3*(G_Fe3-D53))/dT</f>
        <v>79.7001369251159</v>
      </c>
      <c r="G57" s="0" t="n">
        <f aca="false">(B57+F56)-P38</f>
        <v>4.12500816664539</v>
      </c>
    </row>
    <row r="58" customFormat="false" ht="13.8" hidden="false" customHeight="false" outlineLevel="0" collapsed="false"/>
    <row r="59" customFormat="false" ht="13.8" hidden="false" customHeight="false" outlineLevel="0" collapsed="false">
      <c r="B59" s="0" t="s">
        <v>86</v>
      </c>
      <c r="C59" s="0" t="s">
        <v>87</v>
      </c>
      <c r="D59" s="0" t="s">
        <v>88</v>
      </c>
      <c r="F59" s="0" t="s">
        <v>47</v>
      </c>
    </row>
    <row r="60" customFormat="false" ht="13.8" hidden="false" customHeight="false" outlineLevel="0" collapsed="false">
      <c r="A60" s="14" t="s">
        <v>89</v>
      </c>
      <c r="B60" s="14" t="n">
        <f aca="false">n_Fe*G_Fe + n_O*G_O + n_Fe3*G_Fe3</f>
        <v>1023.06234371613</v>
      </c>
      <c r="C60" s="14" t="n">
        <f aca="false">- T*Sconf</f>
        <v>-2375.85395445911</v>
      </c>
      <c r="D60" s="14" t="n">
        <f aca="false">SUM(dG_excesses)</f>
        <v>-216528.239420938</v>
      </c>
      <c r="E60" s="14"/>
      <c r="F60" s="14" t="n">
        <f aca="false">SUM(B60:D60)</f>
        <v>-217881.031031681</v>
      </c>
      <c r="G60" s="15" t="s">
        <v>90</v>
      </c>
    </row>
    <row r="61" customFormat="false" ht="13.8" hidden="false" customHeight="false" outlineLevel="0" collapsed="false">
      <c r="D61" s="16" t="s">
        <v>91</v>
      </c>
      <c r="E61" s="16"/>
      <c r="F61" s="17" t="n">
        <f aca="false">N38</f>
        <v>-218804</v>
      </c>
      <c r="G61" s="16" t="s">
        <v>90</v>
      </c>
    </row>
    <row r="62" customFormat="false" ht="13.8" hidden="false" customHeight="false" outlineLevel="0" collapsed="false">
      <c r="E62" s="18" t="s">
        <v>92</v>
      </c>
      <c r="F62" s="19" t="n">
        <f aca="false">F61-F60</f>
        <v>-922.968968319066</v>
      </c>
      <c r="G62" s="18" t="s">
        <v>90</v>
      </c>
    </row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6" activeCellId="0" sqref="R16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2018-06-14T03:45:58Z</dcterms:created>
  <dc:creator>Denis Shishin</dc:creator>
  <dc:description/>
  <dc:language>en-GB</dc:language>
  <cp:lastModifiedBy/>
  <dcterms:modified xsi:type="dcterms:W3CDTF">2018-07-09T21:14:59Z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