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/>
  <mc:AlternateContent xmlns:mc="http://schemas.openxmlformats.org/markup-compatibility/2006">
    <mc:Choice Requires="x15">
      <x15ac:absPath xmlns:x15ac="http://schemas.microsoft.com/office/spreadsheetml/2010/11/ac" url="/Users/zhaobochao/Documents/geostats/workflow/"/>
    </mc:Choice>
  </mc:AlternateContent>
  <xr:revisionPtr revIDLastSave="0" documentId="13_ncr:1_{DF5819B8-DCAE-1E41-A49F-FDC8A9C7C6CB}" xr6:coauthVersionLast="40" xr6:coauthVersionMax="40" xr10:uidLastSave="{00000000-0000-0000-0000-000000000000}"/>
  <bookViews>
    <workbookView xWindow="520" yWindow="460" windowWidth="23860" windowHeight="13560" activeTab="2" xr2:uid="{00000000-000D-0000-FFFF-FFFF00000000}"/>
  </bookViews>
  <sheets>
    <sheet name="Lorenz-sand" sheetId="3" r:id="rId1"/>
    <sheet name="Por-Perm-Logs" sheetId="1" r:id="rId2"/>
    <sheet name="Lorenz-shale" sheetId="2" r:id="rId3"/>
  </sheets>
  <definedNames>
    <definedName name="x" localSheetId="0">'Lorenz-sand'!$S$10:$S$114</definedName>
    <definedName name="x">'Lorenz-shale'!$S$10:$S$114</definedName>
    <definedName name="y" localSheetId="0">'Lorenz-sand'!$T$10:$T$114</definedName>
    <definedName name="y">'Lorenz-shale'!$T$10:$T$114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5" i="3" l="1"/>
  <c r="N115" i="3"/>
  <c r="M116" i="3"/>
  <c r="N116" i="3"/>
  <c r="M117" i="3"/>
  <c r="N117" i="3"/>
  <c r="M118" i="3"/>
  <c r="N118" i="3"/>
  <c r="M119" i="3"/>
  <c r="N119" i="3"/>
  <c r="M120" i="3"/>
  <c r="N120" i="3"/>
  <c r="M121" i="3"/>
  <c r="N121" i="3"/>
  <c r="G115" i="3"/>
  <c r="G116" i="3"/>
  <c r="G117" i="3"/>
  <c r="G118" i="3"/>
  <c r="G119" i="3"/>
  <c r="G120" i="3"/>
  <c r="G121" i="3"/>
  <c r="N114" i="3"/>
  <c r="M114" i="3"/>
  <c r="G114" i="3"/>
  <c r="N113" i="3"/>
  <c r="M113" i="3"/>
  <c r="G113" i="3"/>
  <c r="N112" i="3"/>
  <c r="M112" i="3"/>
  <c r="G112" i="3"/>
  <c r="N111" i="3"/>
  <c r="M111" i="3"/>
  <c r="G111" i="3"/>
  <c r="N110" i="3"/>
  <c r="M110" i="3"/>
  <c r="G110" i="3"/>
  <c r="N109" i="3"/>
  <c r="M109" i="3"/>
  <c r="G109" i="3"/>
  <c r="N108" i="3"/>
  <c r="M108" i="3"/>
  <c r="G108" i="3"/>
  <c r="N107" i="3"/>
  <c r="M107" i="3"/>
  <c r="G107" i="3"/>
  <c r="N106" i="3"/>
  <c r="M106" i="3"/>
  <c r="G106" i="3"/>
  <c r="N105" i="3"/>
  <c r="M105" i="3"/>
  <c r="G105" i="3"/>
  <c r="N104" i="3"/>
  <c r="M104" i="3"/>
  <c r="G104" i="3"/>
  <c r="N103" i="3"/>
  <c r="M103" i="3"/>
  <c r="G103" i="3"/>
  <c r="N102" i="3"/>
  <c r="M102" i="3"/>
  <c r="G102" i="3"/>
  <c r="N101" i="3"/>
  <c r="M101" i="3"/>
  <c r="G101" i="3"/>
  <c r="N100" i="3"/>
  <c r="M100" i="3"/>
  <c r="G100" i="3"/>
  <c r="N99" i="3"/>
  <c r="M99" i="3"/>
  <c r="G99" i="3"/>
  <c r="N98" i="3"/>
  <c r="M98" i="3"/>
  <c r="G98" i="3"/>
  <c r="N97" i="3"/>
  <c r="M97" i="3"/>
  <c r="G97" i="3"/>
  <c r="N96" i="3"/>
  <c r="M96" i="3"/>
  <c r="G96" i="3"/>
  <c r="N95" i="3"/>
  <c r="M95" i="3"/>
  <c r="G95" i="3"/>
  <c r="N94" i="3"/>
  <c r="M94" i="3"/>
  <c r="G94" i="3"/>
  <c r="N93" i="3"/>
  <c r="M93" i="3"/>
  <c r="G93" i="3"/>
  <c r="N92" i="3"/>
  <c r="M92" i="3"/>
  <c r="G92" i="3"/>
  <c r="N91" i="3"/>
  <c r="M91" i="3"/>
  <c r="G91" i="3"/>
  <c r="N90" i="3"/>
  <c r="M90" i="3"/>
  <c r="G90" i="3"/>
  <c r="N89" i="3"/>
  <c r="M89" i="3"/>
  <c r="G89" i="3"/>
  <c r="N88" i="3"/>
  <c r="M88" i="3"/>
  <c r="G88" i="3"/>
  <c r="N87" i="3"/>
  <c r="M87" i="3"/>
  <c r="G87" i="3"/>
  <c r="N86" i="3"/>
  <c r="M86" i="3"/>
  <c r="G86" i="3"/>
  <c r="N85" i="3"/>
  <c r="M85" i="3"/>
  <c r="G85" i="3"/>
  <c r="N84" i="3"/>
  <c r="M84" i="3"/>
  <c r="G84" i="3"/>
  <c r="N83" i="3"/>
  <c r="M83" i="3"/>
  <c r="G83" i="3"/>
  <c r="N82" i="3"/>
  <c r="M82" i="3"/>
  <c r="G82" i="3"/>
  <c r="N81" i="3"/>
  <c r="M81" i="3"/>
  <c r="G81" i="3"/>
  <c r="N80" i="3"/>
  <c r="M80" i="3"/>
  <c r="G80" i="3"/>
  <c r="N79" i="3"/>
  <c r="M79" i="3"/>
  <c r="G79" i="3"/>
  <c r="N78" i="3"/>
  <c r="M78" i="3"/>
  <c r="G78" i="3"/>
  <c r="N77" i="3"/>
  <c r="M77" i="3"/>
  <c r="G77" i="3"/>
  <c r="N76" i="3"/>
  <c r="M76" i="3"/>
  <c r="G76" i="3"/>
  <c r="N75" i="3"/>
  <c r="M75" i="3"/>
  <c r="G75" i="3"/>
  <c r="N74" i="3"/>
  <c r="M74" i="3"/>
  <c r="G74" i="3"/>
  <c r="N73" i="3"/>
  <c r="M73" i="3"/>
  <c r="G73" i="3"/>
  <c r="N72" i="3"/>
  <c r="M72" i="3"/>
  <c r="G72" i="3"/>
  <c r="N71" i="3"/>
  <c r="M71" i="3"/>
  <c r="G71" i="3"/>
  <c r="N70" i="3"/>
  <c r="M70" i="3"/>
  <c r="G70" i="3"/>
  <c r="N69" i="3"/>
  <c r="M69" i="3"/>
  <c r="G69" i="3"/>
  <c r="N68" i="3"/>
  <c r="M68" i="3"/>
  <c r="G68" i="3"/>
  <c r="V67" i="3"/>
  <c r="V68" i="3" s="1"/>
  <c r="Z68" i="3" s="1"/>
  <c r="AB68" i="3" s="1"/>
  <c r="N67" i="3"/>
  <c r="M67" i="3"/>
  <c r="G67" i="3"/>
  <c r="Z66" i="3"/>
  <c r="AB66" i="3" s="1"/>
  <c r="N66" i="3"/>
  <c r="M66" i="3"/>
  <c r="G66" i="3"/>
  <c r="N65" i="3"/>
  <c r="M65" i="3"/>
  <c r="G65" i="3"/>
  <c r="N64" i="3"/>
  <c r="M64" i="3"/>
  <c r="G64" i="3"/>
  <c r="N63" i="3"/>
  <c r="M63" i="3"/>
  <c r="G63" i="3"/>
  <c r="N62" i="3"/>
  <c r="M62" i="3"/>
  <c r="G62" i="3"/>
  <c r="N61" i="3"/>
  <c r="M61" i="3"/>
  <c r="G61" i="3"/>
  <c r="N60" i="3"/>
  <c r="M60" i="3"/>
  <c r="G60" i="3"/>
  <c r="N59" i="3"/>
  <c r="M59" i="3"/>
  <c r="G59" i="3"/>
  <c r="N58" i="3"/>
  <c r="M58" i="3"/>
  <c r="G58" i="3"/>
  <c r="N57" i="3"/>
  <c r="M57" i="3"/>
  <c r="G57" i="3"/>
  <c r="N56" i="3"/>
  <c r="M56" i="3"/>
  <c r="G56" i="3"/>
  <c r="N55" i="3"/>
  <c r="M55" i="3"/>
  <c r="G55" i="3"/>
  <c r="N54" i="3"/>
  <c r="M54" i="3"/>
  <c r="G54" i="3"/>
  <c r="N53" i="3"/>
  <c r="M53" i="3"/>
  <c r="G53" i="3"/>
  <c r="N52" i="3"/>
  <c r="M52" i="3"/>
  <c r="G52" i="3"/>
  <c r="N51" i="3"/>
  <c r="M51" i="3"/>
  <c r="G51" i="3"/>
  <c r="N50" i="3"/>
  <c r="M50" i="3"/>
  <c r="G50" i="3"/>
  <c r="N49" i="3"/>
  <c r="M49" i="3"/>
  <c r="G49" i="3"/>
  <c r="N48" i="3"/>
  <c r="M48" i="3"/>
  <c r="G48" i="3"/>
  <c r="N47" i="3"/>
  <c r="M47" i="3"/>
  <c r="G47" i="3"/>
  <c r="N46" i="3"/>
  <c r="M46" i="3"/>
  <c r="G46" i="3"/>
  <c r="N45" i="3"/>
  <c r="M45" i="3"/>
  <c r="G45" i="3"/>
  <c r="N44" i="3"/>
  <c r="M44" i="3"/>
  <c r="G44" i="3"/>
  <c r="N43" i="3"/>
  <c r="M43" i="3"/>
  <c r="G43" i="3"/>
  <c r="N42" i="3"/>
  <c r="M42" i="3"/>
  <c r="G42" i="3"/>
  <c r="N41" i="3"/>
  <c r="M41" i="3"/>
  <c r="G41" i="3"/>
  <c r="N40" i="3"/>
  <c r="M40" i="3"/>
  <c r="G40" i="3"/>
  <c r="N39" i="3"/>
  <c r="M39" i="3"/>
  <c r="G39" i="3"/>
  <c r="N38" i="3"/>
  <c r="M38" i="3"/>
  <c r="G38" i="3"/>
  <c r="N37" i="3"/>
  <c r="M37" i="3"/>
  <c r="G37" i="3"/>
  <c r="N36" i="3"/>
  <c r="M36" i="3"/>
  <c r="G36" i="3"/>
  <c r="N35" i="3"/>
  <c r="M35" i="3"/>
  <c r="G35" i="3"/>
  <c r="N34" i="3"/>
  <c r="M34" i="3"/>
  <c r="G34" i="3"/>
  <c r="N33" i="3"/>
  <c r="M33" i="3"/>
  <c r="G33" i="3"/>
  <c r="N32" i="3"/>
  <c r="M32" i="3"/>
  <c r="G32" i="3"/>
  <c r="N31" i="3"/>
  <c r="M31" i="3"/>
  <c r="G31" i="3"/>
  <c r="N30" i="3"/>
  <c r="M30" i="3"/>
  <c r="G30" i="3"/>
  <c r="N29" i="3"/>
  <c r="M29" i="3"/>
  <c r="G29" i="3"/>
  <c r="N28" i="3"/>
  <c r="M28" i="3"/>
  <c r="G28" i="3"/>
  <c r="N27" i="3"/>
  <c r="M27" i="3"/>
  <c r="G27" i="3"/>
  <c r="N26" i="3"/>
  <c r="M26" i="3"/>
  <c r="G26" i="3"/>
  <c r="N25" i="3"/>
  <c r="M25" i="3"/>
  <c r="G25" i="3"/>
  <c r="N24" i="3"/>
  <c r="M24" i="3"/>
  <c r="G24" i="3"/>
  <c r="N23" i="3"/>
  <c r="M23" i="3"/>
  <c r="G23" i="3"/>
  <c r="N22" i="3"/>
  <c r="M22" i="3"/>
  <c r="G22" i="3"/>
  <c r="N21" i="3"/>
  <c r="M21" i="3"/>
  <c r="G21" i="3"/>
  <c r="N20" i="3"/>
  <c r="M20" i="3"/>
  <c r="G20" i="3"/>
  <c r="N19" i="3"/>
  <c r="M19" i="3"/>
  <c r="G19" i="3"/>
  <c r="N18" i="3"/>
  <c r="M18" i="3"/>
  <c r="G18" i="3"/>
  <c r="N17" i="3"/>
  <c r="M17" i="3"/>
  <c r="G17" i="3"/>
  <c r="N16" i="3"/>
  <c r="M16" i="3"/>
  <c r="G16" i="3"/>
  <c r="N15" i="3"/>
  <c r="M15" i="3"/>
  <c r="G15" i="3"/>
  <c r="N14" i="3"/>
  <c r="M14" i="3"/>
  <c r="G14" i="3"/>
  <c r="N13" i="3"/>
  <c r="M13" i="3"/>
  <c r="G13" i="3"/>
  <c r="N12" i="3"/>
  <c r="M12" i="3"/>
  <c r="G12" i="3"/>
  <c r="N11" i="3"/>
  <c r="M11" i="3"/>
  <c r="G11" i="3"/>
  <c r="C11" i="3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N10" i="3"/>
  <c r="M10" i="3"/>
  <c r="G10" i="3"/>
  <c r="P119" i="3" l="1"/>
  <c r="P11" i="3"/>
  <c r="P19" i="3"/>
  <c r="P23" i="3"/>
  <c r="P27" i="3"/>
  <c r="P31" i="3"/>
  <c r="P35" i="3"/>
  <c r="P39" i="3"/>
  <c r="P43" i="3"/>
  <c r="P47" i="3"/>
  <c r="P51" i="3"/>
  <c r="P55" i="3"/>
  <c r="P59" i="3"/>
  <c r="P63" i="3"/>
  <c r="Q68" i="3"/>
  <c r="P71" i="3"/>
  <c r="Q72" i="3"/>
  <c r="P75" i="3"/>
  <c r="Q76" i="3"/>
  <c r="P79" i="3"/>
  <c r="Q80" i="3"/>
  <c r="P83" i="3"/>
  <c r="Q84" i="3"/>
  <c r="P87" i="3"/>
  <c r="Q88" i="3"/>
  <c r="P91" i="3"/>
  <c r="Q92" i="3"/>
  <c r="P95" i="3"/>
  <c r="Q96" i="3"/>
  <c r="P99" i="3"/>
  <c r="Q100" i="3"/>
  <c r="P103" i="3"/>
  <c r="Q104" i="3"/>
  <c r="P107" i="3"/>
  <c r="Q108" i="3"/>
  <c r="P111" i="3"/>
  <c r="Q112" i="3"/>
  <c r="Q120" i="3"/>
  <c r="Q118" i="3"/>
  <c r="Q116" i="3"/>
  <c r="P115" i="3"/>
  <c r="P13" i="3"/>
  <c r="P15" i="3"/>
  <c r="Q46" i="3"/>
  <c r="P14" i="3"/>
  <c r="Z67" i="3"/>
  <c r="AB67" i="3" s="1"/>
  <c r="Q11" i="3"/>
  <c r="Q15" i="3"/>
  <c r="Q19" i="3"/>
  <c r="P30" i="3"/>
  <c r="Q35" i="3"/>
  <c r="Q39" i="3"/>
  <c r="Q43" i="3"/>
  <c r="P54" i="3"/>
  <c r="P58" i="3"/>
  <c r="Q59" i="3"/>
  <c r="Q63" i="3"/>
  <c r="Q71" i="3"/>
  <c r="P74" i="3"/>
  <c r="P78" i="3"/>
  <c r="Q83" i="3"/>
  <c r="P86" i="3"/>
  <c r="Q91" i="3"/>
  <c r="P94" i="3"/>
  <c r="Q99" i="3"/>
  <c r="P102" i="3"/>
  <c r="Q107" i="3"/>
  <c r="P110" i="3"/>
  <c r="Q111" i="3"/>
  <c r="P114" i="3"/>
  <c r="P120" i="3"/>
  <c r="P116" i="3"/>
  <c r="P121" i="3"/>
  <c r="P117" i="3"/>
  <c r="P113" i="3"/>
  <c r="P109" i="3"/>
  <c r="P105" i="3"/>
  <c r="P101" i="3"/>
  <c r="P97" i="3"/>
  <c r="P93" i="3"/>
  <c r="P89" i="3"/>
  <c r="P85" i="3"/>
  <c r="P81" i="3"/>
  <c r="P77" i="3"/>
  <c r="P73" i="3"/>
  <c r="P69" i="3"/>
  <c r="P41" i="3"/>
  <c r="P33" i="3"/>
  <c r="P25" i="3"/>
  <c r="P17" i="3"/>
  <c r="Q121" i="3"/>
  <c r="Q119" i="3"/>
  <c r="Q117" i="3"/>
  <c r="Q115" i="3"/>
  <c r="P61" i="3"/>
  <c r="P53" i="3"/>
  <c r="P22" i="3"/>
  <c r="P26" i="3"/>
  <c r="P34" i="3"/>
  <c r="P42" i="3"/>
  <c r="Q47" i="3"/>
  <c r="Q51" i="3"/>
  <c r="Q55" i="3"/>
  <c r="P62" i="3"/>
  <c r="P70" i="3"/>
  <c r="Q75" i="3"/>
  <c r="Q79" i="3"/>
  <c r="P82" i="3"/>
  <c r="Q87" i="3"/>
  <c r="P90" i="3"/>
  <c r="Q95" i="3"/>
  <c r="P98" i="3"/>
  <c r="Q103" i="3"/>
  <c r="P106" i="3"/>
  <c r="P118" i="3"/>
  <c r="P12" i="3"/>
  <c r="Q13" i="3"/>
  <c r="P16" i="3"/>
  <c r="Q17" i="3"/>
  <c r="P20" i="3"/>
  <c r="Q21" i="3"/>
  <c r="P24" i="3"/>
  <c r="Q25" i="3"/>
  <c r="P28" i="3"/>
  <c r="Q29" i="3"/>
  <c r="P32" i="3"/>
  <c r="Q33" i="3"/>
  <c r="P36" i="3"/>
  <c r="Q37" i="3"/>
  <c r="P40" i="3"/>
  <c r="Q41" i="3"/>
  <c r="P44" i="3"/>
  <c r="Q45" i="3"/>
  <c r="P48" i="3"/>
  <c r="Q49" i="3"/>
  <c r="P52" i="3"/>
  <c r="Q53" i="3"/>
  <c r="P56" i="3"/>
  <c r="Q57" i="3"/>
  <c r="P60" i="3"/>
  <c r="Q61" i="3"/>
  <c r="Q65" i="3"/>
  <c r="Q67" i="3"/>
  <c r="Q69" i="3"/>
  <c r="Q73" i="3"/>
  <c r="Q77" i="3"/>
  <c r="Q81" i="3"/>
  <c r="Q85" i="3"/>
  <c r="Q89" i="3"/>
  <c r="Q93" i="3"/>
  <c r="Q97" i="3"/>
  <c r="Q101" i="3"/>
  <c r="Q105" i="3"/>
  <c r="Q109" i="3"/>
  <c r="Q113" i="3"/>
  <c r="P67" i="3"/>
  <c r="P45" i="3"/>
  <c r="P37" i="3"/>
  <c r="P29" i="3"/>
  <c r="P21" i="3"/>
  <c r="Q10" i="3"/>
  <c r="Q14" i="3"/>
  <c r="Q18" i="3"/>
  <c r="Q22" i="3"/>
  <c r="Q26" i="3"/>
  <c r="Q30" i="3"/>
  <c r="Q34" i="3"/>
  <c r="Q38" i="3"/>
  <c r="Q42" i="3"/>
  <c r="Q50" i="3"/>
  <c r="Q54" i="3"/>
  <c r="Q58" i="3"/>
  <c r="Q62" i="3"/>
  <c r="Q66" i="3"/>
  <c r="P18" i="3"/>
  <c r="Q23" i="3"/>
  <c r="Q27" i="3"/>
  <c r="Q31" i="3"/>
  <c r="P38" i="3"/>
  <c r="P46" i="3"/>
  <c r="P50" i="3"/>
  <c r="P66" i="3"/>
  <c r="P64" i="3"/>
  <c r="P68" i="3"/>
  <c r="P72" i="3"/>
  <c r="P76" i="3"/>
  <c r="P80" i="3"/>
  <c r="P84" i="3"/>
  <c r="P88" i="3"/>
  <c r="P92" i="3"/>
  <c r="P96" i="3"/>
  <c r="P100" i="3"/>
  <c r="P104" i="3"/>
  <c r="P108" i="3"/>
  <c r="P112" i="3"/>
  <c r="Q12" i="3"/>
  <c r="Q16" i="3"/>
  <c r="Q20" i="3"/>
  <c r="Q24" i="3"/>
  <c r="Q28" i="3"/>
  <c r="Q32" i="3"/>
  <c r="Q36" i="3"/>
  <c r="Q40" i="3"/>
  <c r="Q44" i="3"/>
  <c r="Q48" i="3"/>
  <c r="Q52" i="3"/>
  <c r="Q56" i="3"/>
  <c r="Q60" i="3"/>
  <c r="Q64" i="3"/>
  <c r="P10" i="3"/>
  <c r="S10" i="3" s="1"/>
  <c r="S11" i="3" s="1"/>
  <c r="Q114" i="3"/>
  <c r="Q110" i="3"/>
  <c r="Q106" i="3"/>
  <c r="Q102" i="3"/>
  <c r="Q98" i="3"/>
  <c r="Q94" i="3"/>
  <c r="Q90" i="3"/>
  <c r="Q86" i="3"/>
  <c r="Q82" i="3"/>
  <c r="Q78" i="3"/>
  <c r="Q74" i="3"/>
  <c r="Q70" i="3"/>
  <c r="P65" i="3"/>
  <c r="P57" i="3"/>
  <c r="P49" i="3"/>
  <c r="T10" i="3"/>
  <c r="T11" i="3"/>
  <c r="V69" i="3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Q13" i="2" l="1"/>
  <c r="S12" i="3"/>
  <c r="T12" i="3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P15" i="2"/>
  <c r="P11" i="2"/>
  <c r="P23" i="2"/>
  <c r="P31" i="2"/>
  <c r="P39" i="2"/>
  <c r="P13" i="2"/>
  <c r="P17" i="2"/>
  <c r="P21" i="2"/>
  <c r="P25" i="2"/>
  <c r="P29" i="2"/>
  <c r="P33" i="2"/>
  <c r="P37" i="2"/>
  <c r="P41" i="2"/>
  <c r="P45" i="2"/>
  <c r="P49" i="2"/>
  <c r="P53" i="2"/>
  <c r="P57" i="2"/>
  <c r="P61" i="2"/>
  <c r="P65" i="2"/>
  <c r="Q17" i="2"/>
  <c r="Q21" i="2"/>
  <c r="Q25" i="2"/>
  <c r="Q29" i="2"/>
  <c r="Q33" i="2"/>
  <c r="Q37" i="2"/>
  <c r="Q41" i="2"/>
  <c r="Q45" i="2"/>
  <c r="Q49" i="2"/>
  <c r="Q53" i="2"/>
  <c r="Q57" i="2"/>
  <c r="Q61" i="2"/>
  <c r="Q65" i="2"/>
  <c r="P10" i="2"/>
  <c r="P14" i="2"/>
  <c r="P18" i="2"/>
  <c r="P22" i="2"/>
  <c r="P26" i="2"/>
  <c r="P30" i="2"/>
  <c r="P34" i="2"/>
  <c r="P38" i="2"/>
  <c r="P42" i="2"/>
  <c r="P46" i="2"/>
  <c r="P50" i="2"/>
  <c r="P54" i="2"/>
  <c r="P58" i="2"/>
  <c r="P62" i="2"/>
  <c r="Q10" i="2"/>
  <c r="Q14" i="2"/>
  <c r="Q18" i="2"/>
  <c r="Q22" i="2"/>
  <c r="Q26" i="2"/>
  <c r="Q30" i="2"/>
  <c r="Q34" i="2"/>
  <c r="Q38" i="2"/>
  <c r="Q42" i="2"/>
  <c r="Q46" i="2"/>
  <c r="Q50" i="2"/>
  <c r="Q54" i="2"/>
  <c r="Q58" i="2"/>
  <c r="Q62" i="2"/>
  <c r="Q63" i="2"/>
  <c r="P19" i="2"/>
  <c r="P27" i="2"/>
  <c r="P35" i="2"/>
  <c r="P43" i="2"/>
  <c r="P47" i="2"/>
  <c r="P51" i="2"/>
  <c r="P55" i="2"/>
  <c r="P59" i="2"/>
  <c r="P63" i="2"/>
  <c r="Q11" i="2"/>
  <c r="Q15" i="2"/>
  <c r="Q19" i="2"/>
  <c r="Q23" i="2"/>
  <c r="Q27" i="2"/>
  <c r="Q31" i="2"/>
  <c r="Q35" i="2"/>
  <c r="Q39" i="2"/>
  <c r="Q43" i="2"/>
  <c r="Q47" i="2"/>
  <c r="Q51" i="2"/>
  <c r="Q55" i="2"/>
  <c r="Q59" i="2"/>
  <c r="P12" i="2"/>
  <c r="P16" i="2"/>
  <c r="P20" i="2"/>
  <c r="P24" i="2"/>
  <c r="P28" i="2"/>
  <c r="P32" i="2"/>
  <c r="P36" i="2"/>
  <c r="P40" i="2"/>
  <c r="P44" i="2"/>
  <c r="P48" i="2"/>
  <c r="P52" i="2"/>
  <c r="P56" i="2"/>
  <c r="P60" i="2"/>
  <c r="P64" i="2"/>
  <c r="Q12" i="2"/>
  <c r="Q16" i="2"/>
  <c r="Q20" i="2"/>
  <c r="Q24" i="2"/>
  <c r="Q28" i="2"/>
  <c r="Q32" i="2"/>
  <c r="Q36" i="2"/>
  <c r="Q40" i="2"/>
  <c r="Q44" i="2"/>
  <c r="Q48" i="2"/>
  <c r="Q52" i="2"/>
  <c r="Q56" i="2"/>
  <c r="Q60" i="2"/>
  <c r="Q64" i="2"/>
  <c r="S13" i="3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V70" i="3"/>
  <c r="Z69" i="3"/>
  <c r="AB69" i="3" s="1"/>
  <c r="Z66" i="2"/>
  <c r="V67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C11" i="2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S66" i="3" l="1"/>
  <c r="X66" i="3"/>
  <c r="W66" i="3"/>
  <c r="V68" i="2"/>
  <c r="Z68" i="2" s="1"/>
  <c r="AB68" i="2" s="1"/>
  <c r="Z70" i="3"/>
  <c r="AB70" i="3" s="1"/>
  <c r="V71" i="3"/>
  <c r="AB66" i="2"/>
  <c r="S10" i="2"/>
  <c r="Z67" i="2"/>
  <c r="AB67" i="2" s="1"/>
  <c r="T10" i="2"/>
  <c r="T11" i="2" s="1"/>
  <c r="S67" i="3" l="1"/>
  <c r="W67" i="3"/>
  <c r="X67" i="3"/>
  <c r="Y66" i="3"/>
  <c r="V69" i="2"/>
  <c r="Z71" i="3"/>
  <c r="AB71" i="3" s="1"/>
  <c r="V72" i="3"/>
  <c r="S11" i="2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T12" i="2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U67" i="2" l="1"/>
  <c r="U66" i="2"/>
  <c r="U65" i="2"/>
  <c r="X66" i="2"/>
  <c r="Y66" i="2" s="1"/>
  <c r="Y67" i="3"/>
  <c r="S68" i="3"/>
  <c r="W68" i="3"/>
  <c r="X68" i="3"/>
  <c r="Y68" i="3" s="1"/>
  <c r="S38" i="2"/>
  <c r="X67" i="2" s="1"/>
  <c r="W66" i="2"/>
  <c r="V70" i="2"/>
  <c r="Z69" i="2"/>
  <c r="AB69" i="2" s="1"/>
  <c r="Z72" i="3"/>
  <c r="AB72" i="3" s="1"/>
  <c r="V73" i="3"/>
  <c r="AE41" i="1"/>
  <c r="AE19" i="1"/>
  <c r="C17" i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S69" i="3" l="1"/>
  <c r="W69" i="3"/>
  <c r="X69" i="3"/>
  <c r="V71" i="2"/>
  <c r="Z70" i="2"/>
  <c r="AB70" i="2" s="1"/>
  <c r="S39" i="2"/>
  <c r="X68" i="2" s="1"/>
  <c r="W67" i="2"/>
  <c r="Y67" i="2" s="1"/>
  <c r="V74" i="3"/>
  <c r="Z73" i="3"/>
  <c r="AB73" i="3" s="1"/>
  <c r="G120" i="1"/>
  <c r="G119" i="1"/>
  <c r="G116" i="1"/>
  <c r="G117" i="1"/>
  <c r="G118" i="1"/>
  <c r="F117" i="1"/>
  <c r="G35" i="1"/>
  <c r="F120" i="1"/>
  <c r="G23" i="1"/>
  <c r="G29" i="1"/>
  <c r="F119" i="1"/>
  <c r="F118" i="1"/>
  <c r="G66" i="1"/>
  <c r="G54" i="1"/>
  <c r="G78" i="1"/>
  <c r="G30" i="1"/>
  <c r="G102" i="1"/>
  <c r="G42" i="1"/>
  <c r="G108" i="1"/>
  <c r="G60" i="1"/>
  <c r="G96" i="1"/>
  <c r="G72" i="1"/>
  <c r="G84" i="1"/>
  <c r="G48" i="1"/>
  <c r="G114" i="1"/>
  <c r="G36" i="1"/>
  <c r="G90" i="1"/>
  <c r="F29" i="1"/>
  <c r="F35" i="1"/>
  <c r="F41" i="1"/>
  <c r="F47" i="1"/>
  <c r="F53" i="1"/>
  <c r="F59" i="1"/>
  <c r="F65" i="1"/>
  <c r="F71" i="1"/>
  <c r="F77" i="1"/>
  <c r="F89" i="1"/>
  <c r="F95" i="1"/>
  <c r="F101" i="1"/>
  <c r="F113" i="1"/>
  <c r="G41" i="1"/>
  <c r="G47" i="1"/>
  <c r="G53" i="1"/>
  <c r="G59" i="1"/>
  <c r="G65" i="1"/>
  <c r="G71" i="1"/>
  <c r="G77" i="1"/>
  <c r="G83" i="1"/>
  <c r="G89" i="1"/>
  <c r="G95" i="1"/>
  <c r="G101" i="1"/>
  <c r="G107" i="1"/>
  <c r="G113" i="1"/>
  <c r="F23" i="1"/>
  <c r="F36" i="1"/>
  <c r="F42" i="1"/>
  <c r="F48" i="1"/>
  <c r="F54" i="1"/>
  <c r="F60" i="1"/>
  <c r="F66" i="1"/>
  <c r="F72" i="1"/>
  <c r="F78" i="1"/>
  <c r="F84" i="1"/>
  <c r="F90" i="1"/>
  <c r="F96" i="1"/>
  <c r="F102" i="1"/>
  <c r="F108" i="1"/>
  <c r="F114" i="1"/>
  <c r="F37" i="1"/>
  <c r="F55" i="1"/>
  <c r="F61" i="1"/>
  <c r="F79" i="1"/>
  <c r="F85" i="1"/>
  <c r="F91" i="1"/>
  <c r="F109" i="1"/>
  <c r="F115" i="1"/>
  <c r="F25" i="1"/>
  <c r="F49" i="1"/>
  <c r="F73" i="1"/>
  <c r="F103" i="1"/>
  <c r="F107" i="1"/>
  <c r="F31" i="1"/>
  <c r="F43" i="1"/>
  <c r="F67" i="1"/>
  <c r="F97" i="1"/>
  <c r="F83" i="1"/>
  <c r="G26" i="1"/>
  <c r="G32" i="1"/>
  <c r="G38" i="1"/>
  <c r="G44" i="1"/>
  <c r="G50" i="1"/>
  <c r="G56" i="1"/>
  <c r="G62" i="1"/>
  <c r="G68" i="1"/>
  <c r="G74" i="1"/>
  <c r="G80" i="1"/>
  <c r="G86" i="1"/>
  <c r="G92" i="1"/>
  <c r="G98" i="1"/>
  <c r="G104" i="1"/>
  <c r="G110" i="1"/>
  <c r="F24" i="1"/>
  <c r="F21" i="1"/>
  <c r="F27" i="1"/>
  <c r="F33" i="1"/>
  <c r="F39" i="1"/>
  <c r="F45" i="1"/>
  <c r="F51" i="1"/>
  <c r="F57" i="1"/>
  <c r="F63" i="1"/>
  <c r="F69" i="1"/>
  <c r="F75" i="1"/>
  <c r="F81" i="1"/>
  <c r="F87" i="1"/>
  <c r="F93" i="1"/>
  <c r="F99" i="1"/>
  <c r="F105" i="1"/>
  <c r="F111" i="1"/>
  <c r="G24" i="1"/>
  <c r="G21" i="1"/>
  <c r="G25" i="1"/>
  <c r="G31" i="1"/>
  <c r="G39" i="1"/>
  <c r="G45" i="1"/>
  <c r="G49" i="1"/>
  <c r="G55" i="1"/>
  <c r="G63" i="1"/>
  <c r="G67" i="1"/>
  <c r="G73" i="1"/>
  <c r="G79" i="1"/>
  <c r="G85" i="1"/>
  <c r="G93" i="1"/>
  <c r="G99" i="1"/>
  <c r="G105" i="1"/>
  <c r="G109" i="1"/>
  <c r="G115" i="1"/>
  <c r="F22" i="1"/>
  <c r="F26" i="1"/>
  <c r="F34" i="1"/>
  <c r="F40" i="1"/>
  <c r="F46" i="1"/>
  <c r="F50" i="1"/>
  <c r="F56" i="1"/>
  <c r="F64" i="1"/>
  <c r="F70" i="1"/>
  <c r="F74" i="1"/>
  <c r="F82" i="1"/>
  <c r="F86" i="1"/>
  <c r="F94" i="1"/>
  <c r="F98" i="1"/>
  <c r="F104" i="1"/>
  <c r="F112" i="1"/>
  <c r="F30" i="1"/>
  <c r="G22" i="1"/>
  <c r="G28" i="1"/>
  <c r="G34" i="1"/>
  <c r="G40" i="1"/>
  <c r="G46" i="1"/>
  <c r="G52" i="1"/>
  <c r="G58" i="1"/>
  <c r="G64" i="1"/>
  <c r="G70" i="1"/>
  <c r="G76" i="1"/>
  <c r="G82" i="1"/>
  <c r="G88" i="1"/>
  <c r="G94" i="1"/>
  <c r="G100" i="1"/>
  <c r="G106" i="1"/>
  <c r="G112" i="1"/>
  <c r="G37" i="1"/>
  <c r="G103" i="1"/>
  <c r="F32" i="1"/>
  <c r="F68" i="1"/>
  <c r="G20" i="1"/>
  <c r="G43" i="1"/>
  <c r="G97" i="1"/>
  <c r="F38" i="1"/>
  <c r="F62" i="1"/>
  <c r="F116" i="1"/>
  <c r="G91" i="1"/>
  <c r="F44" i="1"/>
  <c r="F110" i="1"/>
  <c r="G61" i="1"/>
  <c r="F80" i="1"/>
  <c r="G27" i="1"/>
  <c r="G33" i="1"/>
  <c r="G51" i="1"/>
  <c r="G57" i="1"/>
  <c r="G69" i="1"/>
  <c r="G75" i="1"/>
  <c r="G81" i="1"/>
  <c r="G87" i="1"/>
  <c r="G111" i="1"/>
  <c r="F92" i="1"/>
  <c r="F28" i="1"/>
  <c r="F52" i="1"/>
  <c r="F58" i="1"/>
  <c r="F76" i="1"/>
  <c r="F88" i="1"/>
  <c r="F100" i="1"/>
  <c r="F106" i="1"/>
  <c r="F19" i="1"/>
  <c r="G16" i="1"/>
  <c r="G17" i="1"/>
  <c r="G18" i="1"/>
  <c r="G19" i="1"/>
  <c r="F17" i="1"/>
  <c r="F18" i="1"/>
  <c r="F16" i="1"/>
  <c r="F20" i="1"/>
  <c r="Y69" i="3" l="1"/>
  <c r="S70" i="3"/>
  <c r="W70" i="3"/>
  <c r="X70" i="3"/>
  <c r="S40" i="2"/>
  <c r="X69" i="2" s="1"/>
  <c r="W68" i="2"/>
  <c r="Y68" i="2" s="1"/>
  <c r="V72" i="2"/>
  <c r="Z71" i="2"/>
  <c r="AB71" i="2" s="1"/>
  <c r="V75" i="3"/>
  <c r="Z74" i="3"/>
  <c r="AB74" i="3" s="1"/>
  <c r="G11" i="1"/>
  <c r="G10" i="1"/>
  <c r="G8" i="1"/>
  <c r="G7" i="1"/>
  <c r="S71" i="3" l="1"/>
  <c r="W71" i="3"/>
  <c r="X71" i="3"/>
  <c r="Y70" i="3"/>
  <c r="S41" i="2"/>
  <c r="X70" i="2" s="1"/>
  <c r="W69" i="2"/>
  <c r="Y69" i="2" s="1"/>
  <c r="V73" i="2"/>
  <c r="Z72" i="2"/>
  <c r="AB72" i="2" s="1"/>
  <c r="V76" i="3"/>
  <c r="Z75" i="3"/>
  <c r="AB75" i="3" s="1"/>
  <c r="I16" i="1"/>
  <c r="I112" i="1"/>
  <c r="I46" i="1"/>
  <c r="I39" i="1"/>
  <c r="I45" i="1"/>
  <c r="I72" i="1"/>
  <c r="I48" i="1"/>
  <c r="I75" i="1"/>
  <c r="I23" i="1"/>
  <c r="I106" i="1"/>
  <c r="I52" i="1"/>
  <c r="I28" i="1"/>
  <c r="I74" i="1"/>
  <c r="I103" i="1"/>
  <c r="I118" i="1"/>
  <c r="I91" i="1"/>
  <c r="I108" i="1"/>
  <c r="I60" i="1"/>
  <c r="I62" i="1"/>
  <c r="I37" i="1"/>
  <c r="I19" i="1"/>
  <c r="I120" i="1"/>
  <c r="I17" i="1"/>
  <c r="I100" i="1"/>
  <c r="I61" i="1"/>
  <c r="I102" i="1"/>
  <c r="I42" i="1"/>
  <c r="I53" i="1"/>
  <c r="I59" i="1"/>
  <c r="I73" i="1"/>
  <c r="I83" i="1"/>
  <c r="I77" i="1"/>
  <c r="I66" i="1"/>
  <c r="I119" i="1"/>
  <c r="I21" i="1"/>
  <c r="I85" i="1"/>
  <c r="I41" i="1"/>
  <c r="I47" i="1"/>
  <c r="I50" i="1"/>
  <c r="I56" i="1"/>
  <c r="I88" i="1"/>
  <c r="I115" i="1"/>
  <c r="I18" i="1"/>
  <c r="I58" i="1"/>
  <c r="I114" i="1"/>
  <c r="I54" i="1"/>
  <c r="I116" i="1"/>
  <c r="I93" i="1"/>
  <c r="I113" i="1"/>
  <c r="I44" i="1"/>
  <c r="I63" i="1"/>
  <c r="I67" i="1"/>
  <c r="I69" i="1"/>
  <c r="I109" i="1"/>
  <c r="I65" i="1"/>
  <c r="I89" i="1"/>
  <c r="I36" i="1"/>
  <c r="I78" i="1"/>
  <c r="I117" i="1"/>
  <c r="I38" i="1"/>
  <c r="I55" i="1"/>
  <c r="I76" i="1"/>
  <c r="I82" i="1"/>
  <c r="I29" i="1"/>
  <c r="I86" i="1"/>
  <c r="I95" i="1"/>
  <c r="I110" i="1"/>
  <c r="I70" i="1"/>
  <c r="I43" i="1"/>
  <c r="I97" i="1"/>
  <c r="I94" i="1"/>
  <c r="I79" i="1"/>
  <c r="I25" i="1"/>
  <c r="I92" i="1"/>
  <c r="I101" i="1"/>
  <c r="I107" i="1"/>
  <c r="I49" i="1"/>
  <c r="I20" i="1"/>
  <c r="I51" i="1"/>
  <c r="I57" i="1"/>
  <c r="I84" i="1"/>
  <c r="I111" i="1"/>
  <c r="I96" i="1"/>
  <c r="I34" i="1"/>
  <c r="I90" i="1"/>
  <c r="I99" i="1"/>
  <c r="I31" i="1"/>
  <c r="I26" i="1"/>
  <c r="I32" i="1"/>
  <c r="I64" i="1"/>
  <c r="I33" i="1"/>
  <c r="I71" i="1"/>
  <c r="I81" i="1"/>
  <c r="I24" i="1"/>
  <c r="I35" i="1"/>
  <c r="I30" i="1"/>
  <c r="I40" i="1"/>
  <c r="I105" i="1"/>
  <c r="I98" i="1"/>
  <c r="I104" i="1"/>
  <c r="I27" i="1"/>
  <c r="I68" i="1"/>
  <c r="I22" i="1"/>
  <c r="I87" i="1"/>
  <c r="I80" i="1"/>
  <c r="H16" i="1"/>
  <c r="H91" i="1"/>
  <c r="H28" i="1"/>
  <c r="H79" i="1"/>
  <c r="H23" i="1"/>
  <c r="H73" i="1"/>
  <c r="H99" i="1"/>
  <c r="H30" i="1"/>
  <c r="H19" i="1"/>
  <c r="H78" i="1"/>
  <c r="H83" i="1"/>
  <c r="H17" i="1"/>
  <c r="H35" i="1"/>
  <c r="H102" i="1"/>
  <c r="H21" i="1"/>
  <c r="H40" i="1"/>
  <c r="H38" i="1"/>
  <c r="H67" i="1"/>
  <c r="H41" i="1"/>
  <c r="H63" i="1"/>
  <c r="H29" i="1"/>
  <c r="H96" i="1"/>
  <c r="H49" i="1"/>
  <c r="H93" i="1"/>
  <c r="H112" i="1"/>
  <c r="H106" i="1"/>
  <c r="H64" i="1"/>
  <c r="H62" i="1"/>
  <c r="H89" i="1"/>
  <c r="H74" i="1"/>
  <c r="H113" i="1"/>
  <c r="H25" i="1"/>
  <c r="H24" i="1"/>
  <c r="H34" i="1"/>
  <c r="H100" i="1"/>
  <c r="H77" i="1"/>
  <c r="H119" i="1"/>
  <c r="H46" i="1"/>
  <c r="H72" i="1"/>
  <c r="H110" i="1"/>
  <c r="H90" i="1"/>
  <c r="H81" i="1"/>
  <c r="H87" i="1"/>
  <c r="H104" i="1"/>
  <c r="H51" i="1"/>
  <c r="H65" i="1"/>
  <c r="H71" i="1"/>
  <c r="H108" i="1"/>
  <c r="H85" i="1"/>
  <c r="H92" i="1"/>
  <c r="H115" i="1"/>
  <c r="H22" i="1"/>
  <c r="H26" i="1"/>
  <c r="H88" i="1"/>
  <c r="H59" i="1"/>
  <c r="H54" i="1"/>
  <c r="H60" i="1"/>
  <c r="H97" i="1"/>
  <c r="H118" i="1"/>
  <c r="H75" i="1"/>
  <c r="H94" i="1"/>
  <c r="H98" i="1"/>
  <c r="H120" i="1"/>
  <c r="H48" i="1"/>
  <c r="H55" i="1"/>
  <c r="H61" i="1"/>
  <c r="H27" i="1"/>
  <c r="H57" i="1"/>
  <c r="H101" i="1"/>
  <c r="H86" i="1"/>
  <c r="H68" i="1"/>
  <c r="H76" i="1"/>
  <c r="H53" i="1"/>
  <c r="H37" i="1"/>
  <c r="H31" i="1"/>
  <c r="H43" i="1"/>
  <c r="H70" i="1"/>
  <c r="H84" i="1"/>
  <c r="H32" i="1"/>
  <c r="H58" i="1"/>
  <c r="H20" i="1"/>
  <c r="H42" i="1"/>
  <c r="H107" i="1"/>
  <c r="H39" i="1"/>
  <c r="H45" i="1"/>
  <c r="H18" i="1"/>
  <c r="H44" i="1"/>
  <c r="H109" i="1"/>
  <c r="H80" i="1"/>
  <c r="H66" i="1"/>
  <c r="H47" i="1"/>
  <c r="H114" i="1"/>
  <c r="H33" i="1"/>
  <c r="H111" i="1"/>
  <c r="H56" i="1"/>
  <c r="H82" i="1"/>
  <c r="H95" i="1"/>
  <c r="H69" i="1"/>
  <c r="H52" i="1"/>
  <c r="H117" i="1"/>
  <c r="H36" i="1"/>
  <c r="H103" i="1"/>
  <c r="H105" i="1"/>
  <c r="H50" i="1"/>
  <c r="H116" i="1"/>
  <c r="Y71" i="3" l="1"/>
  <c r="S72" i="3"/>
  <c r="W72" i="3"/>
  <c r="X72" i="3"/>
  <c r="Y72" i="3" s="1"/>
  <c r="V74" i="2"/>
  <c r="Z73" i="2"/>
  <c r="AB73" i="2" s="1"/>
  <c r="S42" i="2"/>
  <c r="X71" i="2" s="1"/>
  <c r="W70" i="2"/>
  <c r="Y70" i="2" s="1"/>
  <c r="V77" i="3"/>
  <c r="Z76" i="3"/>
  <c r="AB76" i="3" s="1"/>
  <c r="I8" i="1"/>
  <c r="I7" i="1"/>
  <c r="I11" i="1"/>
  <c r="I10" i="1"/>
  <c r="S73" i="3" l="1"/>
  <c r="W73" i="3"/>
  <c r="X73" i="3"/>
  <c r="S43" i="2"/>
  <c r="X72" i="2" s="1"/>
  <c r="W71" i="2"/>
  <c r="Y71" i="2" s="1"/>
  <c r="V75" i="2"/>
  <c r="Z74" i="2"/>
  <c r="AB74" i="2" s="1"/>
  <c r="Z77" i="3"/>
  <c r="AB77" i="3" s="1"/>
  <c r="V78" i="3"/>
  <c r="J21" i="1"/>
  <c r="K21" i="1" s="1"/>
  <c r="M21" i="1" s="1"/>
  <c r="N21" i="1" s="1"/>
  <c r="J36" i="1"/>
  <c r="K36" i="1" s="1"/>
  <c r="M36" i="1" s="1"/>
  <c r="N36" i="1" s="1"/>
  <c r="J50" i="1"/>
  <c r="L50" i="1" s="1"/>
  <c r="O50" i="1" s="1"/>
  <c r="J40" i="1"/>
  <c r="L40" i="1" s="1"/>
  <c r="O40" i="1" s="1"/>
  <c r="J53" i="1"/>
  <c r="K53" i="1" s="1"/>
  <c r="M53" i="1" s="1"/>
  <c r="N53" i="1" s="1"/>
  <c r="J102" i="1"/>
  <c r="K102" i="1" s="1"/>
  <c r="M102" i="1" s="1"/>
  <c r="N102" i="1" s="1"/>
  <c r="J44" i="1"/>
  <c r="K44" i="1" s="1"/>
  <c r="M44" i="1" s="1"/>
  <c r="N44" i="1" s="1"/>
  <c r="J120" i="1"/>
  <c r="K120" i="1" s="1"/>
  <c r="M120" i="1" s="1"/>
  <c r="N120" i="1" s="1"/>
  <c r="J61" i="1"/>
  <c r="K61" i="1" s="1"/>
  <c r="M61" i="1" s="1"/>
  <c r="N61" i="1" s="1"/>
  <c r="J28" i="1"/>
  <c r="K28" i="1" s="1"/>
  <c r="M28" i="1" s="1"/>
  <c r="N28" i="1" s="1"/>
  <c r="J95" i="1"/>
  <c r="L95" i="1" s="1"/>
  <c r="O95" i="1" s="1"/>
  <c r="J56" i="1"/>
  <c r="L56" i="1" s="1"/>
  <c r="O56" i="1" s="1"/>
  <c r="J85" i="1"/>
  <c r="L85" i="1" s="1"/>
  <c r="O85" i="1" s="1"/>
  <c r="J25" i="1"/>
  <c r="K25" i="1" s="1"/>
  <c r="M25" i="1" s="1"/>
  <c r="N25" i="1" s="1"/>
  <c r="J58" i="1"/>
  <c r="L58" i="1" s="1"/>
  <c r="O58" i="1" s="1"/>
  <c r="J51" i="1"/>
  <c r="K51" i="1" s="1"/>
  <c r="M51" i="1" s="1"/>
  <c r="N51" i="1" s="1"/>
  <c r="J48" i="1"/>
  <c r="K48" i="1" s="1"/>
  <c r="M48" i="1" s="1"/>
  <c r="N48" i="1" s="1"/>
  <c r="J117" i="1"/>
  <c r="K117" i="1" s="1"/>
  <c r="M117" i="1" s="1"/>
  <c r="N117" i="1" s="1"/>
  <c r="J110" i="1"/>
  <c r="L110" i="1" s="1"/>
  <c r="O110" i="1" s="1"/>
  <c r="J103" i="1"/>
  <c r="K103" i="1" s="1"/>
  <c r="M103" i="1" s="1"/>
  <c r="N103" i="1" s="1"/>
  <c r="J104" i="1"/>
  <c r="K104" i="1" s="1"/>
  <c r="M104" i="1" s="1"/>
  <c r="N104" i="1" s="1"/>
  <c r="J89" i="1"/>
  <c r="K89" i="1" s="1"/>
  <c r="M89" i="1" s="1"/>
  <c r="N89" i="1" s="1"/>
  <c r="J66" i="1"/>
  <c r="L66" i="1" s="1"/>
  <c r="O66" i="1" s="1"/>
  <c r="J59" i="1"/>
  <c r="L59" i="1" s="1"/>
  <c r="O59" i="1" s="1"/>
  <c r="J60" i="1"/>
  <c r="L60" i="1" s="1"/>
  <c r="O60" i="1" s="1"/>
  <c r="J101" i="1"/>
  <c r="K101" i="1" s="1"/>
  <c r="M101" i="1" s="1"/>
  <c r="N101" i="1" s="1"/>
  <c r="J22" i="1"/>
  <c r="L22" i="1" s="1"/>
  <c r="O22" i="1" s="1"/>
  <c r="J118" i="1"/>
  <c r="K118" i="1" s="1"/>
  <c r="M118" i="1" s="1"/>
  <c r="N118" i="1" s="1"/>
  <c r="J111" i="1"/>
  <c r="K111" i="1" s="1"/>
  <c r="M111" i="1" s="1"/>
  <c r="N111" i="1" s="1"/>
  <c r="J112" i="1"/>
  <c r="K112" i="1" s="1"/>
  <c r="M112" i="1" s="1"/>
  <c r="N112" i="1" s="1"/>
  <c r="J49" i="1"/>
  <c r="L49" i="1" s="1"/>
  <c r="O49" i="1" s="1"/>
  <c r="J68" i="1"/>
  <c r="L68" i="1" s="1"/>
  <c r="O68" i="1" s="1"/>
  <c r="J75" i="1"/>
  <c r="L75" i="1" s="1"/>
  <c r="O75" i="1" s="1"/>
  <c r="J26" i="1"/>
  <c r="K26" i="1" s="1"/>
  <c r="M26" i="1" s="1"/>
  <c r="N26" i="1" s="1"/>
  <c r="J71" i="1"/>
  <c r="K71" i="1" s="1"/>
  <c r="M71" i="1" s="1"/>
  <c r="N71" i="1" s="1"/>
  <c r="J105" i="1"/>
  <c r="K105" i="1" s="1"/>
  <c r="M105" i="1" s="1"/>
  <c r="N105" i="1" s="1"/>
  <c r="J42" i="1"/>
  <c r="K42" i="1" s="1"/>
  <c r="M42" i="1" s="1"/>
  <c r="N42" i="1" s="1"/>
  <c r="J35" i="1"/>
  <c r="K35" i="1" s="1"/>
  <c r="M35" i="1" s="1"/>
  <c r="N35" i="1" s="1"/>
  <c r="J32" i="1"/>
  <c r="L32" i="1" s="1"/>
  <c r="O32" i="1" s="1"/>
  <c r="J46" i="1"/>
  <c r="L46" i="1" s="1"/>
  <c r="O46" i="1" s="1"/>
  <c r="J39" i="1"/>
  <c r="K39" i="1" s="1"/>
  <c r="M39" i="1" s="1"/>
  <c r="N39" i="1" s="1"/>
  <c r="J65" i="1"/>
  <c r="K65" i="1" s="1"/>
  <c r="M65" i="1" s="1"/>
  <c r="N65" i="1" s="1"/>
  <c r="J34" i="1"/>
  <c r="L34" i="1" s="1"/>
  <c r="O34" i="1" s="1"/>
  <c r="J37" i="1"/>
  <c r="K37" i="1" s="1"/>
  <c r="M37" i="1" s="1"/>
  <c r="N37" i="1" s="1"/>
  <c r="J109" i="1"/>
  <c r="L109" i="1" s="1"/>
  <c r="O109" i="1" s="1"/>
  <c r="J70" i="1"/>
  <c r="K70" i="1" s="1"/>
  <c r="M70" i="1" s="1"/>
  <c r="N70" i="1" s="1"/>
  <c r="J63" i="1"/>
  <c r="L63" i="1" s="1"/>
  <c r="O63" i="1" s="1"/>
  <c r="J64" i="1"/>
  <c r="L64" i="1" s="1"/>
  <c r="O64" i="1" s="1"/>
  <c r="J57" i="1"/>
  <c r="K57" i="1" s="1"/>
  <c r="M57" i="1" s="1"/>
  <c r="N57" i="1" s="1"/>
  <c r="J74" i="1"/>
  <c r="L74" i="1" s="1"/>
  <c r="O74" i="1" s="1"/>
  <c r="J23" i="1"/>
  <c r="L23" i="1" s="1"/>
  <c r="O23" i="1" s="1"/>
  <c r="J80" i="1"/>
  <c r="K80" i="1" s="1"/>
  <c r="M80" i="1" s="1"/>
  <c r="N80" i="1" s="1"/>
  <c r="J79" i="1"/>
  <c r="L79" i="1" s="1"/>
  <c r="O79" i="1" s="1"/>
  <c r="J38" i="1"/>
  <c r="L38" i="1" s="1"/>
  <c r="O38" i="1" s="1"/>
  <c r="J73" i="1"/>
  <c r="K73" i="1" s="1"/>
  <c r="M73" i="1" s="1"/>
  <c r="N73" i="1" s="1"/>
  <c r="J90" i="1"/>
  <c r="L90" i="1" s="1"/>
  <c r="O90" i="1" s="1"/>
  <c r="J83" i="1"/>
  <c r="L83" i="1" s="1"/>
  <c r="O83" i="1" s="1"/>
  <c r="J84" i="1"/>
  <c r="K84" i="1" s="1"/>
  <c r="M84" i="1" s="1"/>
  <c r="N84" i="1" s="1"/>
  <c r="J93" i="1"/>
  <c r="L93" i="1" s="1"/>
  <c r="O93" i="1" s="1"/>
  <c r="J94" i="1"/>
  <c r="L94" i="1" s="1"/>
  <c r="O94" i="1" s="1"/>
  <c r="J87" i="1"/>
  <c r="K87" i="1" s="1"/>
  <c r="M87" i="1" s="1"/>
  <c r="N87" i="1" s="1"/>
  <c r="J88" i="1"/>
  <c r="L88" i="1" s="1"/>
  <c r="O88" i="1" s="1"/>
  <c r="J33" i="1"/>
  <c r="L33" i="1" s="1"/>
  <c r="O33" i="1" s="1"/>
  <c r="J43" i="1"/>
  <c r="K43" i="1" s="1"/>
  <c r="M43" i="1" s="1"/>
  <c r="N43" i="1" s="1"/>
  <c r="J92" i="1"/>
  <c r="L92" i="1" s="1"/>
  <c r="O92" i="1" s="1"/>
  <c r="J54" i="1"/>
  <c r="L54" i="1" s="1"/>
  <c r="O54" i="1" s="1"/>
  <c r="J47" i="1"/>
  <c r="K47" i="1" s="1"/>
  <c r="M47" i="1" s="1"/>
  <c r="N47" i="1" s="1"/>
  <c r="J96" i="1"/>
  <c r="K96" i="1" s="1"/>
  <c r="M96" i="1" s="1"/>
  <c r="N96" i="1" s="1"/>
  <c r="J113" i="1"/>
  <c r="L113" i="1" s="1"/>
  <c r="O113" i="1" s="1"/>
  <c r="J76" i="1"/>
  <c r="K76" i="1" s="1"/>
  <c r="M76" i="1" s="1"/>
  <c r="N76" i="1" s="1"/>
  <c r="J86" i="1"/>
  <c r="L86" i="1" s="1"/>
  <c r="O86" i="1" s="1"/>
  <c r="J91" i="1"/>
  <c r="L91" i="1" s="1"/>
  <c r="O91" i="1" s="1"/>
  <c r="J27" i="1"/>
  <c r="K27" i="1" s="1"/>
  <c r="M27" i="1" s="1"/>
  <c r="N27" i="1" s="1"/>
  <c r="J98" i="1"/>
  <c r="L98" i="1" s="1"/>
  <c r="O98" i="1" s="1"/>
  <c r="J99" i="1"/>
  <c r="L99" i="1" s="1"/>
  <c r="O99" i="1" s="1"/>
  <c r="J116" i="1"/>
  <c r="K116" i="1" s="1"/>
  <c r="M116" i="1" s="1"/>
  <c r="N116" i="1" s="1"/>
  <c r="J55" i="1"/>
  <c r="L55" i="1" s="1"/>
  <c r="O55" i="1" s="1"/>
  <c r="J18" i="1"/>
  <c r="L18" i="1" s="1"/>
  <c r="O18" i="1" s="1"/>
  <c r="J108" i="1"/>
  <c r="L108" i="1" s="1"/>
  <c r="O108" i="1" s="1"/>
  <c r="J78" i="1"/>
  <c r="L78" i="1" s="1"/>
  <c r="O78" i="1" s="1"/>
  <c r="J29" i="1"/>
  <c r="K29" i="1" s="1"/>
  <c r="M29" i="1" s="1"/>
  <c r="N29" i="1" s="1"/>
  <c r="J17" i="1"/>
  <c r="L17" i="1" s="1"/>
  <c r="O17" i="1" s="1"/>
  <c r="J100" i="1"/>
  <c r="K100" i="1" s="1"/>
  <c r="M100" i="1" s="1"/>
  <c r="N100" i="1" s="1"/>
  <c r="J19" i="1"/>
  <c r="K19" i="1" s="1"/>
  <c r="M19" i="1" s="1"/>
  <c r="N19" i="1" s="1"/>
  <c r="J77" i="1"/>
  <c r="L77" i="1" s="1"/>
  <c r="O77" i="1" s="1"/>
  <c r="J82" i="1"/>
  <c r="L82" i="1" s="1"/>
  <c r="O82" i="1" s="1"/>
  <c r="J52" i="1"/>
  <c r="K52" i="1" s="1"/>
  <c r="M52" i="1" s="1"/>
  <c r="N52" i="1" s="1"/>
  <c r="J114" i="1"/>
  <c r="L114" i="1" s="1"/>
  <c r="O114" i="1" s="1"/>
  <c r="J31" i="1"/>
  <c r="K31" i="1" s="1"/>
  <c r="M31" i="1" s="1"/>
  <c r="N31" i="1" s="1"/>
  <c r="J97" i="1"/>
  <c r="L97" i="1" s="1"/>
  <c r="O97" i="1" s="1"/>
  <c r="J45" i="1"/>
  <c r="K45" i="1" s="1"/>
  <c r="M45" i="1" s="1"/>
  <c r="N45" i="1" s="1"/>
  <c r="J67" i="1"/>
  <c r="K67" i="1" s="1"/>
  <c r="M67" i="1" s="1"/>
  <c r="N67" i="1" s="1"/>
  <c r="J69" i="1"/>
  <c r="L69" i="1" s="1"/>
  <c r="O69" i="1" s="1"/>
  <c r="J24" i="1"/>
  <c r="K24" i="1" s="1"/>
  <c r="M24" i="1" s="1"/>
  <c r="N24" i="1" s="1"/>
  <c r="J106" i="1"/>
  <c r="L106" i="1" s="1"/>
  <c r="O106" i="1" s="1"/>
  <c r="J62" i="1"/>
  <c r="L62" i="1" s="1"/>
  <c r="O62" i="1" s="1"/>
  <c r="J115" i="1"/>
  <c r="L115" i="1" s="1"/>
  <c r="O115" i="1" s="1"/>
  <c r="J41" i="1"/>
  <c r="K41" i="1" s="1"/>
  <c r="M41" i="1" s="1"/>
  <c r="N41" i="1" s="1"/>
  <c r="J119" i="1"/>
  <c r="L119" i="1" s="1"/>
  <c r="O119" i="1" s="1"/>
  <c r="J72" i="1"/>
  <c r="L72" i="1" s="1"/>
  <c r="O72" i="1" s="1"/>
  <c r="J107" i="1"/>
  <c r="L107" i="1" s="1"/>
  <c r="O107" i="1" s="1"/>
  <c r="J30" i="1"/>
  <c r="L30" i="1" s="1"/>
  <c r="O30" i="1" s="1"/>
  <c r="J20" i="1"/>
  <c r="K20" i="1" s="1"/>
  <c r="M20" i="1" s="1"/>
  <c r="N20" i="1" s="1"/>
  <c r="J16" i="1"/>
  <c r="K16" i="1" s="1"/>
  <c r="M16" i="1" s="1"/>
  <c r="N16" i="1" s="1"/>
  <c r="J81" i="1"/>
  <c r="L81" i="1" s="1"/>
  <c r="O81" i="1" s="1"/>
  <c r="Y73" i="3" l="1"/>
  <c r="S74" i="3"/>
  <c r="W74" i="3"/>
  <c r="X74" i="3"/>
  <c r="Y74" i="3" s="1"/>
  <c r="V76" i="2"/>
  <c r="Z75" i="2"/>
  <c r="AB75" i="2" s="1"/>
  <c r="S44" i="2"/>
  <c r="X73" i="2" s="1"/>
  <c r="W72" i="2"/>
  <c r="Y72" i="2" s="1"/>
  <c r="V79" i="3"/>
  <c r="Z78" i="3"/>
  <c r="AB78" i="3" s="1"/>
  <c r="K92" i="1"/>
  <c r="M92" i="1" s="1"/>
  <c r="N92" i="1" s="1"/>
  <c r="K81" i="1"/>
  <c r="M81" i="1" s="1"/>
  <c r="N81" i="1" s="1"/>
  <c r="K106" i="1"/>
  <c r="M106" i="1" s="1"/>
  <c r="N106" i="1" s="1"/>
  <c r="L29" i="1"/>
  <c r="O29" i="1" s="1"/>
  <c r="K108" i="1"/>
  <c r="M108" i="1" s="1"/>
  <c r="N108" i="1" s="1"/>
  <c r="K90" i="1"/>
  <c r="M90" i="1" s="1"/>
  <c r="N90" i="1" s="1"/>
  <c r="K55" i="1"/>
  <c r="M55" i="1" s="1"/>
  <c r="N55" i="1" s="1"/>
  <c r="L35" i="1"/>
  <c r="O35" i="1" s="1"/>
  <c r="L19" i="1"/>
  <c r="O19" i="1" s="1"/>
  <c r="L89" i="1"/>
  <c r="O89" i="1" s="1"/>
  <c r="K69" i="1"/>
  <c r="M69" i="1" s="1"/>
  <c r="N69" i="1" s="1"/>
  <c r="L65" i="1"/>
  <c r="O65" i="1" s="1"/>
  <c r="K98" i="1"/>
  <c r="M98" i="1" s="1"/>
  <c r="N98" i="1" s="1"/>
  <c r="L101" i="1"/>
  <c r="O101" i="1" s="1"/>
  <c r="K107" i="1"/>
  <c r="M107" i="1" s="1"/>
  <c r="N107" i="1" s="1"/>
  <c r="L25" i="1"/>
  <c r="O25" i="1" s="1"/>
  <c r="K17" i="1"/>
  <c r="M17" i="1" s="1"/>
  <c r="N17" i="1" s="1"/>
  <c r="L45" i="1"/>
  <c r="O45" i="1" s="1"/>
  <c r="L112" i="1"/>
  <c r="O112" i="1" s="1"/>
  <c r="L28" i="1"/>
  <c r="O28" i="1" s="1"/>
  <c r="K114" i="1"/>
  <c r="M114" i="1" s="1"/>
  <c r="N114" i="1" s="1"/>
  <c r="K63" i="1"/>
  <c r="M63" i="1" s="1"/>
  <c r="N63" i="1" s="1"/>
  <c r="K18" i="1"/>
  <c r="M18" i="1" s="1"/>
  <c r="N18" i="1" s="1"/>
  <c r="K86" i="1"/>
  <c r="M86" i="1" s="1"/>
  <c r="N86" i="1" s="1"/>
  <c r="K88" i="1"/>
  <c r="M88" i="1" s="1"/>
  <c r="N88" i="1" s="1"/>
  <c r="K79" i="1"/>
  <c r="M79" i="1" s="1"/>
  <c r="N79" i="1" s="1"/>
  <c r="L26" i="1"/>
  <c r="O26" i="1" s="1"/>
  <c r="L96" i="1"/>
  <c r="O96" i="1" s="1"/>
  <c r="K119" i="1"/>
  <c r="M119" i="1" s="1"/>
  <c r="N119" i="1" s="1"/>
  <c r="K115" i="1"/>
  <c r="M115" i="1" s="1"/>
  <c r="N115" i="1" s="1"/>
  <c r="K93" i="1"/>
  <c r="M93" i="1" s="1"/>
  <c r="N93" i="1" s="1"/>
  <c r="K74" i="1"/>
  <c r="M74" i="1" s="1"/>
  <c r="N74" i="1" s="1"/>
  <c r="L36" i="1"/>
  <c r="O36" i="1" s="1"/>
  <c r="L41" i="1"/>
  <c r="O41" i="1" s="1"/>
  <c r="K82" i="1"/>
  <c r="M82" i="1" s="1"/>
  <c r="N82" i="1" s="1"/>
  <c r="K78" i="1"/>
  <c r="M78" i="1" s="1"/>
  <c r="N78" i="1" s="1"/>
  <c r="L117" i="1"/>
  <c r="O117" i="1" s="1"/>
  <c r="K59" i="1"/>
  <c r="M59" i="1" s="1"/>
  <c r="N59" i="1" s="1"/>
  <c r="L16" i="1"/>
  <c r="O16" i="1" s="1"/>
  <c r="K58" i="1"/>
  <c r="M58" i="1" s="1"/>
  <c r="N58" i="1" s="1"/>
  <c r="K85" i="1"/>
  <c r="M85" i="1" s="1"/>
  <c r="N85" i="1" s="1"/>
  <c r="K62" i="1"/>
  <c r="M62" i="1" s="1"/>
  <c r="N62" i="1" s="1"/>
  <c r="K97" i="1"/>
  <c r="M97" i="1" s="1"/>
  <c r="N97" i="1" s="1"/>
  <c r="L102" i="1"/>
  <c r="O102" i="1" s="1"/>
  <c r="K40" i="1"/>
  <c r="M40" i="1" s="1"/>
  <c r="N40" i="1" s="1"/>
  <c r="K60" i="1"/>
  <c r="M60" i="1" s="1"/>
  <c r="N60" i="1" s="1"/>
  <c r="K50" i="1"/>
  <c r="M50" i="1" s="1"/>
  <c r="N50" i="1" s="1"/>
  <c r="K75" i="1"/>
  <c r="M75" i="1" s="1"/>
  <c r="N75" i="1" s="1"/>
  <c r="L52" i="1"/>
  <c r="O52" i="1" s="1"/>
  <c r="K68" i="1"/>
  <c r="M68" i="1" s="1"/>
  <c r="N68" i="1" s="1"/>
  <c r="L100" i="1"/>
  <c r="O100" i="1" s="1"/>
  <c r="L27" i="1"/>
  <c r="O27" i="1" s="1"/>
  <c r="L47" i="1"/>
  <c r="O47" i="1" s="1"/>
  <c r="L87" i="1"/>
  <c r="O87" i="1" s="1"/>
  <c r="L73" i="1"/>
  <c r="O73" i="1" s="1"/>
  <c r="L57" i="1"/>
  <c r="O57" i="1" s="1"/>
  <c r="K30" i="1"/>
  <c r="M30" i="1" s="1"/>
  <c r="N30" i="1" s="1"/>
  <c r="K72" i="1"/>
  <c r="M72" i="1" s="1"/>
  <c r="N72" i="1" s="1"/>
  <c r="K99" i="1"/>
  <c r="M99" i="1" s="1"/>
  <c r="N99" i="1" s="1"/>
  <c r="K91" i="1"/>
  <c r="M91" i="1" s="1"/>
  <c r="N91" i="1" s="1"/>
  <c r="K113" i="1"/>
  <c r="M113" i="1" s="1"/>
  <c r="N113" i="1" s="1"/>
  <c r="K54" i="1"/>
  <c r="M54" i="1" s="1"/>
  <c r="N54" i="1" s="1"/>
  <c r="K33" i="1"/>
  <c r="M33" i="1" s="1"/>
  <c r="N33" i="1" s="1"/>
  <c r="K94" i="1"/>
  <c r="M94" i="1" s="1"/>
  <c r="N94" i="1" s="1"/>
  <c r="K83" i="1"/>
  <c r="M83" i="1" s="1"/>
  <c r="N83" i="1" s="1"/>
  <c r="K38" i="1"/>
  <c r="M38" i="1" s="1"/>
  <c r="N38" i="1" s="1"/>
  <c r="K23" i="1"/>
  <c r="M23" i="1" s="1"/>
  <c r="N23" i="1" s="1"/>
  <c r="K64" i="1"/>
  <c r="M64" i="1" s="1"/>
  <c r="N64" i="1" s="1"/>
  <c r="K109" i="1"/>
  <c r="M109" i="1" s="1"/>
  <c r="N109" i="1" s="1"/>
  <c r="L39" i="1"/>
  <c r="O39" i="1" s="1"/>
  <c r="L42" i="1"/>
  <c r="O42" i="1" s="1"/>
  <c r="L111" i="1"/>
  <c r="O111" i="1" s="1"/>
  <c r="L104" i="1"/>
  <c r="O104" i="1" s="1"/>
  <c r="L48" i="1"/>
  <c r="O48" i="1" s="1"/>
  <c r="L61" i="1"/>
  <c r="O61" i="1" s="1"/>
  <c r="L53" i="1"/>
  <c r="O53" i="1" s="1"/>
  <c r="L21" i="1"/>
  <c r="O21" i="1" s="1"/>
  <c r="K66" i="1"/>
  <c r="M66" i="1" s="1"/>
  <c r="N66" i="1" s="1"/>
  <c r="K56" i="1"/>
  <c r="M56" i="1" s="1"/>
  <c r="N56" i="1" s="1"/>
  <c r="K49" i="1"/>
  <c r="M49" i="1" s="1"/>
  <c r="N49" i="1" s="1"/>
  <c r="L116" i="1"/>
  <c r="O116" i="1" s="1"/>
  <c r="K95" i="1"/>
  <c r="M95" i="1" s="1"/>
  <c r="N95" i="1" s="1"/>
  <c r="L20" i="1"/>
  <c r="O20" i="1" s="1"/>
  <c r="K46" i="1"/>
  <c r="M46" i="1" s="1"/>
  <c r="N46" i="1" s="1"/>
  <c r="L31" i="1"/>
  <c r="O31" i="1" s="1"/>
  <c r="L67" i="1"/>
  <c r="O67" i="1" s="1"/>
  <c r="L24" i="1"/>
  <c r="O24" i="1" s="1"/>
  <c r="K77" i="1"/>
  <c r="M77" i="1" s="1"/>
  <c r="N77" i="1" s="1"/>
  <c r="L37" i="1"/>
  <c r="O37" i="1" s="1"/>
  <c r="L105" i="1"/>
  <c r="O105" i="1" s="1"/>
  <c r="L118" i="1"/>
  <c r="O118" i="1" s="1"/>
  <c r="L103" i="1"/>
  <c r="O103" i="1" s="1"/>
  <c r="L51" i="1"/>
  <c r="O51" i="1" s="1"/>
  <c r="L120" i="1"/>
  <c r="O120" i="1" s="1"/>
  <c r="K110" i="1"/>
  <c r="M110" i="1" s="1"/>
  <c r="N110" i="1" s="1"/>
  <c r="K34" i="1"/>
  <c r="M34" i="1" s="1"/>
  <c r="N34" i="1" s="1"/>
  <c r="K32" i="1"/>
  <c r="M32" i="1" s="1"/>
  <c r="N32" i="1" s="1"/>
  <c r="K22" i="1"/>
  <c r="M22" i="1" s="1"/>
  <c r="N22" i="1" s="1"/>
  <c r="L76" i="1"/>
  <c r="O76" i="1" s="1"/>
  <c r="L43" i="1"/>
  <c r="O43" i="1" s="1"/>
  <c r="L84" i="1"/>
  <c r="O84" i="1" s="1"/>
  <c r="L80" i="1"/>
  <c r="O80" i="1" s="1"/>
  <c r="L70" i="1"/>
  <c r="O70" i="1" s="1"/>
  <c r="L71" i="1"/>
  <c r="O71" i="1" s="1"/>
  <c r="L44" i="1"/>
  <c r="O44" i="1" s="1"/>
  <c r="S75" i="3" l="1"/>
  <c r="W75" i="3"/>
  <c r="X75" i="3"/>
  <c r="S45" i="2"/>
  <c r="X74" i="2" s="1"/>
  <c r="W73" i="2"/>
  <c r="Y73" i="2" s="1"/>
  <c r="V77" i="2"/>
  <c r="Z76" i="2"/>
  <c r="AB76" i="2" s="1"/>
  <c r="Z79" i="3"/>
  <c r="AB79" i="3" s="1"/>
  <c r="V80" i="3"/>
  <c r="O7" i="1"/>
  <c r="AE17" i="1"/>
  <c r="AC18" i="1"/>
  <c r="AP17" i="1" s="1"/>
  <c r="O11" i="1"/>
  <c r="O8" i="1"/>
  <c r="AC17" i="1"/>
  <c r="O10" i="1"/>
  <c r="O12" i="1" s="1"/>
  <c r="AE39" i="1"/>
  <c r="AC39" i="1"/>
  <c r="AF37" i="1" s="1"/>
  <c r="AC40" i="1"/>
  <c r="AP39" i="1" s="1"/>
  <c r="Y75" i="3" l="1"/>
  <c r="S76" i="3"/>
  <c r="W76" i="3"/>
  <c r="X76" i="3"/>
  <c r="V78" i="2"/>
  <c r="Z77" i="2"/>
  <c r="AB77" i="2" s="1"/>
  <c r="S46" i="2"/>
  <c r="X75" i="2" s="1"/>
  <c r="W74" i="2"/>
  <c r="Y74" i="2" s="1"/>
  <c r="V81" i="3"/>
  <c r="Z80" i="3"/>
  <c r="AB80" i="3" s="1"/>
  <c r="AF38" i="1"/>
  <c r="AF40" i="1" s="1"/>
  <c r="AF41" i="1" s="1"/>
  <c r="AG37" i="1"/>
  <c r="AF15" i="1"/>
  <c r="AF17" i="1"/>
  <c r="AG17" i="1" s="1"/>
  <c r="AH17" i="1" s="1"/>
  <c r="AI17" i="1" s="1"/>
  <c r="AJ17" i="1" s="1"/>
  <c r="AK17" i="1" s="1"/>
  <c r="AL17" i="1" s="1"/>
  <c r="AM17" i="1" s="1"/>
  <c r="AN17" i="1" s="1"/>
  <c r="AO17" i="1" s="1"/>
  <c r="Y76" i="3" l="1"/>
  <c r="S77" i="3"/>
  <c r="W77" i="3"/>
  <c r="X77" i="3"/>
  <c r="Y77" i="3" s="1"/>
  <c r="S47" i="2"/>
  <c r="X76" i="2" s="1"/>
  <c r="W75" i="2"/>
  <c r="Y75" i="2" s="1"/>
  <c r="V79" i="2"/>
  <c r="Z78" i="2"/>
  <c r="AB78" i="2" s="1"/>
  <c r="Z81" i="3"/>
  <c r="AB81" i="3" s="1"/>
  <c r="V82" i="3"/>
  <c r="AG15" i="1"/>
  <c r="AF16" i="1"/>
  <c r="AF18" i="1" s="1"/>
  <c r="AF19" i="1" s="1"/>
  <c r="AG38" i="1"/>
  <c r="AG40" i="1" s="1"/>
  <c r="AG41" i="1" s="1"/>
  <c r="AH37" i="1"/>
  <c r="AF39" i="1"/>
  <c r="S78" i="3" l="1"/>
  <c r="W78" i="3"/>
  <c r="X78" i="3"/>
  <c r="V80" i="2"/>
  <c r="Z79" i="2"/>
  <c r="AB79" i="2" s="1"/>
  <c r="S48" i="2"/>
  <c r="X77" i="2" s="1"/>
  <c r="W76" i="2"/>
  <c r="Y76" i="2" s="1"/>
  <c r="V83" i="3"/>
  <c r="Z82" i="3"/>
  <c r="AB82" i="3" s="1"/>
  <c r="AG39" i="1"/>
  <c r="AI37" i="1"/>
  <c r="AH38" i="1"/>
  <c r="AH40" i="1" s="1"/>
  <c r="AH41" i="1" s="1"/>
  <c r="AH15" i="1"/>
  <c r="AG16" i="1"/>
  <c r="AG18" i="1" s="1"/>
  <c r="AG19" i="1" s="1"/>
  <c r="Y78" i="3" l="1"/>
  <c r="S79" i="3"/>
  <c r="W79" i="3"/>
  <c r="X79" i="3"/>
  <c r="S49" i="2"/>
  <c r="X78" i="2" s="1"/>
  <c r="W77" i="2"/>
  <c r="Y77" i="2" s="1"/>
  <c r="V81" i="2"/>
  <c r="Z80" i="2"/>
  <c r="AB80" i="2" s="1"/>
  <c r="V84" i="3"/>
  <c r="Z83" i="3"/>
  <c r="AB83" i="3" s="1"/>
  <c r="AH16" i="1"/>
  <c r="AH18" i="1" s="1"/>
  <c r="AH19" i="1" s="1"/>
  <c r="AI15" i="1"/>
  <c r="AH39" i="1"/>
  <c r="AI38" i="1"/>
  <c r="AI40" i="1" s="1"/>
  <c r="AI41" i="1" s="1"/>
  <c r="AJ37" i="1"/>
  <c r="Y79" i="3" l="1"/>
  <c r="S80" i="3"/>
  <c r="W80" i="3"/>
  <c r="X80" i="3"/>
  <c r="V82" i="2"/>
  <c r="Z81" i="2"/>
  <c r="AB81" i="2" s="1"/>
  <c r="S50" i="2"/>
  <c r="X79" i="2" s="1"/>
  <c r="W78" i="2"/>
  <c r="Y78" i="2" s="1"/>
  <c r="V85" i="3"/>
  <c r="Z84" i="3"/>
  <c r="AB84" i="3" s="1"/>
  <c r="AI39" i="1"/>
  <c r="AJ38" i="1"/>
  <c r="AJ40" i="1" s="1"/>
  <c r="AJ41" i="1" s="1"/>
  <c r="AK37" i="1"/>
  <c r="AI16" i="1"/>
  <c r="AI18" i="1" s="1"/>
  <c r="AI19" i="1" s="1"/>
  <c r="AJ15" i="1"/>
  <c r="Y80" i="3" l="1"/>
  <c r="S81" i="3"/>
  <c r="W81" i="3"/>
  <c r="X81" i="3"/>
  <c r="S51" i="2"/>
  <c r="X80" i="2" s="1"/>
  <c r="W79" i="2"/>
  <c r="Y79" i="2" s="1"/>
  <c r="V83" i="2"/>
  <c r="Z82" i="2"/>
  <c r="AB82" i="2" s="1"/>
  <c r="Z85" i="3"/>
  <c r="AB85" i="3" s="1"/>
  <c r="V86" i="3"/>
  <c r="AJ39" i="1"/>
  <c r="AJ16" i="1"/>
  <c r="AJ18" i="1" s="1"/>
  <c r="AJ19" i="1" s="1"/>
  <c r="AK15" i="1"/>
  <c r="AL37" i="1"/>
  <c r="AK38" i="1"/>
  <c r="AK40" i="1" s="1"/>
  <c r="AK41" i="1" s="1"/>
  <c r="Y81" i="3" l="1"/>
  <c r="S82" i="3"/>
  <c r="W82" i="3"/>
  <c r="X82" i="3"/>
  <c r="Y82" i="3" s="1"/>
  <c r="V84" i="2"/>
  <c r="Z83" i="2"/>
  <c r="AB83" i="2" s="1"/>
  <c r="S52" i="2"/>
  <c r="W80" i="2"/>
  <c r="Y80" i="2" s="1"/>
  <c r="V87" i="3"/>
  <c r="Z86" i="3"/>
  <c r="AB86" i="3" s="1"/>
  <c r="AL38" i="1"/>
  <c r="AL40" i="1" s="1"/>
  <c r="AL41" i="1" s="1"/>
  <c r="AM37" i="1"/>
  <c r="AK39" i="1"/>
  <c r="AK16" i="1"/>
  <c r="AK18" i="1" s="1"/>
  <c r="AK19" i="1" s="1"/>
  <c r="AL15" i="1"/>
  <c r="X81" i="2" l="1"/>
  <c r="S83" i="3"/>
  <c r="W83" i="3"/>
  <c r="X83" i="3"/>
  <c r="S53" i="2"/>
  <c r="W81" i="2"/>
  <c r="V85" i="2"/>
  <c r="Z84" i="2"/>
  <c r="AB84" i="2" s="1"/>
  <c r="Z87" i="3"/>
  <c r="AB87" i="3" s="1"/>
  <c r="V88" i="3"/>
  <c r="AL39" i="1"/>
  <c r="AL16" i="1"/>
  <c r="AL18" i="1" s="1"/>
  <c r="AL19" i="1" s="1"/>
  <c r="AM15" i="1"/>
  <c r="AM38" i="1"/>
  <c r="AM40" i="1" s="1"/>
  <c r="AM41" i="1" s="1"/>
  <c r="AN37" i="1"/>
  <c r="Y81" i="2" l="1"/>
  <c r="X82" i="2"/>
  <c r="Y83" i="3"/>
  <c r="S84" i="3"/>
  <c r="W84" i="3"/>
  <c r="X84" i="3"/>
  <c r="Y84" i="3" s="1"/>
  <c r="V86" i="2"/>
  <c r="Z85" i="2"/>
  <c r="AB85" i="2" s="1"/>
  <c r="S54" i="2"/>
  <c r="W82" i="2"/>
  <c r="V89" i="3"/>
  <c r="Z88" i="3"/>
  <c r="AB88" i="3" s="1"/>
  <c r="AM39" i="1"/>
  <c r="AN38" i="1"/>
  <c r="AN40" i="1" s="1"/>
  <c r="AN41" i="1" s="1"/>
  <c r="AO37" i="1"/>
  <c r="AM16" i="1"/>
  <c r="AM18" i="1" s="1"/>
  <c r="AM19" i="1" s="1"/>
  <c r="AN15" i="1"/>
  <c r="X83" i="2" l="1"/>
  <c r="Y82" i="2"/>
  <c r="S85" i="3"/>
  <c r="W85" i="3"/>
  <c r="X85" i="3"/>
  <c r="S55" i="2"/>
  <c r="W83" i="2"/>
  <c r="V87" i="2"/>
  <c r="Z86" i="2"/>
  <c r="AB86" i="2" s="1"/>
  <c r="Z89" i="3"/>
  <c r="AB89" i="3" s="1"/>
  <c r="V90" i="3"/>
  <c r="AN39" i="1"/>
  <c r="AN16" i="1"/>
  <c r="AN18" i="1" s="1"/>
  <c r="AN19" i="1" s="1"/>
  <c r="AO15" i="1"/>
  <c r="AO16" i="1" s="1"/>
  <c r="AO38" i="1"/>
  <c r="AO40" i="1" s="1"/>
  <c r="AO41" i="1" s="1"/>
  <c r="AP41" i="1" s="1"/>
  <c r="X84" i="2" l="1"/>
  <c r="Y83" i="2"/>
  <c r="Y85" i="3"/>
  <c r="S86" i="3"/>
  <c r="W86" i="3"/>
  <c r="X86" i="3"/>
  <c r="Y86" i="3" s="1"/>
  <c r="V88" i="2"/>
  <c r="Z87" i="2"/>
  <c r="AB87" i="2" s="1"/>
  <c r="S56" i="2"/>
  <c r="W84" i="2"/>
  <c r="V91" i="3"/>
  <c r="Z90" i="3"/>
  <c r="AB90" i="3" s="1"/>
  <c r="AO39" i="1"/>
  <c r="AO18" i="1"/>
  <c r="AO19" i="1" s="1"/>
  <c r="AP19" i="1" s="1"/>
  <c r="X85" i="2" l="1"/>
  <c r="Y85" i="2" s="1"/>
  <c r="Y84" i="2"/>
  <c r="S87" i="3"/>
  <c r="W87" i="3"/>
  <c r="X87" i="3"/>
  <c r="S57" i="2"/>
  <c r="W85" i="2"/>
  <c r="V89" i="2"/>
  <c r="Z88" i="2"/>
  <c r="AB88" i="2" s="1"/>
  <c r="Z91" i="3"/>
  <c r="AB91" i="3" s="1"/>
  <c r="V92" i="3"/>
  <c r="X86" i="2" l="1"/>
  <c r="Y86" i="2" s="1"/>
  <c r="Y87" i="3"/>
  <c r="S88" i="3"/>
  <c r="W88" i="3"/>
  <c r="X88" i="3"/>
  <c r="V90" i="2"/>
  <c r="Z89" i="2"/>
  <c r="AB89" i="2" s="1"/>
  <c r="S58" i="2"/>
  <c r="W86" i="2"/>
  <c r="V93" i="3"/>
  <c r="Z92" i="3"/>
  <c r="AB92" i="3" s="1"/>
  <c r="X87" i="2" l="1"/>
  <c r="Y88" i="3"/>
  <c r="S89" i="3"/>
  <c r="W89" i="3"/>
  <c r="X89" i="3"/>
  <c r="Y89" i="3" s="1"/>
  <c r="S59" i="2"/>
  <c r="W87" i="2"/>
  <c r="V91" i="2"/>
  <c r="Z90" i="2"/>
  <c r="AB90" i="2" s="1"/>
  <c r="Z93" i="3"/>
  <c r="AB93" i="3" s="1"/>
  <c r="V94" i="3"/>
  <c r="X88" i="2" l="1"/>
  <c r="Y87" i="2"/>
  <c r="S90" i="3"/>
  <c r="W90" i="3"/>
  <c r="X90" i="3"/>
  <c r="V92" i="2"/>
  <c r="Z91" i="2"/>
  <c r="AB91" i="2" s="1"/>
  <c r="S60" i="2"/>
  <c r="W88" i="2"/>
  <c r="V95" i="3"/>
  <c r="Z94" i="3"/>
  <c r="AB94" i="3" s="1"/>
  <c r="X89" i="2" l="1"/>
  <c r="Y88" i="2"/>
  <c r="Y90" i="3"/>
  <c r="S91" i="3"/>
  <c r="W91" i="3"/>
  <c r="X91" i="3"/>
  <c r="Y91" i="3" s="1"/>
  <c r="S61" i="2"/>
  <c r="W89" i="2"/>
  <c r="V93" i="2"/>
  <c r="Z92" i="2"/>
  <c r="AB92" i="2" s="1"/>
  <c r="Z95" i="3"/>
  <c r="AB95" i="3" s="1"/>
  <c r="V96" i="3"/>
  <c r="X90" i="2" l="1"/>
  <c r="Y89" i="2"/>
  <c r="S92" i="3"/>
  <c r="W92" i="3"/>
  <c r="X92" i="3"/>
  <c r="Y92" i="3" s="1"/>
  <c r="V94" i="2"/>
  <c r="Z93" i="2"/>
  <c r="AB93" i="2" s="1"/>
  <c r="S62" i="2"/>
  <c r="W90" i="2"/>
  <c r="V97" i="3"/>
  <c r="Z96" i="3"/>
  <c r="AB96" i="3" s="1"/>
  <c r="Y90" i="2" l="1"/>
  <c r="X91" i="2"/>
  <c r="S93" i="3"/>
  <c r="W93" i="3"/>
  <c r="X93" i="3"/>
  <c r="S63" i="2"/>
  <c r="W91" i="2"/>
  <c r="V95" i="2"/>
  <c r="X95" i="2" s="1"/>
  <c r="Z94" i="2"/>
  <c r="AB94" i="2" s="1"/>
  <c r="Z97" i="3"/>
  <c r="AB97" i="3" s="1"/>
  <c r="V98" i="3"/>
  <c r="X92" i="2" l="1"/>
  <c r="Y91" i="2"/>
  <c r="Y93" i="3"/>
  <c r="S94" i="3"/>
  <c r="V96" i="2"/>
  <c r="X96" i="2" s="1"/>
  <c r="W95" i="2"/>
  <c r="Y95" i="2" s="1"/>
  <c r="Z95" i="2"/>
  <c r="AB95" i="2" s="1"/>
  <c r="S64" i="2"/>
  <c r="W92" i="2"/>
  <c r="Y92" i="2" s="1"/>
  <c r="V99" i="3"/>
  <c r="Z98" i="3"/>
  <c r="AB98" i="3" s="1"/>
  <c r="X93" i="2" l="1"/>
  <c r="S95" i="3"/>
  <c r="S65" i="2"/>
  <c r="W93" i="2"/>
  <c r="V97" i="2"/>
  <c r="X97" i="2" s="1"/>
  <c r="W96" i="2"/>
  <c r="Y96" i="2" s="1"/>
  <c r="Z96" i="2"/>
  <c r="AB96" i="2" s="1"/>
  <c r="Z99" i="3"/>
  <c r="AB99" i="3" s="1"/>
  <c r="V100" i="3"/>
  <c r="W94" i="2" l="1"/>
  <c r="X94" i="2"/>
  <c r="Y94" i="2" s="1"/>
  <c r="Y93" i="2"/>
  <c r="S96" i="3"/>
  <c r="V98" i="2"/>
  <c r="X98" i="2" s="1"/>
  <c r="W97" i="2"/>
  <c r="Y97" i="2" s="1"/>
  <c r="Z97" i="2"/>
  <c r="AB97" i="2" s="1"/>
  <c r="V101" i="3"/>
  <c r="Z100" i="3"/>
  <c r="AB100" i="3" s="1"/>
  <c r="S97" i="3" l="1"/>
  <c r="V99" i="2"/>
  <c r="X99" i="2" s="1"/>
  <c r="W98" i="2"/>
  <c r="Y98" i="2" s="1"/>
  <c r="Z98" i="2"/>
  <c r="AB98" i="2" s="1"/>
  <c r="Z101" i="3"/>
  <c r="AB101" i="3" s="1"/>
  <c r="V102" i="3"/>
  <c r="S98" i="3" l="1"/>
  <c r="V100" i="2"/>
  <c r="X100" i="2" s="1"/>
  <c r="W99" i="2"/>
  <c r="Y99" i="2" s="1"/>
  <c r="Z99" i="2"/>
  <c r="AB99" i="2" s="1"/>
  <c r="V103" i="3"/>
  <c r="Z102" i="3"/>
  <c r="AB102" i="3" s="1"/>
  <c r="S99" i="3" l="1"/>
  <c r="V101" i="2"/>
  <c r="X101" i="2" s="1"/>
  <c r="W100" i="2"/>
  <c r="Y100" i="2" s="1"/>
  <c r="Z100" i="2"/>
  <c r="AB100" i="2" s="1"/>
  <c r="Z103" i="3"/>
  <c r="AB103" i="3" s="1"/>
  <c r="V104" i="3"/>
  <c r="S100" i="3" l="1"/>
  <c r="V102" i="2"/>
  <c r="X102" i="2" s="1"/>
  <c r="W101" i="2"/>
  <c r="Y101" i="2" s="1"/>
  <c r="Z101" i="2"/>
  <c r="AB101" i="2" s="1"/>
  <c r="V105" i="3"/>
  <c r="Z105" i="3" s="1"/>
  <c r="AB105" i="3" s="1"/>
  <c r="W62" i="3" s="1"/>
  <c r="Z104" i="3"/>
  <c r="AB104" i="3" s="1"/>
  <c r="S101" i="3" l="1"/>
  <c r="V103" i="2"/>
  <c r="X103" i="2" s="1"/>
  <c r="W102" i="2"/>
  <c r="Y102" i="2" s="1"/>
  <c r="Z102" i="2"/>
  <c r="AB102" i="2" s="1"/>
  <c r="AA92" i="3"/>
  <c r="AA90" i="3"/>
  <c r="AA88" i="3"/>
  <c r="AA86" i="3"/>
  <c r="AA84" i="3"/>
  <c r="AA82" i="3"/>
  <c r="AA80" i="3"/>
  <c r="AA78" i="3"/>
  <c r="AA76" i="3"/>
  <c r="AA74" i="3"/>
  <c r="AA72" i="3"/>
  <c r="AA70" i="3"/>
  <c r="AA68" i="3"/>
  <c r="AA66" i="3"/>
  <c r="AA93" i="3"/>
  <c r="AA91" i="3"/>
  <c r="AA89" i="3"/>
  <c r="AA87" i="3"/>
  <c r="AA85" i="3"/>
  <c r="AA83" i="3"/>
  <c r="AA81" i="3"/>
  <c r="AA79" i="3"/>
  <c r="AA77" i="3"/>
  <c r="AA75" i="3"/>
  <c r="AA73" i="3"/>
  <c r="AA71" i="3"/>
  <c r="AA69" i="3"/>
  <c r="AA67" i="3"/>
  <c r="S102" i="3" l="1"/>
  <c r="V104" i="2"/>
  <c r="X104" i="2" s="1"/>
  <c r="W103" i="2"/>
  <c r="Y103" i="2" s="1"/>
  <c r="Z103" i="2"/>
  <c r="AB103" i="2" s="1"/>
  <c r="S103" i="3" l="1"/>
  <c r="V105" i="2"/>
  <c r="X105" i="2" s="1"/>
  <c r="W104" i="2"/>
  <c r="Y104" i="2" s="1"/>
  <c r="Z104" i="2"/>
  <c r="AB104" i="2" s="1"/>
  <c r="S104" i="3" l="1"/>
  <c r="Z105" i="2"/>
  <c r="AB105" i="2" s="1"/>
  <c r="W62" i="2" s="1"/>
  <c r="W105" i="2"/>
  <c r="Y105" i="2" s="1"/>
  <c r="AA105" i="2" s="1"/>
  <c r="W37" i="2"/>
  <c r="W38" i="2"/>
  <c r="W36" i="2"/>
  <c r="AA91" i="2"/>
  <c r="AA66" i="2"/>
  <c r="AA69" i="2"/>
  <c r="AA103" i="2"/>
  <c r="AA83" i="2"/>
  <c r="AA87" i="2"/>
  <c r="AA98" i="2"/>
  <c r="AA82" i="2"/>
  <c r="AA85" i="2"/>
  <c r="AA88" i="2"/>
  <c r="AA104" i="2"/>
  <c r="AA93" i="2"/>
  <c r="AA78" i="2"/>
  <c r="AA99" i="2"/>
  <c r="AA96" i="2"/>
  <c r="AA80" i="2"/>
  <c r="AA75" i="2"/>
  <c r="AA68" i="2"/>
  <c r="AA102" i="2"/>
  <c r="AA81" i="2"/>
  <c r="AA72" i="2"/>
  <c r="AA92" i="2"/>
  <c r="AA90" i="2"/>
  <c r="AA76" i="2"/>
  <c r="AA77" i="2"/>
  <c r="AA84" i="2"/>
  <c r="AA89" i="2"/>
  <c r="AA95" i="2"/>
  <c r="AA67" i="2"/>
  <c r="AA97" i="2"/>
  <c r="AA79" i="2"/>
  <c r="AA94" i="2"/>
  <c r="AA100" i="2"/>
  <c r="AA86" i="2"/>
  <c r="AA74" i="2"/>
  <c r="AA73" i="2"/>
  <c r="AA71" i="2"/>
  <c r="AA101" i="2"/>
  <c r="AA70" i="2"/>
  <c r="V58" i="2" l="1"/>
  <c r="Y58" i="2" s="1"/>
  <c r="S105" i="3"/>
  <c r="S106" i="3" s="1"/>
  <c r="S107" i="3" s="1"/>
  <c r="S108" i="3" s="1"/>
  <c r="V62" i="2"/>
  <c r="Y62" i="2" s="1"/>
  <c r="S109" i="3" l="1"/>
  <c r="X95" i="3"/>
  <c r="W95" i="3"/>
  <c r="Y95" i="3"/>
  <c r="AA95" i="3" s="1"/>
  <c r="S110" i="3" l="1"/>
  <c r="W96" i="3"/>
  <c r="X96" i="3"/>
  <c r="Y96" i="3" s="1"/>
  <c r="AA96" i="3" s="1"/>
  <c r="S111" i="3" l="1"/>
  <c r="W97" i="3"/>
  <c r="X97" i="3"/>
  <c r="Y97" i="3" s="1"/>
  <c r="AA97" i="3" s="1"/>
  <c r="X98" i="3" l="1"/>
  <c r="Y98" i="3" s="1"/>
  <c r="AA98" i="3" s="1"/>
  <c r="S112" i="3"/>
  <c r="W98" i="3"/>
  <c r="W99" i="3" l="1"/>
  <c r="X99" i="3"/>
  <c r="Y99" i="3" s="1"/>
  <c r="AA99" i="3" s="1"/>
  <c r="S113" i="3"/>
  <c r="X100" i="3" l="1"/>
  <c r="Y100" i="3" s="1"/>
  <c r="AA100" i="3" s="1"/>
  <c r="W100" i="3"/>
  <c r="S114" i="3"/>
  <c r="S115" i="3" l="1"/>
  <c r="W101" i="3"/>
  <c r="X101" i="3"/>
  <c r="Y101" i="3" s="1"/>
  <c r="AA101" i="3" s="1"/>
  <c r="X102" i="3" l="1"/>
  <c r="S116" i="3"/>
  <c r="W102" i="3"/>
  <c r="Y102" i="3" l="1"/>
  <c r="AA102" i="3" s="1"/>
  <c r="W103" i="3"/>
  <c r="X103" i="3"/>
  <c r="S117" i="3"/>
  <c r="W38" i="3"/>
  <c r="W36" i="3"/>
  <c r="V58" i="3" s="1"/>
  <c r="Y58" i="3" s="1"/>
  <c r="W37" i="3"/>
  <c r="X104" i="3" l="1"/>
  <c r="Y104" i="3" s="1"/>
  <c r="AA104" i="3" s="1"/>
  <c r="S118" i="3"/>
  <c r="W104" i="3"/>
  <c r="Y103" i="3"/>
  <c r="AA103" i="3" s="1"/>
  <c r="S119" i="3" l="1"/>
  <c r="S120" i="3" s="1"/>
  <c r="S121" i="3" s="1"/>
  <c r="X105" i="3"/>
  <c r="Y105" i="3" s="1"/>
  <c r="AA105" i="3" s="1"/>
  <c r="W105" i="3"/>
  <c r="X94" i="3" l="1"/>
  <c r="Y94" i="3" s="1"/>
  <c r="AA94" i="3" s="1"/>
  <c r="V62" i="3" s="1"/>
  <c r="Y62" i="3" s="1"/>
  <c r="W94" i="3"/>
</calcChain>
</file>

<file path=xl/sharedStrings.xml><?xml version="1.0" encoding="utf-8"?>
<sst xmlns="http://schemas.openxmlformats.org/spreadsheetml/2006/main" count="168" uniqueCount="89">
  <si>
    <t>Porosity</t>
  </si>
  <si>
    <t>mean</t>
  </si>
  <si>
    <t>stdev</t>
  </si>
  <si>
    <t>X1</t>
  </si>
  <si>
    <t>X2</t>
  </si>
  <si>
    <t>X2'</t>
  </si>
  <si>
    <t>X1'</t>
  </si>
  <si>
    <t>Bivariate Standard Normal</t>
  </si>
  <si>
    <t>Bivariate Normal</t>
  </si>
  <si>
    <t>Permeability</t>
  </si>
  <si>
    <t>rho</t>
  </si>
  <si>
    <t>Porosity (X2')</t>
  </si>
  <si>
    <t>Permeability (Exp{X1'})</t>
  </si>
  <si>
    <t>min</t>
  </si>
  <si>
    <t>max</t>
  </si>
  <si>
    <t>R1</t>
  </si>
  <si>
    <t>R2</t>
  </si>
  <si>
    <t>CorrelR1</t>
  </si>
  <si>
    <t>CorrelR2</t>
  </si>
  <si>
    <t>CR1U[0,1]</t>
  </si>
  <si>
    <t>CR2</t>
  </si>
  <si>
    <t>CR1</t>
  </si>
  <si>
    <t>CR2U[0,1]</t>
  </si>
  <si>
    <t>Depth</t>
  </si>
  <si>
    <t>Prob</t>
  </si>
  <si>
    <t>Porosity Histogram</t>
  </si>
  <si>
    <t>Bins</t>
  </si>
  <si>
    <t>Permeability Histogram</t>
  </si>
  <si>
    <t>A Synthetic Porosity and Permeability Dataset for Demonstration, Michael Pyrcz, University of Texas at Austin, @GeostatsGuy on Twitter</t>
  </si>
  <si>
    <t>3. Spatially Correlated P-values</t>
  </si>
  <si>
    <t>2. Spatially Correlated Random</t>
  </si>
  <si>
    <t>1. Random U[0,1]</t>
  </si>
  <si>
    <t xml:space="preserve">4. Standard, Bivariate Gaussian Spatially Correlated  </t>
  </si>
  <si>
    <t xml:space="preserve">5. Non-standard, Bivariate Gaussian Spatially Correlated  </t>
  </si>
  <si>
    <t>6. Porosity as Nonstandard Gaussian, X1'</t>
  </si>
  <si>
    <t>7. Permeability as Exp{Non-standard Gaussian, X2'}</t>
  </si>
  <si>
    <t>CR1[0,1]</t>
  </si>
  <si>
    <t>CR2[0,1]</t>
  </si>
  <si>
    <t xml:space="preserve">standard bivariate Gaussian (with user specified correlation coefficient, rho), X, transformed to user specified mean and standard </t>
  </si>
  <si>
    <t xml:space="preserve">deviation, X'.  X2 is applied directly as porosity and EXP{X1'} is applied as permeability for a lognormal distribution with mu sigma specified as the mean and </t>
  </si>
  <si>
    <t>standard deviation of X1'.</t>
  </si>
  <si>
    <t>Cum. Prob</t>
  </si>
  <si>
    <r>
      <rPr>
        <b/>
        <sz val="12"/>
        <color theme="1"/>
        <rFont val="Calibri"/>
        <family val="2"/>
        <scheme val="minor"/>
      </rPr>
      <t>Result</t>
    </r>
    <r>
      <rPr>
        <sz val="12"/>
        <color theme="1"/>
        <rFont val="Calibri"/>
        <family val="2"/>
        <scheme val="minor"/>
      </rPr>
      <t xml:space="preserve">: Stochastic realizations of porosity and permeability with user specified univariate, spatial, and multivariate distributions. </t>
    </r>
  </si>
  <si>
    <r>
      <rPr>
        <b/>
        <sz val="12"/>
        <color theme="1"/>
        <rFont val="Calibri"/>
        <family val="2"/>
        <scheme val="minor"/>
      </rPr>
      <t>Methodology</t>
    </r>
    <r>
      <rPr>
        <sz val="12"/>
        <color theme="1"/>
        <rFont val="Calibri"/>
        <family val="2"/>
        <scheme val="minor"/>
      </rPr>
      <t xml:space="preserve">:  Random vectors, R, are spatially correlated with convolution, CR, corrected to  range [0,1], applied as p-values to </t>
    </r>
  </si>
  <si>
    <r>
      <rPr>
        <b/>
        <sz val="11"/>
        <color theme="1"/>
        <rFont val="Calibri"/>
        <family val="2"/>
        <scheme val="minor"/>
      </rPr>
      <t>Instructions</t>
    </r>
    <r>
      <rPr>
        <sz val="11"/>
        <color theme="1"/>
        <rFont val="Calibri"/>
        <family val="2"/>
        <scheme val="minor"/>
      </rPr>
      <t>: Edit the yellow fields to model the desired porosity, permeability distributions and correlation.  Spatial continuity is hard coded with averaging window (CR).</t>
    </r>
  </si>
  <si>
    <t>1. Raw Well-based Data</t>
  </si>
  <si>
    <r>
      <t>Porosity (</t>
    </r>
    <r>
      <rPr>
        <b/>
        <sz val="11"/>
        <color theme="1"/>
        <rFont val="Calibri"/>
        <family val="2"/>
      </rPr>
      <t>φ)</t>
    </r>
  </si>
  <si>
    <t>Permeability (k)</t>
  </si>
  <si>
    <t>k/φ</t>
  </si>
  <si>
    <t>4. Calculate kh and phi h</t>
  </si>
  <si>
    <t>Phi h</t>
  </si>
  <si>
    <t>Ʃ Phi h</t>
  </si>
  <si>
    <t>Ʃ k h</t>
  </si>
  <si>
    <t>k h</t>
  </si>
  <si>
    <t>Frac Phi h</t>
  </si>
  <si>
    <t>Frac k h</t>
  </si>
  <si>
    <t>5. Calculate Fraction of Total</t>
  </si>
  <si>
    <t>2. Ratio Perm. / Por.</t>
  </si>
  <si>
    <t>6. Calculate Cumulative Fraction of Total</t>
  </si>
  <si>
    <t>Datum</t>
  </si>
  <si>
    <t>Polynomial Fit to Lorenz Curve</t>
  </si>
  <si>
    <t>Cum. Frac. Storage</t>
  </si>
  <si>
    <t>Lorenz</t>
  </si>
  <si>
    <t>Homog.</t>
  </si>
  <si>
    <t>Lorenz Curve</t>
  </si>
  <si>
    <t>Numerical Integration</t>
  </si>
  <si>
    <t>Total</t>
  </si>
  <si>
    <r>
      <t xml:space="preserve">(Lorenz-Homog.) </t>
    </r>
    <r>
      <rPr>
        <b/>
        <sz val="11"/>
        <color theme="1"/>
        <rFont val="Calibri"/>
        <family val="2"/>
      </rPr>
      <t>Δcum frac. storage</t>
    </r>
  </si>
  <si>
    <r>
      <t xml:space="preserve">(Homog.) </t>
    </r>
    <r>
      <rPr>
        <b/>
        <sz val="11"/>
        <color theme="1"/>
        <rFont val="Calibri"/>
        <family val="2"/>
      </rPr>
      <t>Δcum frac. storage</t>
    </r>
  </si>
  <si>
    <t>7. Plot Lorenz Curve</t>
  </si>
  <si>
    <t xml:space="preserve">8. Calculate the Area Between Lorenz and Homogeneous Curves </t>
  </si>
  <si>
    <t>Lorenz Coefficent</t>
  </si>
  <si>
    <t>3. Sorted by Descending Ratio of Perm. / Por</t>
  </si>
  <si>
    <t>Michael Pyrcz, the University of Texas at Austin, @GeostatsGuy on Twitter</t>
  </si>
  <si>
    <t>area between Lorenz curve and homogeneous curve to area above homogeneous curve.</t>
  </si>
  <si>
    <r>
      <rPr>
        <b/>
        <sz val="11"/>
        <color theme="1"/>
        <rFont val="Calibri"/>
        <family val="2"/>
        <scheme val="minor"/>
      </rPr>
      <t>Result</t>
    </r>
    <r>
      <rPr>
        <sz val="11"/>
        <color theme="1"/>
        <rFont val="Calibri"/>
        <family val="2"/>
        <scheme val="minor"/>
      </rPr>
      <t>: Lorenz coefficient, a concept taken from economics to describe inequality in income used to quantify rock heterogeneity  0 = homogeneous, 1 heterogeneous.</t>
    </r>
  </si>
  <si>
    <r>
      <rPr>
        <b/>
        <sz val="11"/>
        <color theme="1"/>
        <rFont val="Calibri"/>
        <family val="2"/>
        <scheme val="minor"/>
      </rPr>
      <t>Metholodolgy</t>
    </r>
    <r>
      <rPr>
        <sz val="11"/>
        <color theme="1"/>
        <rFont val="Calibri"/>
        <family val="2"/>
        <scheme val="minor"/>
      </rPr>
      <t xml:space="preserve">: calculate ratio perm. / por., sort in descending order.  Calculate Lorenz coefficient cumulative fraction kh and phih and plot.  Calculate fraction of </t>
    </r>
  </si>
  <si>
    <t>How to Calculate the Lorenz Coefficient from Porosity and Permeability Sampled Along a Well?</t>
  </si>
  <si>
    <t>d</t>
  </si>
  <si>
    <t>b</t>
  </si>
  <si>
    <t xml:space="preserve">c </t>
  </si>
  <si>
    <t>Lorence Coefficient</t>
  </si>
  <si>
    <t>By Integration</t>
  </si>
  <si>
    <t>By Numerical Integration</t>
  </si>
  <si>
    <t>Integration of Polynomial Fit and Homog. Case</t>
  </si>
  <si>
    <t>lower index</t>
  </si>
  <si>
    <t>higher  index</t>
  </si>
  <si>
    <t>lower</t>
  </si>
  <si>
    <t>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</si>
</sst>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%"/>
  </numFmts>
  <fonts count="1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43">
    <xf numFmtId="0" fontId="0" fillId="0" borderId="0" xfId="0"/>
    <xf numFmtId="0" fontId="0" fillId="3" borderId="0" xfId="0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0" fontId="0" fillId="6" borderId="0" xfId="0" applyFill="1"/>
    <xf numFmtId="2" fontId="0" fillId="4" borderId="2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164" fontId="0" fillId="6" borderId="7" xfId="0" applyNumberFormat="1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2" fontId="0" fillId="6" borderId="9" xfId="0" applyNumberFormat="1" applyFill="1" applyBorder="1" applyAlignment="1">
      <alignment horizontal="center"/>
    </xf>
    <xf numFmtId="2" fontId="0" fillId="5" borderId="11" xfId="0" applyNumberFormat="1" applyFill="1" applyBorder="1" applyAlignment="1">
      <alignment horizontal="center"/>
    </xf>
    <xf numFmtId="2" fontId="0" fillId="5" borderId="12" xfId="0" applyNumberFormat="1" applyFill="1" applyBorder="1" applyAlignment="1">
      <alignment horizontal="center"/>
    </xf>
    <xf numFmtId="2" fontId="0" fillId="5" borderId="13" xfId="0" applyNumberFormat="1" applyFill="1" applyBorder="1" applyAlignment="1">
      <alignment horizontal="center"/>
    </xf>
    <xf numFmtId="2" fontId="0" fillId="5" borderId="14" xfId="0" applyNumberFormat="1" applyFill="1" applyBorder="1" applyAlignment="1">
      <alignment horizontal="center"/>
    </xf>
    <xf numFmtId="2" fontId="0" fillId="5" borderId="15" xfId="0" applyNumberFormat="1" applyFill="1" applyBorder="1" applyAlignment="1">
      <alignment horizontal="center"/>
    </xf>
    <xf numFmtId="2" fontId="0" fillId="5" borderId="16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4" fontId="0" fillId="5" borderId="19" xfId="0" applyNumberFormat="1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0" fillId="5" borderId="20" xfId="0" applyFill="1" applyBorder="1"/>
    <xf numFmtId="2" fontId="0" fillId="5" borderId="21" xfId="0" applyNumberFormat="1" applyFill="1" applyBorder="1"/>
    <xf numFmtId="2" fontId="0" fillId="5" borderId="22" xfId="0" applyNumberFormat="1" applyFill="1" applyBorder="1"/>
    <xf numFmtId="0" fontId="0" fillId="5" borderId="20" xfId="0" applyFill="1" applyBorder="1" applyAlignment="1">
      <alignment horizontal="center"/>
    </xf>
    <xf numFmtId="2" fontId="0" fillId="5" borderId="21" xfId="0" applyNumberFormat="1" applyFill="1" applyBorder="1" applyAlignment="1">
      <alignment horizontal="center"/>
    </xf>
    <xf numFmtId="2" fontId="0" fillId="5" borderId="22" xfId="0" applyNumberFormat="1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5" fillId="3" borderId="0" xfId="0" applyFont="1" applyFill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26" xfId="0" applyFill="1" applyBorder="1"/>
    <xf numFmtId="0" fontId="9" fillId="6" borderId="0" xfId="0" applyFont="1" applyFill="1" applyBorder="1"/>
    <xf numFmtId="0" fontId="0" fillId="6" borderId="0" xfId="0" applyFill="1" applyBorder="1"/>
    <xf numFmtId="0" fontId="0" fillId="6" borderId="27" xfId="0" applyFill="1" applyBorder="1"/>
    <xf numFmtId="0" fontId="0" fillId="6" borderId="0" xfId="0" applyFill="1" applyBorder="1" applyAlignment="1">
      <alignment horizontal="center"/>
    </xf>
    <xf numFmtId="0" fontId="5" fillId="6" borderId="0" xfId="0" applyFont="1" applyFill="1" applyBorder="1"/>
    <xf numFmtId="0" fontId="5" fillId="6" borderId="27" xfId="0" applyFont="1" applyFill="1" applyBorder="1"/>
    <xf numFmtId="0" fontId="3" fillId="6" borderId="0" xfId="0" applyFont="1" applyFill="1" applyBorder="1" applyAlignment="1">
      <alignment horizontal="right"/>
    </xf>
    <xf numFmtId="0" fontId="0" fillId="0" borderId="0" xfId="0" applyBorder="1"/>
    <xf numFmtId="0" fontId="0" fillId="6" borderId="0" xfId="0" applyFont="1" applyFill="1" applyBorder="1" applyAlignment="1">
      <alignment horizontal="center" vertical="top" wrapText="1"/>
    </xf>
    <xf numFmtId="0" fontId="2" fillId="6" borderId="0" xfId="0" applyFont="1" applyFill="1" applyBorder="1" applyAlignment="1">
      <alignment horizontal="center"/>
    </xf>
    <xf numFmtId="0" fontId="2" fillId="6" borderId="0" xfId="0" applyFont="1" applyFill="1" applyBorder="1"/>
    <xf numFmtId="2" fontId="0" fillId="6" borderId="0" xfId="0" applyNumberFormat="1" applyFill="1" applyBorder="1" applyAlignment="1">
      <alignment horizontal="center"/>
    </xf>
    <xf numFmtId="2" fontId="0" fillId="6" borderId="0" xfId="0" applyNumberFormat="1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3" borderId="0" xfId="0" applyFill="1" applyBorder="1"/>
    <xf numFmtId="0" fontId="10" fillId="6" borderId="0" xfId="0" applyFont="1" applyFill="1" applyBorder="1"/>
    <xf numFmtId="164" fontId="10" fillId="6" borderId="0" xfId="0" applyNumberFormat="1" applyFont="1" applyFill="1" applyBorder="1" applyAlignment="1">
      <alignment horizontal="left"/>
    </xf>
    <xf numFmtId="0" fontId="10" fillId="6" borderId="0" xfId="0" applyFont="1" applyFill="1" applyBorder="1" applyAlignment="1">
      <alignment horizontal="left"/>
    </xf>
    <xf numFmtId="0" fontId="11" fillId="6" borderId="0" xfId="0" applyFont="1" applyFill="1" applyBorder="1"/>
    <xf numFmtId="0" fontId="2" fillId="6" borderId="28" xfId="0" applyFont="1" applyFill="1" applyBorder="1" applyAlignment="1">
      <alignment horizontal="center"/>
    </xf>
    <xf numFmtId="2" fontId="0" fillId="6" borderId="0" xfId="0" applyNumberFormat="1" applyFont="1" applyFill="1" applyBorder="1" applyAlignment="1">
      <alignment horizontal="center"/>
    </xf>
    <xf numFmtId="2" fontId="0" fillId="6" borderId="9" xfId="0" applyNumberFormat="1" applyFont="1" applyFill="1" applyBorder="1" applyAlignment="1">
      <alignment horizontal="center"/>
    </xf>
    <xf numFmtId="164" fontId="0" fillId="6" borderId="0" xfId="0" applyNumberFormat="1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2" fillId="5" borderId="24" xfId="0" applyFont="1" applyFill="1" applyBorder="1"/>
    <xf numFmtId="0" fontId="2" fillId="5" borderId="25" xfId="0" applyFont="1" applyFill="1" applyBorder="1"/>
    <xf numFmtId="0" fontId="0" fillId="5" borderId="1" xfId="0" applyFill="1" applyBorder="1" applyAlignment="1">
      <alignment horizontal="center"/>
    </xf>
    <xf numFmtId="2" fontId="0" fillId="6" borderId="5" xfId="0" applyNumberFormat="1" applyFont="1" applyFill="1" applyBorder="1" applyAlignment="1">
      <alignment horizontal="center"/>
    </xf>
    <xf numFmtId="2" fontId="0" fillId="6" borderId="26" xfId="0" applyNumberFormat="1" applyFont="1" applyFill="1" applyBorder="1" applyAlignment="1">
      <alignment horizontal="center"/>
    </xf>
    <xf numFmtId="164" fontId="0" fillId="6" borderId="27" xfId="0" applyNumberFormat="1" applyFont="1" applyFill="1" applyBorder="1" applyAlignment="1">
      <alignment horizontal="center"/>
    </xf>
    <xf numFmtId="2" fontId="0" fillId="6" borderId="8" xfId="0" applyNumberFormat="1" applyFont="1" applyFill="1" applyBorder="1" applyAlignment="1">
      <alignment horizontal="center"/>
    </xf>
    <xf numFmtId="164" fontId="0" fillId="6" borderId="9" xfId="0" applyNumberFormat="1" applyFont="1" applyFill="1" applyBorder="1" applyAlignment="1">
      <alignment horizontal="center"/>
    </xf>
    <xf numFmtId="164" fontId="0" fillId="6" borderId="10" xfId="0" applyNumberFormat="1" applyFont="1" applyFill="1" applyBorder="1" applyAlignment="1">
      <alignment horizontal="center"/>
    </xf>
    <xf numFmtId="0" fontId="0" fillId="5" borderId="24" xfId="0" applyFill="1" applyBorder="1"/>
    <xf numFmtId="0" fontId="0" fillId="5" borderId="25" xfId="0" applyFill="1" applyBorder="1"/>
    <xf numFmtId="164" fontId="0" fillId="6" borderId="2" xfId="0" applyNumberFormat="1" applyFill="1" applyBorder="1" applyAlignment="1">
      <alignment horizontal="center"/>
    </xf>
    <xf numFmtId="164" fontId="0" fillId="6" borderId="29" xfId="0" applyNumberForma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164" fontId="0" fillId="6" borderId="26" xfId="0" applyNumberFormat="1" applyFill="1" applyBorder="1" applyAlignment="1">
      <alignment horizontal="center"/>
    </xf>
    <xf numFmtId="164" fontId="0" fillId="6" borderId="8" xfId="0" applyNumberFormat="1" applyFill="1" applyBorder="1" applyAlignment="1">
      <alignment horizontal="center"/>
    </xf>
    <xf numFmtId="164" fontId="0" fillId="6" borderId="27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6" fontId="0" fillId="6" borderId="5" xfId="1" applyNumberFormat="1" applyFont="1" applyFill="1" applyBorder="1" applyAlignment="1">
      <alignment horizontal="center"/>
    </xf>
    <xf numFmtId="166" fontId="0" fillId="6" borderId="7" xfId="1" applyNumberFormat="1" applyFont="1" applyFill="1" applyBorder="1" applyAlignment="1">
      <alignment horizontal="center"/>
    </xf>
    <xf numFmtId="166" fontId="0" fillId="6" borderId="26" xfId="1" applyNumberFormat="1" applyFont="1" applyFill="1" applyBorder="1" applyAlignment="1">
      <alignment horizontal="center"/>
    </xf>
    <xf numFmtId="166" fontId="0" fillId="6" borderId="27" xfId="1" applyNumberFormat="1" applyFont="1" applyFill="1" applyBorder="1" applyAlignment="1">
      <alignment horizontal="center"/>
    </xf>
    <xf numFmtId="166" fontId="0" fillId="6" borderId="8" xfId="1" applyNumberFormat="1" applyFont="1" applyFill="1" applyBorder="1" applyAlignment="1">
      <alignment horizontal="center"/>
    </xf>
    <xf numFmtId="166" fontId="0" fillId="6" borderId="10" xfId="1" applyNumberFormat="1" applyFont="1" applyFill="1" applyBorder="1" applyAlignment="1">
      <alignment horizontal="center"/>
    </xf>
    <xf numFmtId="0" fontId="13" fillId="5" borderId="23" xfId="0" applyFont="1" applyFill="1" applyBorder="1" applyAlignment="1">
      <alignment horizontal="center"/>
    </xf>
    <xf numFmtId="0" fontId="13" fillId="5" borderId="25" xfId="0" applyFont="1" applyFill="1" applyBorder="1" applyAlignment="1">
      <alignment horizontal="center"/>
    </xf>
    <xf numFmtId="0" fontId="2" fillId="5" borderId="23" xfId="0" applyFont="1" applyFill="1" applyBorder="1"/>
    <xf numFmtId="165" fontId="0" fillId="6" borderId="6" xfId="0" applyNumberFormat="1" applyFill="1" applyBorder="1" applyAlignment="1">
      <alignment horizontal="center"/>
    </xf>
    <xf numFmtId="165" fontId="0" fillId="6" borderId="0" xfId="0" applyNumberFormat="1" applyFill="1" applyBorder="1" applyAlignment="1">
      <alignment horizontal="center"/>
    </xf>
    <xf numFmtId="165" fontId="0" fillId="6" borderId="9" xfId="0" applyNumberFormat="1" applyFill="1" applyBorder="1" applyAlignment="1">
      <alignment horizontal="center"/>
    </xf>
    <xf numFmtId="0" fontId="2" fillId="5" borderId="1" xfId="0" applyFont="1" applyFill="1" applyBorder="1"/>
    <xf numFmtId="165" fontId="0" fillId="8" borderId="1" xfId="0" applyNumberFormat="1" applyFill="1" applyBorder="1" applyAlignment="1">
      <alignment horizontal="center"/>
    </xf>
    <xf numFmtId="0" fontId="2" fillId="6" borderId="5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left" wrapText="1"/>
    </xf>
    <xf numFmtId="0" fontId="2" fillId="6" borderId="7" xfId="0" applyFont="1" applyFill="1" applyBorder="1" applyAlignment="1">
      <alignment horizontal="left" wrapText="1"/>
    </xf>
    <xf numFmtId="165" fontId="0" fillId="6" borderId="0" xfId="0" applyNumberFormat="1" applyFont="1" applyFill="1" applyBorder="1" applyAlignment="1">
      <alignment horizontal="center"/>
    </xf>
    <xf numFmtId="165" fontId="0" fillId="6" borderId="27" xfId="0" applyNumberFormat="1" applyFont="1" applyFill="1" applyBorder="1" applyAlignment="1">
      <alignment horizontal="center"/>
    </xf>
    <xf numFmtId="165" fontId="0" fillId="6" borderId="9" xfId="0" applyNumberFormat="1" applyFont="1" applyFill="1" applyBorder="1" applyAlignment="1">
      <alignment horizontal="center"/>
    </xf>
    <xf numFmtId="165" fontId="0" fillId="6" borderId="10" xfId="0" applyNumberFormat="1" applyFont="1" applyFill="1" applyBorder="1" applyAlignment="1">
      <alignment horizontal="center"/>
    </xf>
    <xf numFmtId="0" fontId="0" fillId="6" borderId="0" xfId="0" applyFill="1" applyBorder="1" applyAlignment="1">
      <alignment vertical="top"/>
    </xf>
    <xf numFmtId="0" fontId="2" fillId="6" borderId="0" xfId="0" applyFont="1" applyFill="1" applyBorder="1" applyAlignment="1">
      <alignment vertical="top" wrapText="1"/>
    </xf>
    <xf numFmtId="0" fontId="14" fillId="6" borderId="0" xfId="0" applyFont="1" applyFill="1" applyBorder="1"/>
    <xf numFmtId="0" fontId="7" fillId="6" borderId="0" xfId="0" applyFont="1" applyFill="1" applyBorder="1"/>
    <xf numFmtId="9" fontId="6" fillId="6" borderId="0" xfId="1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0" fillId="5" borderId="1" xfId="0" applyFill="1" applyBorder="1"/>
    <xf numFmtId="165" fontId="0" fillId="6" borderId="30" xfId="0" applyNumberFormat="1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2" fontId="0" fillId="6" borderId="14" xfId="0" applyNumberFormat="1" applyFill="1" applyBorder="1" applyAlignment="1">
      <alignment horizontal="center"/>
    </xf>
    <xf numFmtId="2" fontId="0" fillId="6" borderId="16" xfId="0" applyNumberForma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0" fillId="0" borderId="27" xfId="0" applyBorder="1"/>
    <xf numFmtId="0" fontId="0" fillId="0" borderId="9" xfId="0" applyBorder="1"/>
    <xf numFmtId="0" fontId="0" fillId="0" borderId="10" xfId="0" applyBorder="1"/>
    <xf numFmtId="0" fontId="2" fillId="6" borderId="9" xfId="0" applyFont="1" applyFill="1" applyBorder="1" applyAlignment="1">
      <alignment vertical="top" wrapText="1"/>
    </xf>
    <xf numFmtId="0" fontId="3" fillId="7" borderId="2" xfId="0" applyFont="1" applyFill="1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6" borderId="0" xfId="0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" fillId="7" borderId="3" xfId="0" applyFont="1" applyFill="1" applyBorder="1" applyAlignment="1">
      <alignment horizontal="right" vertical="center"/>
    </xf>
    <xf numFmtId="0" fontId="2" fillId="6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6" borderId="0" xfId="0" applyFont="1" applyFill="1" applyBorder="1" applyAlignment="1">
      <alignment horizontal="center" wrapText="1"/>
    </xf>
    <xf numFmtId="0" fontId="0" fillId="6" borderId="0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Lorenz</a:t>
            </a:r>
            <a:r>
              <a:rPr lang="en-US" baseline="0"/>
              <a:t>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dash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layout>
                <c:manualLayout>
                  <c:x val="-1.2676335166133489E-2"/>
                  <c:y val="0.4557354221061792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Model of Lorenz Curve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0.369x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- 1.0999x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+ 1.743x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'Lorenz-sand'!$S$10:$S$114</c:f>
              <c:numCache>
                <c:formatCode>0.0%</c:formatCode>
                <c:ptCount val="105"/>
                <c:pt idx="0">
                  <c:v>8.1782664765764936E-3</c:v>
                </c:pt>
                <c:pt idx="1">
                  <c:v>1.3397211363578739E-2</c:v>
                </c:pt>
                <c:pt idx="2">
                  <c:v>2.8056173848179652E-2</c:v>
                </c:pt>
                <c:pt idx="3">
                  <c:v>4.252927623173558E-2</c:v>
                </c:pt>
                <c:pt idx="4">
                  <c:v>5.2427002499308595E-2</c:v>
                </c:pt>
                <c:pt idx="5">
                  <c:v>5.7591256057454139E-2</c:v>
                </c:pt>
                <c:pt idx="6">
                  <c:v>6.2137042792767869E-2</c:v>
                </c:pt>
                <c:pt idx="7">
                  <c:v>6.8178575468548192E-2</c:v>
                </c:pt>
                <c:pt idx="8">
                  <c:v>7.619378399416403E-2</c:v>
                </c:pt>
                <c:pt idx="9">
                  <c:v>8.4437614790997817E-2</c:v>
                </c:pt>
                <c:pt idx="10">
                  <c:v>9.0738596758928577E-2</c:v>
                </c:pt>
                <c:pt idx="11">
                  <c:v>9.6703680026038408E-2</c:v>
                </c:pt>
                <c:pt idx="12">
                  <c:v>0.10661713162448472</c:v>
                </c:pt>
                <c:pt idx="13">
                  <c:v>0.11692723891649026</c:v>
                </c:pt>
                <c:pt idx="14">
                  <c:v>0.12689742506142335</c:v>
                </c:pt>
                <c:pt idx="15">
                  <c:v>0.13254624396363424</c:v>
                </c:pt>
                <c:pt idx="16">
                  <c:v>0.13781085753176356</c:v>
                </c:pt>
                <c:pt idx="17">
                  <c:v>0.14352415078765526</c:v>
                </c:pt>
                <c:pt idx="18">
                  <c:v>0.14887604974344867</c:v>
                </c:pt>
                <c:pt idx="19">
                  <c:v>0.15407832538895694</c:v>
                </c:pt>
                <c:pt idx="20">
                  <c:v>0.16306594759638274</c:v>
                </c:pt>
                <c:pt idx="21">
                  <c:v>0.17173999857651487</c:v>
                </c:pt>
                <c:pt idx="22">
                  <c:v>0.17743793955220102</c:v>
                </c:pt>
                <c:pt idx="23">
                  <c:v>0.18244287184633426</c:v>
                </c:pt>
                <c:pt idx="24">
                  <c:v>0.18718694690276896</c:v>
                </c:pt>
                <c:pt idx="25">
                  <c:v>0.20297627702017795</c:v>
                </c:pt>
                <c:pt idx="26">
                  <c:v>0.20876863375702645</c:v>
                </c:pt>
                <c:pt idx="27">
                  <c:v>0.22300519339046349</c:v>
                </c:pt>
                <c:pt idx="28">
                  <c:v>0.22869113987759454</c:v>
                </c:pt>
                <c:pt idx="29">
                  <c:v>0.2351983416423255</c:v>
                </c:pt>
                <c:pt idx="30">
                  <c:v>0.24352919616642155</c:v>
                </c:pt>
                <c:pt idx="31">
                  <c:v>0.2497770611612577</c:v>
                </c:pt>
                <c:pt idx="32">
                  <c:v>0.25700409867735541</c:v>
                </c:pt>
                <c:pt idx="33">
                  <c:v>0.26469499407378072</c:v>
                </c:pt>
                <c:pt idx="34">
                  <c:v>0.27267211112840861</c:v>
                </c:pt>
                <c:pt idx="35">
                  <c:v>0.28008044833445783</c:v>
                </c:pt>
                <c:pt idx="36">
                  <c:v>0.28823516770811319</c:v>
                </c:pt>
                <c:pt idx="37">
                  <c:v>0.29770132893154022</c:v>
                </c:pt>
                <c:pt idx="38">
                  <c:v>0.30447089492790119</c:v>
                </c:pt>
                <c:pt idx="39">
                  <c:v>0.30938149478924171</c:v>
                </c:pt>
                <c:pt idx="40">
                  <c:v>0.32009228811557627</c:v>
                </c:pt>
                <c:pt idx="41">
                  <c:v>0.33205447572936808</c:v>
                </c:pt>
                <c:pt idx="42">
                  <c:v>0.34476538974784732</c:v>
                </c:pt>
                <c:pt idx="43">
                  <c:v>0.3537484974411878</c:v>
                </c:pt>
                <c:pt idx="44">
                  <c:v>0.35968518031192881</c:v>
                </c:pt>
                <c:pt idx="45">
                  <c:v>0.36469653141743535</c:v>
                </c:pt>
                <c:pt idx="46">
                  <c:v>0.37362330123949589</c:v>
                </c:pt>
                <c:pt idx="47">
                  <c:v>0.38403514020050167</c:v>
                </c:pt>
                <c:pt idx="48">
                  <c:v>0.3933190790235559</c:v>
                </c:pt>
                <c:pt idx="49">
                  <c:v>0.40185468973461125</c:v>
                </c:pt>
                <c:pt idx="50">
                  <c:v>0.4094408236600654</c:v>
                </c:pt>
                <c:pt idx="51">
                  <c:v>0.41820128671194062</c:v>
                </c:pt>
                <c:pt idx="52">
                  <c:v>0.42455604174388933</c:v>
                </c:pt>
                <c:pt idx="53">
                  <c:v>0.43845272698308868</c:v>
                </c:pt>
                <c:pt idx="54">
                  <c:v>0.4471021097933387</c:v>
                </c:pt>
                <c:pt idx="55">
                  <c:v>0.45817319156730024</c:v>
                </c:pt>
                <c:pt idx="56">
                  <c:v>0.46615735019416576</c:v>
                </c:pt>
                <c:pt idx="57">
                  <c:v>0.47432363829016344</c:v>
                </c:pt>
                <c:pt idx="58">
                  <c:v>0.47993382628126768</c:v>
                </c:pt>
                <c:pt idx="59">
                  <c:v>0.49294384951697695</c:v>
                </c:pt>
                <c:pt idx="60">
                  <c:v>0.50625524945928213</c:v>
                </c:pt>
                <c:pt idx="61">
                  <c:v>0.51923129087224151</c:v>
                </c:pt>
                <c:pt idx="62">
                  <c:v>0.53360929038405669</c:v>
                </c:pt>
                <c:pt idx="63">
                  <c:v>0.53917335979558956</c:v>
                </c:pt>
                <c:pt idx="64">
                  <c:v>0.54741579905228588</c:v>
                </c:pt>
                <c:pt idx="65">
                  <c:v>0.55251269587634722</c:v>
                </c:pt>
                <c:pt idx="66">
                  <c:v>0.55792306431938865</c:v>
                </c:pt>
                <c:pt idx="67">
                  <c:v>0.57202742112798621</c:v>
                </c:pt>
                <c:pt idx="68">
                  <c:v>0.58179762682644631</c:v>
                </c:pt>
                <c:pt idx="69">
                  <c:v>0.58770074559561447</c:v>
                </c:pt>
                <c:pt idx="70">
                  <c:v>0.59542427481516869</c:v>
                </c:pt>
                <c:pt idx="71">
                  <c:v>0.60488274825414967</c:v>
                </c:pt>
                <c:pt idx="72">
                  <c:v>0.61115189528334801</c:v>
                </c:pt>
                <c:pt idx="73">
                  <c:v>0.61551392902842539</c:v>
                </c:pt>
                <c:pt idx="74">
                  <c:v>0.62236004254318922</c:v>
                </c:pt>
                <c:pt idx="75">
                  <c:v>0.62829464225198406</c:v>
                </c:pt>
                <c:pt idx="76">
                  <c:v>0.63216895652394034</c:v>
                </c:pt>
                <c:pt idx="77">
                  <c:v>0.64580360519071833</c:v>
                </c:pt>
                <c:pt idx="78">
                  <c:v>0.65461411696192617</c:v>
                </c:pt>
                <c:pt idx="79">
                  <c:v>0.66036480333031289</c:v>
                </c:pt>
                <c:pt idx="80">
                  <c:v>0.67229332574049261</c:v>
                </c:pt>
                <c:pt idx="81">
                  <c:v>0.67884168023521874</c:v>
                </c:pt>
                <c:pt idx="82">
                  <c:v>0.70078537776660288</c:v>
                </c:pt>
                <c:pt idx="83">
                  <c:v>0.70595121850584419</c:v>
                </c:pt>
                <c:pt idx="84">
                  <c:v>0.71496631742906236</c:v>
                </c:pt>
                <c:pt idx="85">
                  <c:v>0.72301948343836397</c:v>
                </c:pt>
                <c:pt idx="86">
                  <c:v>0.72941575545143045</c:v>
                </c:pt>
                <c:pt idx="87">
                  <c:v>0.73652418431751399</c:v>
                </c:pt>
                <c:pt idx="88">
                  <c:v>0.7497731617195923</c:v>
                </c:pt>
                <c:pt idx="89">
                  <c:v>0.76411214523895399</c:v>
                </c:pt>
                <c:pt idx="90">
                  <c:v>0.77184957141462007</c:v>
                </c:pt>
                <c:pt idx="91">
                  <c:v>0.77877301404939658</c:v>
                </c:pt>
                <c:pt idx="92">
                  <c:v>0.79366267210724206</c:v>
                </c:pt>
                <c:pt idx="93">
                  <c:v>0.79971536552961164</c:v>
                </c:pt>
                <c:pt idx="94">
                  <c:v>0.80593357477014005</c:v>
                </c:pt>
                <c:pt idx="95">
                  <c:v>0.81381817501107701</c:v>
                </c:pt>
                <c:pt idx="96">
                  <c:v>0.81918006925925591</c:v>
                </c:pt>
                <c:pt idx="97">
                  <c:v>0.82841375712969179</c:v>
                </c:pt>
                <c:pt idx="98">
                  <c:v>0.88325932033408228</c:v>
                </c:pt>
                <c:pt idx="99">
                  <c:v>0.89252883678620443</c:v>
                </c:pt>
                <c:pt idx="100">
                  <c:v>0.89771926525944357</c:v>
                </c:pt>
                <c:pt idx="101">
                  <c:v>0.90432031874670404</c:v>
                </c:pt>
                <c:pt idx="102">
                  <c:v>0.92126346900515299</c:v>
                </c:pt>
                <c:pt idx="103">
                  <c:v>0.94202608162558232</c:v>
                </c:pt>
                <c:pt idx="104">
                  <c:v>0.94763560568985283</c:v>
                </c:pt>
              </c:numCache>
            </c:numRef>
          </c:xVal>
          <c:yVal>
            <c:numRef>
              <c:f>'Lorenz-sand'!$T$10:$T$114</c:f>
              <c:numCache>
                <c:formatCode>0.0%</c:formatCode>
                <c:ptCount val="105"/>
                <c:pt idx="0">
                  <c:v>0.16707355945058061</c:v>
                </c:pt>
                <c:pt idx="1">
                  <c:v>0.22876796024292434</c:v>
                </c:pt>
                <c:pt idx="2">
                  <c:v>0.31235328937799905</c:v>
                </c:pt>
                <c:pt idx="3">
                  <c:v>0.3807958459700852</c:v>
                </c:pt>
                <c:pt idx="4">
                  <c:v>0.42488686528787373</c:v>
                </c:pt>
                <c:pt idx="5">
                  <c:v>0.44702419319132553</c:v>
                </c:pt>
                <c:pt idx="6">
                  <c:v>0.46602550306241747</c:v>
                </c:pt>
                <c:pt idx="7">
                  <c:v>0.48872929531051762</c:v>
                </c:pt>
                <c:pt idx="8">
                  <c:v>0.51824535236486269</c:v>
                </c:pt>
                <c:pt idx="9">
                  <c:v>0.54812841433670056</c:v>
                </c:pt>
                <c:pt idx="10">
                  <c:v>0.56927737251369126</c:v>
                </c:pt>
                <c:pt idx="11">
                  <c:v>0.58633257142028261</c:v>
                </c:pt>
                <c:pt idx="12">
                  <c:v>0.61221699576289679</c:v>
                </c:pt>
                <c:pt idx="13">
                  <c:v>0.63719742283470626</c:v>
                </c:pt>
                <c:pt idx="14">
                  <c:v>0.66061708420244458</c:v>
                </c:pt>
                <c:pt idx="15">
                  <c:v>0.67264324849463597</c:v>
                </c:pt>
                <c:pt idx="16">
                  <c:v>0.6828066326000789</c:v>
                </c:pt>
                <c:pt idx="17">
                  <c:v>0.69376468133936064</c:v>
                </c:pt>
                <c:pt idx="18">
                  <c:v>0.70343991768871961</c:v>
                </c:pt>
                <c:pt idx="19">
                  <c:v>0.71215712566548139</c:v>
                </c:pt>
                <c:pt idx="20">
                  <c:v>0.72705014598666107</c:v>
                </c:pt>
                <c:pt idx="21">
                  <c:v>0.74139057656906115</c:v>
                </c:pt>
                <c:pt idx="22">
                  <c:v>0.75060872095801046</c:v>
                </c:pt>
                <c:pt idx="23">
                  <c:v>0.7585689082770668</c:v>
                </c:pt>
                <c:pt idx="24">
                  <c:v>0.76606290853974901</c:v>
                </c:pt>
                <c:pt idx="25">
                  <c:v>0.78782615816159873</c:v>
                </c:pt>
                <c:pt idx="26">
                  <c:v>0.79542916895000537</c:v>
                </c:pt>
                <c:pt idx="27">
                  <c:v>0.81369863037834178</c:v>
                </c:pt>
                <c:pt idx="28">
                  <c:v>0.82089162317313169</c:v>
                </c:pt>
                <c:pt idx="29">
                  <c:v>0.82881715960266211</c:v>
                </c:pt>
                <c:pt idx="30">
                  <c:v>0.83751991687377236</c:v>
                </c:pt>
                <c:pt idx="31">
                  <c:v>0.84359817222768452</c:v>
                </c:pt>
                <c:pt idx="32">
                  <c:v>0.85045971992470104</c:v>
                </c:pt>
                <c:pt idx="33">
                  <c:v>0.8574832792639685</c:v>
                </c:pt>
                <c:pt idx="34">
                  <c:v>0.86417582015412719</c:v>
                </c:pt>
                <c:pt idx="35">
                  <c:v>0.87019415793411703</c:v>
                </c:pt>
                <c:pt idx="36">
                  <c:v>0.87608053670255648</c:v>
                </c:pt>
                <c:pt idx="37">
                  <c:v>0.88240309118321714</c:v>
                </c:pt>
                <c:pt idx="38">
                  <c:v>0.88677065840083236</c:v>
                </c:pt>
                <c:pt idx="39">
                  <c:v>0.8898764552873949</c:v>
                </c:pt>
                <c:pt idx="40">
                  <c:v>0.89663178425417467</c:v>
                </c:pt>
                <c:pt idx="41">
                  <c:v>0.90390940443698675</c:v>
                </c:pt>
                <c:pt idx="42">
                  <c:v>0.91102028189441675</c:v>
                </c:pt>
                <c:pt idx="43">
                  <c:v>0.91592054600919259</c:v>
                </c:pt>
                <c:pt idx="44">
                  <c:v>0.91911905352479628</c:v>
                </c:pt>
                <c:pt idx="45">
                  <c:v>0.92177808275734585</c:v>
                </c:pt>
                <c:pt idx="46">
                  <c:v>0.92630748208624181</c:v>
                </c:pt>
                <c:pt idx="47">
                  <c:v>0.93153566292969947</c:v>
                </c:pt>
                <c:pt idx="48">
                  <c:v>0.93565650985870996</c:v>
                </c:pt>
                <c:pt idx="49">
                  <c:v>0.93942554101003073</c:v>
                </c:pt>
                <c:pt idx="50">
                  <c:v>0.94261803476315698</c:v>
                </c:pt>
                <c:pt idx="51">
                  <c:v>0.9454233967935598</c:v>
                </c:pt>
                <c:pt idx="52">
                  <c:v>0.94743634709920332</c:v>
                </c:pt>
                <c:pt idx="53">
                  <c:v>0.9514805256732547</c:v>
                </c:pt>
                <c:pt idx="54">
                  <c:v>0.95395623498861526</c:v>
                </c:pt>
                <c:pt idx="55">
                  <c:v>0.95709454899217761</c:v>
                </c:pt>
                <c:pt idx="56">
                  <c:v>0.9593241077078507</c:v>
                </c:pt>
                <c:pt idx="57">
                  <c:v>0.9615093082992715</c:v>
                </c:pt>
                <c:pt idx="58">
                  <c:v>0.96296236259631207</c:v>
                </c:pt>
                <c:pt idx="59">
                  <c:v>0.96584368299980528</c:v>
                </c:pt>
                <c:pt idx="60">
                  <c:v>0.96870406158917666</c:v>
                </c:pt>
                <c:pt idx="61">
                  <c:v>0.97146289111202921</c:v>
                </c:pt>
                <c:pt idx="62">
                  <c:v>0.9744413511143365</c:v>
                </c:pt>
                <c:pt idx="63">
                  <c:v>0.97555882497121416</c:v>
                </c:pt>
                <c:pt idx="64">
                  <c:v>0.9770585097068698</c:v>
                </c:pt>
                <c:pt idx="65">
                  <c:v>0.97789190006095317</c:v>
                </c:pt>
                <c:pt idx="66">
                  <c:v>0.97877205328256012</c:v>
                </c:pt>
                <c:pt idx="67">
                  <c:v>0.98101484033838471</c:v>
                </c:pt>
                <c:pt idx="68">
                  <c:v>0.98230944545997401</c:v>
                </c:pt>
                <c:pt idx="69">
                  <c:v>0.98309070868710546</c:v>
                </c:pt>
                <c:pt idx="70">
                  <c:v>0.98407005430834615</c:v>
                </c:pt>
                <c:pt idx="71">
                  <c:v>0.98521953927686634</c:v>
                </c:pt>
                <c:pt idx="72">
                  <c:v>0.98593870091003433</c:v>
                </c:pt>
                <c:pt idx="73">
                  <c:v>0.98638346865927173</c:v>
                </c:pt>
                <c:pt idx="74">
                  <c:v>0.98704133169855413</c:v>
                </c:pt>
                <c:pt idx="75">
                  <c:v>0.98759595914089471</c:v>
                </c:pt>
                <c:pt idx="76">
                  <c:v>0.9879474847032893</c:v>
                </c:pt>
                <c:pt idx="77">
                  <c:v>0.98913855912945747</c:v>
                </c:pt>
                <c:pt idx="78">
                  <c:v>0.9898889204259671</c:v>
                </c:pt>
                <c:pt idx="79">
                  <c:v>0.99036800554825399</c:v>
                </c:pt>
                <c:pt idx="80">
                  <c:v>0.99136169852093947</c:v>
                </c:pt>
                <c:pt idx="81">
                  <c:v>0.99187726405036081</c:v>
                </c:pt>
                <c:pt idx="82">
                  <c:v>0.99343767511856174</c:v>
                </c:pt>
                <c:pt idx="83">
                  <c:v>0.99376742580965161</c:v>
                </c:pt>
                <c:pt idx="84">
                  <c:v>0.99431067779610993</c:v>
                </c:pt>
                <c:pt idx="85">
                  <c:v>0.99473814110852699</c:v>
                </c:pt>
                <c:pt idx="86">
                  <c:v>0.99499440602960065</c:v>
                </c:pt>
                <c:pt idx="87">
                  <c:v>0.99527532145369524</c:v>
                </c:pt>
                <c:pt idx="88">
                  <c:v>0.99579681695160149</c:v>
                </c:pt>
                <c:pt idx="89">
                  <c:v>0.99627544317924444</c:v>
                </c:pt>
                <c:pt idx="90">
                  <c:v>0.99653027427375018</c:v>
                </c:pt>
                <c:pt idx="91">
                  <c:v>0.99674015468308808</c:v>
                </c:pt>
                <c:pt idx="92">
                  <c:v>0.99716228729817391</c:v>
                </c:pt>
                <c:pt idx="93">
                  <c:v>0.99733378414075657</c:v>
                </c:pt>
                <c:pt idx="94">
                  <c:v>0.99750318704366858</c:v>
                </c:pt>
                <c:pt idx="95">
                  <c:v>0.99768386986883417</c:v>
                </c:pt>
                <c:pt idx="96">
                  <c:v>0.99780603997191963</c:v>
                </c:pt>
                <c:pt idx="97">
                  <c:v>0.99800444394487142</c:v>
                </c:pt>
                <c:pt idx="98">
                  <c:v>0.9991613117373257</c:v>
                </c:pt>
                <c:pt idx="99">
                  <c:v>0.99929734757037469</c:v>
                </c:pt>
                <c:pt idx="100">
                  <c:v>0.99937259214670948</c:v>
                </c:pt>
                <c:pt idx="101">
                  <c:v>0.99943468143610414</c:v>
                </c:pt>
                <c:pt idx="102">
                  <c:v>0.99956691478311965</c:v>
                </c:pt>
                <c:pt idx="103">
                  <c:v>0.9997211747138216</c:v>
                </c:pt>
                <c:pt idx="104">
                  <c:v>0.99976051843409997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5D-3F4B-8EC5-A8BA266657CD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'Lorenz-sand'!$V$32:$V$33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'Lorenz-sand'!$W$32:$W$33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5D-3F4B-8EC5-A8BA26665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936992"/>
        <c:axId val="745517136"/>
      </c:scatterChart>
      <c:valAx>
        <c:axId val="6129369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Storage Capacity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517136"/>
        <c:crosses val="autoZero"/>
        <c:crossBetween val="midCat"/>
        <c:majorUnit val="0.1"/>
        <c:minorUnit val="2.5000000000000005E-2"/>
      </c:valAx>
      <c:valAx>
        <c:axId val="745517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Flow Capacity (mD</a:t>
                </a:r>
                <a:r>
                  <a:rPr lang="en-US" baseline="0"/>
                  <a:t> 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36992"/>
        <c:crosses val="autoZero"/>
        <c:crossBetween val="midCat"/>
        <c:minorUnit val="2.5000000000000005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Lorenz</a:t>
            </a:r>
            <a:r>
              <a:rPr lang="en-US" baseline="0"/>
              <a:t>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dash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layout>
                <c:manualLayout>
                  <c:x val="-1.2676335166133489E-2"/>
                  <c:y val="0.4557354221061792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Model of Lorenz Curve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0.369x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- 1.0999x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+ 1.743x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'Lorenz-shale'!$S$10:$S$114</c:f>
              <c:numCache>
                <c:formatCode>0.0%</c:formatCode>
                <c:ptCount val="105"/>
                <c:pt idx="0">
                  <c:v>2.063289355634584E-2</c:v>
                </c:pt>
                <c:pt idx="1">
                  <c:v>3.2739782914524188E-2</c:v>
                </c:pt>
                <c:pt idx="2">
                  <c:v>4.4776199392288864E-2</c:v>
                </c:pt>
                <c:pt idx="3">
                  <c:v>5.7982058641317107E-2</c:v>
                </c:pt>
                <c:pt idx="4">
                  <c:v>6.499129133565601E-2</c:v>
                </c:pt>
                <c:pt idx="5">
                  <c:v>7.6970790391370419E-2</c:v>
                </c:pt>
                <c:pt idx="6">
                  <c:v>0.10024189067799051</c:v>
                </c:pt>
                <c:pt idx="7">
                  <c:v>0.11795622249950696</c:v>
                </c:pt>
                <c:pt idx="8">
                  <c:v>0.16833084687930205</c:v>
                </c:pt>
                <c:pt idx="9">
                  <c:v>0.1832923705369201</c:v>
                </c:pt>
                <c:pt idx="10">
                  <c:v>0.19823066384556742</c:v>
                </c:pt>
                <c:pt idx="11">
                  <c:v>0.21138366115418991</c:v>
                </c:pt>
                <c:pt idx="12">
                  <c:v>0.22415980744014774</c:v>
                </c:pt>
                <c:pt idx="13">
                  <c:v>0.23439942934393809</c:v>
                </c:pt>
                <c:pt idx="14">
                  <c:v>0.24719777206805996</c:v>
                </c:pt>
                <c:pt idx="15">
                  <c:v>0.26031317303051549</c:v>
                </c:pt>
                <c:pt idx="16">
                  <c:v>0.27292339097248236</c:v>
                </c:pt>
                <c:pt idx="17">
                  <c:v>0.3101640829452072</c:v>
                </c:pt>
                <c:pt idx="18">
                  <c:v>0.33106059038914093</c:v>
                </c:pt>
                <c:pt idx="19">
                  <c:v>0.34859567927085011</c:v>
                </c:pt>
                <c:pt idx="20">
                  <c:v>0.36337320564005859</c:v>
                </c:pt>
                <c:pt idx="21">
                  <c:v>0.38206081938514236</c:v>
                </c:pt>
                <c:pt idx="22">
                  <c:v>0.396474322332312</c:v>
                </c:pt>
                <c:pt idx="23">
                  <c:v>0.41066175391431153</c:v>
                </c:pt>
                <c:pt idx="24">
                  <c:v>0.42360052775440837</c:v>
                </c:pt>
                <c:pt idx="25">
                  <c:v>0.4476524380479795</c:v>
                </c:pt>
                <c:pt idx="26">
                  <c:v>0.45612973139145824</c:v>
                </c:pt>
                <c:pt idx="27">
                  <c:v>0.46984560799323438</c:v>
                </c:pt>
                <c:pt idx="28">
                  <c:v>0.48315909329943235</c:v>
                </c:pt>
                <c:pt idx="29">
                  <c:v>0.49556680506939305</c:v>
                </c:pt>
                <c:pt idx="30">
                  <c:v>0.51015607700963772</c:v>
                </c:pt>
                <c:pt idx="31">
                  <c:v>0.52154449567919337</c:v>
                </c:pt>
                <c:pt idx="32">
                  <c:v>0.53300777433262836</c:v>
                </c:pt>
                <c:pt idx="33">
                  <c:v>0.57967005474633604</c:v>
                </c:pt>
                <c:pt idx="34">
                  <c:v>0.59345235285116393</c:v>
                </c:pt>
                <c:pt idx="35">
                  <c:v>0.6079430717319374</c:v>
                </c:pt>
                <c:pt idx="36">
                  <c:v>0.62205400639632913</c:v>
                </c:pt>
                <c:pt idx="37">
                  <c:v>0.64280948628143497</c:v>
                </c:pt>
                <c:pt idx="38">
                  <c:v>0.65169152539214026</c:v>
                </c:pt>
                <c:pt idx="39">
                  <c:v>0.66499942072925988</c:v>
                </c:pt>
                <c:pt idx="40">
                  <c:v>0.67360267470150814</c:v>
                </c:pt>
                <c:pt idx="41">
                  <c:v>0.70184099041913683</c:v>
                </c:pt>
                <c:pt idx="42">
                  <c:v>0.71628136060425618</c:v>
                </c:pt>
                <c:pt idx="43">
                  <c:v>0.74662183314455832</c:v>
                </c:pt>
                <c:pt idx="44">
                  <c:v>0.76632203171493696</c:v>
                </c:pt>
                <c:pt idx="45">
                  <c:v>0.77775752813178123</c:v>
                </c:pt>
                <c:pt idx="46">
                  <c:v>0.79032950838522442</c:v>
                </c:pt>
                <c:pt idx="47">
                  <c:v>0.81143893364929343</c:v>
                </c:pt>
                <c:pt idx="48">
                  <c:v>0.83763973087827626</c:v>
                </c:pt>
                <c:pt idx="49">
                  <c:v>0.87481036803588119</c:v>
                </c:pt>
                <c:pt idx="50">
                  <c:v>0.88611661454391677</c:v>
                </c:pt>
                <c:pt idx="51">
                  <c:v>0.89745762824260533</c:v>
                </c:pt>
                <c:pt idx="52">
                  <c:v>0.91049543989790727</c:v>
                </c:pt>
                <c:pt idx="53">
                  <c:v>0.92870906504549366</c:v>
                </c:pt>
                <c:pt idx="54">
                  <c:v>0.9564495532031172</c:v>
                </c:pt>
                <c:pt idx="55">
                  <c:v>1</c:v>
                </c:pt>
              </c:numCache>
            </c:numRef>
          </c:xVal>
          <c:yVal>
            <c:numRef>
              <c:f>'Lorenz-shale'!$T$10:$T$114</c:f>
              <c:numCache>
                <c:formatCode>0.0%</c:formatCode>
                <c:ptCount val="105"/>
                <c:pt idx="0">
                  <c:v>0.4101413258651197</c:v>
                </c:pt>
                <c:pt idx="1">
                  <c:v>0.48972427612094277</c:v>
                </c:pt>
                <c:pt idx="2">
                  <c:v>0.53169760320208159</c:v>
                </c:pt>
                <c:pt idx="3">
                  <c:v>0.56558995575743809</c:v>
                </c:pt>
                <c:pt idx="4">
                  <c:v>0.58104441690413255</c:v>
                </c:pt>
                <c:pt idx="5">
                  <c:v>0.60436178280752229</c:v>
                </c:pt>
                <c:pt idx="6">
                  <c:v>0.64377903853221996</c:v>
                </c:pt>
                <c:pt idx="7">
                  <c:v>0.67072096169448647</c:v>
                </c:pt>
                <c:pt idx="8">
                  <c:v>0.74635346990702578</c:v>
                </c:pt>
                <c:pt idx="9">
                  <c:v>0.76710048770534767</c:v>
                </c:pt>
                <c:pt idx="10">
                  <c:v>0.78521371411769891</c:v>
                </c:pt>
                <c:pt idx="11">
                  <c:v>0.80076101404567923</c:v>
                </c:pt>
                <c:pt idx="12">
                  <c:v>0.81437068111067334</c:v>
                </c:pt>
                <c:pt idx="13">
                  <c:v>0.82292409912206022</c:v>
                </c:pt>
                <c:pt idx="14">
                  <c:v>0.8320608547551831</c:v>
                </c:pt>
                <c:pt idx="15">
                  <c:v>0.84117656594822754</c:v>
                </c:pt>
                <c:pt idx="16">
                  <c:v>0.84956378128806509</c:v>
                </c:pt>
                <c:pt idx="17">
                  <c:v>0.87167822323061206</c:v>
                </c:pt>
                <c:pt idx="18">
                  <c:v>0.88349660794457652</c:v>
                </c:pt>
                <c:pt idx="19">
                  <c:v>0.89312966656845849</c:v>
                </c:pt>
                <c:pt idx="20">
                  <c:v>0.90097847808473941</c:v>
                </c:pt>
                <c:pt idx="21">
                  <c:v>0.91050196159409713</c:v>
                </c:pt>
                <c:pt idx="22">
                  <c:v>0.91753901999145593</c:v>
                </c:pt>
                <c:pt idx="23">
                  <c:v>0.92390630430421361</c:v>
                </c:pt>
                <c:pt idx="24">
                  <c:v>0.92954620052767667</c:v>
                </c:pt>
                <c:pt idx="25">
                  <c:v>0.93971319361907091</c:v>
                </c:pt>
                <c:pt idx="26">
                  <c:v>0.94320060027139052</c:v>
                </c:pt>
                <c:pt idx="27">
                  <c:v>0.94818950640550892</c:v>
                </c:pt>
                <c:pt idx="28">
                  <c:v>0.95251656372144533</c:v>
                </c:pt>
                <c:pt idx="29">
                  <c:v>0.95633499739579142</c:v>
                </c:pt>
                <c:pt idx="30">
                  <c:v>0.96075321717644946</c:v>
                </c:pt>
                <c:pt idx="31">
                  <c:v>0.96418893231703473</c:v>
                </c:pt>
                <c:pt idx="32">
                  <c:v>0.96761928874197156</c:v>
                </c:pt>
                <c:pt idx="33">
                  <c:v>0.98009034553742225</c:v>
                </c:pt>
                <c:pt idx="34">
                  <c:v>0.98376176585838682</c:v>
                </c:pt>
                <c:pt idx="35">
                  <c:v>0.98666408716416065</c:v>
                </c:pt>
                <c:pt idx="36">
                  <c:v>0.9890933706056364</c:v>
                </c:pt>
                <c:pt idx="37">
                  <c:v>0.99201757784840727</c:v>
                </c:pt>
                <c:pt idx="38">
                  <c:v>0.99265885066380344</c:v>
                </c:pt>
                <c:pt idx="39">
                  <c:v>0.99359554042259701</c:v>
                </c:pt>
                <c:pt idx="40">
                  <c:v>0.99404874529486953</c:v>
                </c:pt>
                <c:pt idx="41">
                  <c:v>0.99522168990969095</c:v>
                </c:pt>
                <c:pt idx="42">
                  <c:v>0.99576509561246151</c:v>
                </c:pt>
                <c:pt idx="43">
                  <c:v>0.99687101553583035</c:v>
                </c:pt>
                <c:pt idx="44">
                  <c:v>0.99751020084367248</c:v>
                </c:pt>
                <c:pt idx="45">
                  <c:v>0.99783577778580346</c:v>
                </c:pt>
                <c:pt idx="46">
                  <c:v>0.99807542396006199</c:v>
                </c:pt>
                <c:pt idx="47">
                  <c:v>0.99838402559044848</c:v>
                </c:pt>
                <c:pt idx="48">
                  <c:v>0.99875858716587607</c:v>
                </c:pt>
                <c:pt idx="49">
                  <c:v>0.99927458665815483</c:v>
                </c:pt>
                <c:pt idx="50">
                  <c:v>0.99938596905936505</c:v>
                </c:pt>
                <c:pt idx="51">
                  <c:v>0.99947749427987032</c:v>
                </c:pt>
                <c:pt idx="52">
                  <c:v>0.99957061255742707</c:v>
                </c:pt>
                <c:pt idx="53">
                  <c:v>0.99967761854366266</c:v>
                </c:pt>
                <c:pt idx="54">
                  <c:v>0.99981261439569036</c:v>
                </c:pt>
                <c:pt idx="55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13-4EEF-9094-105B5E20A0AF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'Lorenz-shale'!$V$32:$V$33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'Lorenz-shale'!$W$32:$W$33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13-4EEF-9094-105B5E20A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936992"/>
        <c:axId val="745517136"/>
      </c:scatterChart>
      <c:valAx>
        <c:axId val="6129369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Storage Capacity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517136"/>
        <c:crosses val="autoZero"/>
        <c:crossBetween val="midCat"/>
        <c:majorUnit val="0.1"/>
        <c:minorUnit val="2.5000000000000005E-2"/>
      </c:valAx>
      <c:valAx>
        <c:axId val="745517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Flow Capacity (mD</a:t>
                </a:r>
                <a:r>
                  <a:rPr lang="en-US" baseline="0"/>
                  <a:t> 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36992"/>
        <c:crosses val="autoZero"/>
        <c:crossBetween val="midCat"/>
        <c:minorUnit val="2.5000000000000005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Bivariate Standard Normal</a:t>
            </a:r>
          </a:p>
        </c:rich>
      </c:tx>
      <c:layout>
        <c:manualLayout>
          <c:xMode val="edge"/>
          <c:yMode val="edge"/>
          <c:x val="0.25586451078909128"/>
          <c:y val="3.4090898923019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'Por-Perm-Logs'!$J$16:$J$120</c:f>
              <c:numCache>
                <c:formatCode>0.00</c:formatCode>
                <c:ptCount val="105"/>
                <c:pt idx="0">
                  <c:v>-1.1390967038505935</c:v>
                </c:pt>
                <c:pt idx="1">
                  <c:v>-0.53112439768528508</c:v>
                </c:pt>
                <c:pt idx="2">
                  <c:v>-0.25760558051822258</c:v>
                </c:pt>
                <c:pt idx="3">
                  <c:v>-2.4812593600100055</c:v>
                </c:pt>
                <c:pt idx="4">
                  <c:v>1.5747104594992871</c:v>
                </c:pt>
                <c:pt idx="5">
                  <c:v>0.72986489325341031</c:v>
                </c:pt>
                <c:pt idx="6">
                  <c:v>0.29931424708760451</c:v>
                </c:pt>
                <c:pt idx="7">
                  <c:v>-0.77097306441419189</c:v>
                </c:pt>
                <c:pt idx="8">
                  <c:v>-1.0497547372170013</c:v>
                </c:pt>
                <c:pt idx="9">
                  <c:v>-1.2436597195955137</c:v>
                </c:pt>
                <c:pt idx="10">
                  <c:v>0.93906288760049172</c:v>
                </c:pt>
                <c:pt idx="11">
                  <c:v>-0.55386042218457343</c:v>
                </c:pt>
                <c:pt idx="12">
                  <c:v>1.471812348463662</c:v>
                </c:pt>
                <c:pt idx="13">
                  <c:v>-0.29136630777407718</c:v>
                </c:pt>
                <c:pt idx="14">
                  <c:v>-0.21791588713388788</c:v>
                </c:pt>
                <c:pt idx="15">
                  <c:v>-1.3234065723314603</c:v>
                </c:pt>
                <c:pt idx="16">
                  <c:v>0.75880480536310801</c:v>
                </c:pt>
                <c:pt idx="17">
                  <c:v>-0.93123135920496181</c:v>
                </c:pt>
                <c:pt idx="18">
                  <c:v>-1.1686576664859101</c:v>
                </c:pt>
                <c:pt idx="19">
                  <c:v>0.68138340963264621</c:v>
                </c:pt>
                <c:pt idx="20">
                  <c:v>0.44968301238613057</c:v>
                </c:pt>
                <c:pt idx="21">
                  <c:v>-1.9728486007401329</c:v>
                </c:pt>
                <c:pt idx="22">
                  <c:v>-0.27458959933411281</c:v>
                </c:pt>
                <c:pt idx="23">
                  <c:v>-0.26040709824341934</c:v>
                </c:pt>
                <c:pt idx="24">
                  <c:v>-1.5086288640993746</c:v>
                </c:pt>
                <c:pt idx="25">
                  <c:v>0.35519092824645793</c:v>
                </c:pt>
                <c:pt idx="26">
                  <c:v>-1.1301746900022971</c:v>
                </c:pt>
                <c:pt idx="27">
                  <c:v>-4.7930926494668909E-2</c:v>
                </c:pt>
                <c:pt idx="28">
                  <c:v>-0.18400694454489744</c:v>
                </c:pt>
                <c:pt idx="29">
                  <c:v>0.85698556286921135</c:v>
                </c:pt>
                <c:pt idx="30">
                  <c:v>-1.8345652486092159</c:v>
                </c:pt>
                <c:pt idx="31">
                  <c:v>0.88348417274039015</c:v>
                </c:pt>
                <c:pt idx="32">
                  <c:v>4.7751334093453605E-2</c:v>
                </c:pt>
                <c:pt idx="33">
                  <c:v>1.5975138062913745</c:v>
                </c:pt>
                <c:pt idx="34">
                  <c:v>-0.75801834953613756</c:v>
                </c:pt>
                <c:pt idx="35">
                  <c:v>-0.87768504931947355</c:v>
                </c:pt>
                <c:pt idx="36">
                  <c:v>1.7163677346398696</c:v>
                </c:pt>
                <c:pt idx="37">
                  <c:v>0.99881245212843839</c:v>
                </c:pt>
                <c:pt idx="38">
                  <c:v>-0.16726742009924861</c:v>
                </c:pt>
                <c:pt idx="39">
                  <c:v>-0.29955873127591992</c:v>
                </c:pt>
                <c:pt idx="40">
                  <c:v>-0.10627282003126347</c:v>
                </c:pt>
                <c:pt idx="41">
                  <c:v>1.8694048004400463</c:v>
                </c:pt>
                <c:pt idx="42">
                  <c:v>-0.39372902181391045</c:v>
                </c:pt>
                <c:pt idx="43">
                  <c:v>0.75018877080691093</c:v>
                </c:pt>
                <c:pt idx="44">
                  <c:v>0.5210129941000986</c:v>
                </c:pt>
                <c:pt idx="45">
                  <c:v>-0.5133719371023765</c:v>
                </c:pt>
                <c:pt idx="46">
                  <c:v>-0.46387192008180955</c:v>
                </c:pt>
                <c:pt idx="47">
                  <c:v>-0.39276164499218613</c:v>
                </c:pt>
                <c:pt idx="48">
                  <c:v>0.19781443548452302</c:v>
                </c:pt>
                <c:pt idx="49">
                  <c:v>-0.79863143999965069</c:v>
                </c:pt>
                <c:pt idx="50">
                  <c:v>0.88426073198207067</c:v>
                </c:pt>
                <c:pt idx="51">
                  <c:v>-0.13642340075239384</c:v>
                </c:pt>
                <c:pt idx="52">
                  <c:v>-0.50901051076907866</c:v>
                </c:pt>
                <c:pt idx="53">
                  <c:v>-1.347699982328288</c:v>
                </c:pt>
                <c:pt idx="54">
                  <c:v>2.4296771809573463</c:v>
                </c:pt>
                <c:pt idx="55">
                  <c:v>-0.82225535476508849</c:v>
                </c:pt>
                <c:pt idx="56">
                  <c:v>1.8162443708776115</c:v>
                </c:pt>
                <c:pt idx="57">
                  <c:v>-0.29609909967738812</c:v>
                </c:pt>
                <c:pt idx="58">
                  <c:v>0.39145259350574069</c:v>
                </c:pt>
                <c:pt idx="59">
                  <c:v>-0.49069181870295303</c:v>
                </c:pt>
                <c:pt idx="60">
                  <c:v>0.32994001686697838</c:v>
                </c:pt>
                <c:pt idx="61">
                  <c:v>-1.2621323903841168</c:v>
                </c:pt>
                <c:pt idx="62">
                  <c:v>-0.23517802197230647</c:v>
                </c:pt>
                <c:pt idx="63">
                  <c:v>0.4102817938865892</c:v>
                </c:pt>
                <c:pt idx="64">
                  <c:v>0.2353785506460917</c:v>
                </c:pt>
                <c:pt idx="65">
                  <c:v>-0.97424527732020294</c:v>
                </c:pt>
                <c:pt idx="66">
                  <c:v>-0.88042052944123805</c:v>
                </c:pt>
                <c:pt idx="67">
                  <c:v>0.67029128984037745</c:v>
                </c:pt>
                <c:pt idx="68">
                  <c:v>1.68495962204983</c:v>
                </c:pt>
                <c:pt idx="69">
                  <c:v>-0.78389810541168647</c:v>
                </c:pt>
                <c:pt idx="70">
                  <c:v>1.4835566532780282</c:v>
                </c:pt>
                <c:pt idx="71">
                  <c:v>0.40591466804695081</c:v>
                </c:pt>
                <c:pt idx="72">
                  <c:v>-1.1760077752351532</c:v>
                </c:pt>
                <c:pt idx="73">
                  <c:v>0.10285072499454927</c:v>
                </c:pt>
                <c:pt idx="74">
                  <c:v>-0.15502190168176097</c:v>
                </c:pt>
                <c:pt idx="75">
                  <c:v>-2.0870735032126175</c:v>
                </c:pt>
                <c:pt idx="76">
                  <c:v>1.113301975675365</c:v>
                </c:pt>
                <c:pt idx="77">
                  <c:v>-1.3418986475771055</c:v>
                </c:pt>
                <c:pt idx="78">
                  <c:v>-1.14522777745858</c:v>
                </c:pt>
                <c:pt idx="79">
                  <c:v>-0.32081217649781313</c:v>
                </c:pt>
                <c:pt idx="80">
                  <c:v>-0.25382167529726363</c:v>
                </c:pt>
                <c:pt idx="81">
                  <c:v>-0.46867593545080211</c:v>
                </c:pt>
                <c:pt idx="82">
                  <c:v>-0.65306073258586561</c:v>
                </c:pt>
                <c:pt idx="83">
                  <c:v>-0.30298479978405535</c:v>
                </c:pt>
                <c:pt idx="84">
                  <c:v>-0.45822177325330049</c:v>
                </c:pt>
                <c:pt idx="85">
                  <c:v>1.1425779337411723</c:v>
                </c:pt>
                <c:pt idx="86">
                  <c:v>0.37550644294560226</c:v>
                </c:pt>
                <c:pt idx="87">
                  <c:v>0.12764754583666973</c:v>
                </c:pt>
                <c:pt idx="88">
                  <c:v>-0.26344859723853642</c:v>
                </c:pt>
                <c:pt idx="89">
                  <c:v>8.3216234609571615E-2</c:v>
                </c:pt>
                <c:pt idx="90">
                  <c:v>-2.6652675120487972</c:v>
                </c:pt>
                <c:pt idx="91">
                  <c:v>-0.26268696946038211</c:v>
                </c:pt>
                <c:pt idx="92">
                  <c:v>-1.9385312369893068</c:v>
                </c:pt>
                <c:pt idx="93">
                  <c:v>-1.9481599202269864</c:v>
                </c:pt>
                <c:pt idx="94">
                  <c:v>-0.83748246725320785</c:v>
                </c:pt>
                <c:pt idx="95">
                  <c:v>-3.8136233751019523E-2</c:v>
                </c:pt>
                <c:pt idx="96">
                  <c:v>0.32733521378556374</c:v>
                </c:pt>
                <c:pt idx="97">
                  <c:v>0.63344041179670207</c:v>
                </c:pt>
                <c:pt idx="98">
                  <c:v>-0.39384816791851901</c:v>
                </c:pt>
                <c:pt idx="99">
                  <c:v>-0.52898039974129285</c:v>
                </c:pt>
                <c:pt idx="100">
                  <c:v>0.28533422043339823</c:v>
                </c:pt>
                <c:pt idx="101">
                  <c:v>-0.30173945181744177</c:v>
                </c:pt>
                <c:pt idx="102">
                  <c:v>0.49508815453172766</c:v>
                </c:pt>
                <c:pt idx="103">
                  <c:v>0.30097559834573545</c:v>
                </c:pt>
                <c:pt idx="104">
                  <c:v>-1.2526319708790068</c:v>
                </c:pt>
              </c:numCache>
            </c:numRef>
          </c:xVal>
          <c:yVal>
            <c:numRef>
              <c:f>'Por-Perm-Logs'!$K$16:$K$120</c:f>
              <c:numCache>
                <c:formatCode>0.00</c:formatCode>
                <c:ptCount val="105"/>
                <c:pt idx="0">
                  <c:v>-0.7817609225368658</c:v>
                </c:pt>
                <c:pt idx="1">
                  <c:v>-1.2438096529322118</c:v>
                </c:pt>
                <c:pt idx="2">
                  <c:v>-0.2405371669624759</c:v>
                </c:pt>
                <c:pt idx="3">
                  <c:v>-0.52654460560007366</c:v>
                </c:pt>
                <c:pt idx="4">
                  <c:v>0.93136622106156364</c:v>
                </c:pt>
                <c:pt idx="5">
                  <c:v>0.65657730993442009</c:v>
                </c:pt>
                <c:pt idx="6">
                  <c:v>-1.4646244068996086</c:v>
                </c:pt>
                <c:pt idx="7">
                  <c:v>-0.1819168414526961</c:v>
                </c:pt>
                <c:pt idx="8">
                  <c:v>-1.2670312987046604</c:v>
                </c:pt>
                <c:pt idx="9">
                  <c:v>0.24068299688321237</c:v>
                </c:pt>
                <c:pt idx="10">
                  <c:v>-1.1826784074033261</c:v>
                </c:pt>
                <c:pt idx="11">
                  <c:v>-0.92532558166254564</c:v>
                </c:pt>
                <c:pt idx="12">
                  <c:v>0.81205795386993429</c:v>
                </c:pt>
                <c:pt idx="13">
                  <c:v>0.35328526366422125</c:v>
                </c:pt>
                <c:pt idx="14">
                  <c:v>0.73702495991103778</c:v>
                </c:pt>
                <c:pt idx="15">
                  <c:v>-0.28419475996783017</c:v>
                </c:pt>
                <c:pt idx="16">
                  <c:v>0.68474913289161987</c:v>
                </c:pt>
                <c:pt idx="17">
                  <c:v>-1.4453354105874785</c:v>
                </c:pt>
                <c:pt idx="18">
                  <c:v>-0.58502779818135697</c:v>
                </c:pt>
                <c:pt idx="19">
                  <c:v>-0.89168605885906849</c:v>
                </c:pt>
                <c:pt idx="20">
                  <c:v>0.4204435438198964</c:v>
                </c:pt>
                <c:pt idx="21">
                  <c:v>-1.2950558084845021</c:v>
                </c:pt>
                <c:pt idx="22">
                  <c:v>-0.5957563837925105</c:v>
                </c:pt>
                <c:pt idx="23">
                  <c:v>0.67556980064756234</c:v>
                </c:pt>
                <c:pt idx="24">
                  <c:v>-1.2569882803398971</c:v>
                </c:pt>
                <c:pt idx="25">
                  <c:v>0.80741307286699193</c:v>
                </c:pt>
                <c:pt idx="26">
                  <c:v>2.2221764178940395E-2</c:v>
                </c:pt>
                <c:pt idx="27">
                  <c:v>-0.7332171398979892</c:v>
                </c:pt>
                <c:pt idx="28">
                  <c:v>-0.45583879015421125</c:v>
                </c:pt>
                <c:pt idx="29">
                  <c:v>0.66396386391050966</c:v>
                </c:pt>
                <c:pt idx="30">
                  <c:v>-1.1313775473615344</c:v>
                </c:pt>
                <c:pt idx="31">
                  <c:v>-1.0215655692684664</c:v>
                </c:pt>
                <c:pt idx="32">
                  <c:v>-0.12872878739162633</c:v>
                </c:pt>
                <c:pt idx="33">
                  <c:v>1.8476228515953914</c:v>
                </c:pt>
                <c:pt idx="34">
                  <c:v>-0.35391563750026095</c:v>
                </c:pt>
                <c:pt idx="35">
                  <c:v>-6.0976075306381217E-2</c:v>
                </c:pt>
                <c:pt idx="36">
                  <c:v>0.96975472785732997</c:v>
                </c:pt>
                <c:pt idx="37">
                  <c:v>0.74617520650758906</c:v>
                </c:pt>
                <c:pt idx="38">
                  <c:v>-0.40150646352623798</c:v>
                </c:pt>
                <c:pt idx="39">
                  <c:v>-0.29186388546838871</c:v>
                </c:pt>
                <c:pt idx="40">
                  <c:v>-8.1032688899899771E-2</c:v>
                </c:pt>
                <c:pt idx="41">
                  <c:v>2.0426776638933801</c:v>
                </c:pt>
                <c:pt idx="42">
                  <c:v>0.98563342528980247</c:v>
                </c:pt>
                <c:pt idx="43">
                  <c:v>-0.13275429378029147</c:v>
                </c:pt>
                <c:pt idx="44">
                  <c:v>1.1375063565739039</c:v>
                </c:pt>
                <c:pt idx="45">
                  <c:v>0.55318455803373345</c:v>
                </c:pt>
                <c:pt idx="46">
                  <c:v>0.19736800083555689</c:v>
                </c:pt>
                <c:pt idx="47">
                  <c:v>0.59922170171399902</c:v>
                </c:pt>
                <c:pt idx="48">
                  <c:v>-6.3416043753452569E-2</c:v>
                </c:pt>
                <c:pt idx="49">
                  <c:v>-0.8180748738591157</c:v>
                </c:pt>
                <c:pt idx="50">
                  <c:v>0.23448525196992981</c:v>
                </c:pt>
                <c:pt idx="51">
                  <c:v>-0.4824796138215442</c:v>
                </c:pt>
                <c:pt idx="52">
                  <c:v>-1.1989817780764727</c:v>
                </c:pt>
                <c:pt idx="53">
                  <c:v>-0.61764880302020808</c:v>
                </c:pt>
                <c:pt idx="54">
                  <c:v>1.8753521354679148</c:v>
                </c:pt>
                <c:pt idx="55">
                  <c:v>-1.3317707661122642</c:v>
                </c:pt>
                <c:pt idx="56">
                  <c:v>0.97095799641925695</c:v>
                </c:pt>
                <c:pt idx="57">
                  <c:v>-2.2387276748501939E-2</c:v>
                </c:pt>
                <c:pt idx="58">
                  <c:v>0.85292298524684895</c:v>
                </c:pt>
                <c:pt idx="59">
                  <c:v>-0.99546532062086812</c:v>
                </c:pt>
                <c:pt idx="60">
                  <c:v>0.45001361064426137</c:v>
                </c:pt>
                <c:pt idx="61">
                  <c:v>-0.47992758277293929</c:v>
                </c:pt>
                <c:pt idx="62">
                  <c:v>-0.253832342595605</c:v>
                </c:pt>
                <c:pt idx="63">
                  <c:v>0.82176029541702145</c:v>
                </c:pt>
                <c:pt idx="64">
                  <c:v>0.46068735176072773</c:v>
                </c:pt>
                <c:pt idx="65">
                  <c:v>0.90919805692741873</c:v>
                </c:pt>
                <c:pt idx="66">
                  <c:v>-0.62418938251420841</c:v>
                </c:pt>
                <c:pt idx="67">
                  <c:v>-0.22091271984579514</c:v>
                </c:pt>
                <c:pt idx="68">
                  <c:v>0.87926582938664155</c:v>
                </c:pt>
                <c:pt idx="69">
                  <c:v>-1.4174661370934944</c:v>
                </c:pt>
                <c:pt idx="70">
                  <c:v>1.225247975789352</c:v>
                </c:pt>
                <c:pt idx="71">
                  <c:v>-0.17608992224030373</c:v>
                </c:pt>
                <c:pt idx="72">
                  <c:v>-1.067531857044568E-2</c:v>
                </c:pt>
                <c:pt idx="73">
                  <c:v>0.12877240384728036</c:v>
                </c:pt>
                <c:pt idx="74">
                  <c:v>0.51137127026121731</c:v>
                </c:pt>
                <c:pt idx="75">
                  <c:v>-2.1889252469452942</c:v>
                </c:pt>
                <c:pt idx="76">
                  <c:v>-1.6490980146396161E-2</c:v>
                </c:pt>
                <c:pt idx="77">
                  <c:v>-0.23237180952011705</c:v>
                </c:pt>
                <c:pt idx="78">
                  <c:v>0.32460592296653745</c:v>
                </c:pt>
                <c:pt idx="79">
                  <c:v>0.47941599883044739</c:v>
                </c:pt>
                <c:pt idx="80">
                  <c:v>0.95932309375713642</c:v>
                </c:pt>
                <c:pt idx="81">
                  <c:v>-0.23299279677660228</c:v>
                </c:pt>
                <c:pt idx="82">
                  <c:v>-1.0666825523204722</c:v>
                </c:pt>
                <c:pt idx="83">
                  <c:v>0.79993979985169961</c:v>
                </c:pt>
                <c:pt idx="84">
                  <c:v>-2.5645846305294429E-4</c:v>
                </c:pt>
                <c:pt idx="85">
                  <c:v>0.30001860879334552</c:v>
                </c:pt>
                <c:pt idx="86">
                  <c:v>-6.2984943730004628E-2</c:v>
                </c:pt>
                <c:pt idx="87">
                  <c:v>0.18985779676037767</c:v>
                </c:pt>
                <c:pt idx="88">
                  <c:v>-9.3379544999306285E-2</c:v>
                </c:pt>
                <c:pt idx="89">
                  <c:v>0.45398395350686288</c:v>
                </c:pt>
                <c:pt idx="90">
                  <c:v>-1.8641836646693113</c:v>
                </c:pt>
                <c:pt idx="91">
                  <c:v>0.23507089005116871</c:v>
                </c:pt>
                <c:pt idx="92">
                  <c:v>-1.6451936784859904</c:v>
                </c:pt>
                <c:pt idx="93">
                  <c:v>-1.6476438363924479</c:v>
                </c:pt>
                <c:pt idx="94">
                  <c:v>-0.82651636075287305</c:v>
                </c:pt>
                <c:pt idx="95">
                  <c:v>-1.9312702340032688</c:v>
                </c:pt>
                <c:pt idx="96">
                  <c:v>0.72072949444594725</c:v>
                </c:pt>
                <c:pt idx="97">
                  <c:v>0.97562856678542464</c:v>
                </c:pt>
                <c:pt idx="98">
                  <c:v>0.59223082840837216</c:v>
                </c:pt>
                <c:pt idx="99">
                  <c:v>-1.0450401296768794</c:v>
                </c:pt>
                <c:pt idx="100">
                  <c:v>-5.0332750342017285E-2</c:v>
                </c:pt>
                <c:pt idx="101">
                  <c:v>0.73188353144646456</c:v>
                </c:pt>
                <c:pt idx="102">
                  <c:v>-0.57553530601630443</c:v>
                </c:pt>
                <c:pt idx="103">
                  <c:v>-0.25838978393894668</c:v>
                </c:pt>
                <c:pt idx="104">
                  <c:v>-1.1533723012600359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C-4022-A4B3-3167811FD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-3"/>
        <c:crossBetween val="midCat"/>
      </c:valAx>
      <c:valAx>
        <c:axId val="465982104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Permeability vs. Porosity</a:t>
            </a:r>
          </a:p>
        </c:rich>
      </c:tx>
      <c:layout>
        <c:manualLayout>
          <c:xMode val="edge"/>
          <c:yMode val="edge"/>
          <c:x val="0.25586451078909128"/>
          <c:y val="3.4090898923019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'Por-Perm-Logs'!$M$16:$M$120</c:f>
              <c:numCache>
                <c:formatCode>0.0</c:formatCode>
                <c:ptCount val="105"/>
                <c:pt idx="0">
                  <c:v>9.2638367711209693</c:v>
                </c:pt>
                <c:pt idx="1">
                  <c:v>7.6466662147372588</c:v>
                </c:pt>
                <c:pt idx="2">
                  <c:v>11.158119915631334</c:v>
                </c:pt>
                <c:pt idx="3">
                  <c:v>10.157093880399742</c:v>
                </c:pt>
                <c:pt idx="4">
                  <c:v>15.259781773715472</c:v>
                </c:pt>
                <c:pt idx="5">
                  <c:v>14.29802058477047</c:v>
                </c:pt>
                <c:pt idx="6">
                  <c:v>6.8738145758513696</c:v>
                </c:pt>
                <c:pt idx="7">
                  <c:v>11.363291054915564</c:v>
                </c:pt>
                <c:pt idx="8">
                  <c:v>7.5653904545336887</c:v>
                </c:pt>
                <c:pt idx="9">
                  <c:v>12.842390489091244</c:v>
                </c:pt>
                <c:pt idx="10">
                  <c:v>7.8606255740883588</c:v>
                </c:pt>
                <c:pt idx="11">
                  <c:v>8.7613604641810898</c:v>
                </c:pt>
                <c:pt idx="12">
                  <c:v>14.84220283854477</c:v>
                </c:pt>
                <c:pt idx="13">
                  <c:v>13.236498422824774</c:v>
                </c:pt>
                <c:pt idx="14">
                  <c:v>14.579587359688633</c:v>
                </c:pt>
                <c:pt idx="15">
                  <c:v>11.005318340112595</c:v>
                </c:pt>
                <c:pt idx="16">
                  <c:v>14.396621965120669</c:v>
                </c:pt>
                <c:pt idx="17">
                  <c:v>6.9413260629438254</c:v>
                </c:pt>
                <c:pt idx="18">
                  <c:v>9.95240270636525</c:v>
                </c:pt>
                <c:pt idx="19">
                  <c:v>8.8790987939932613</c:v>
                </c:pt>
                <c:pt idx="20">
                  <c:v>13.471552403369637</c:v>
                </c:pt>
                <c:pt idx="21">
                  <c:v>7.4673046703042427</c:v>
                </c:pt>
                <c:pt idx="22">
                  <c:v>9.9148526567262127</c:v>
                </c:pt>
                <c:pt idx="23">
                  <c:v>14.364494302266468</c:v>
                </c:pt>
                <c:pt idx="24">
                  <c:v>7.6005410188103601</c:v>
                </c:pt>
                <c:pt idx="25">
                  <c:v>14.825945755034471</c:v>
                </c:pt>
                <c:pt idx="26">
                  <c:v>12.077776174626292</c:v>
                </c:pt>
                <c:pt idx="27">
                  <c:v>9.4337400103570381</c:v>
                </c:pt>
                <c:pt idx="28">
                  <c:v>10.40456423446026</c:v>
                </c:pt>
                <c:pt idx="29">
                  <c:v>14.323873523686784</c:v>
                </c:pt>
                <c:pt idx="30">
                  <c:v>8.0401785842346296</c:v>
                </c:pt>
                <c:pt idx="31">
                  <c:v>8.4245205075603664</c:v>
                </c:pt>
                <c:pt idx="32">
                  <c:v>11.549449244129308</c:v>
                </c:pt>
                <c:pt idx="33">
                  <c:v>18.466679980583869</c:v>
                </c:pt>
                <c:pt idx="34">
                  <c:v>10.761295268749087</c:v>
                </c:pt>
                <c:pt idx="35">
                  <c:v>11.786583736427666</c:v>
                </c:pt>
                <c:pt idx="36">
                  <c:v>15.394141547500656</c:v>
                </c:pt>
                <c:pt idx="37">
                  <c:v>14.611613222776562</c:v>
                </c:pt>
                <c:pt idx="38">
                  <c:v>10.594727377658167</c:v>
                </c:pt>
                <c:pt idx="39">
                  <c:v>10.978476400860639</c:v>
                </c:pt>
                <c:pt idx="40">
                  <c:v>11.716385588850351</c:v>
                </c:pt>
                <c:pt idx="41">
                  <c:v>19.149371823626829</c:v>
                </c:pt>
                <c:pt idx="42">
                  <c:v>15.449716988514309</c:v>
                </c:pt>
                <c:pt idx="43">
                  <c:v>11.53535997176898</c:v>
                </c:pt>
                <c:pt idx="44">
                  <c:v>15.981272248008663</c:v>
                </c:pt>
                <c:pt idx="45">
                  <c:v>13.936145953118068</c:v>
                </c:pt>
                <c:pt idx="46">
                  <c:v>12.69078800292445</c:v>
                </c:pt>
                <c:pt idx="47">
                  <c:v>14.097275955998997</c:v>
                </c:pt>
                <c:pt idx="48">
                  <c:v>11.778043846862916</c:v>
                </c:pt>
                <c:pt idx="49">
                  <c:v>9.1367379414930951</c:v>
                </c:pt>
                <c:pt idx="50">
                  <c:v>12.820698381894754</c:v>
                </c:pt>
                <c:pt idx="51">
                  <c:v>10.311321351624596</c:v>
                </c:pt>
                <c:pt idx="52">
                  <c:v>7.8035637767323456</c:v>
                </c:pt>
                <c:pt idx="53">
                  <c:v>9.8382291894292706</c:v>
                </c:pt>
                <c:pt idx="54">
                  <c:v>18.563732474137701</c:v>
                </c:pt>
                <c:pt idx="55">
                  <c:v>7.3388023186070752</c:v>
                </c:pt>
                <c:pt idx="56">
                  <c:v>15.398352987467399</c:v>
                </c:pt>
                <c:pt idx="57">
                  <c:v>11.921644531380243</c:v>
                </c:pt>
                <c:pt idx="58">
                  <c:v>14.985230448363971</c:v>
                </c:pt>
                <c:pt idx="59">
                  <c:v>8.5158713778269615</c:v>
                </c:pt>
                <c:pt idx="60">
                  <c:v>13.575047637254915</c:v>
                </c:pt>
                <c:pt idx="61">
                  <c:v>10.320253460294712</c:v>
                </c:pt>
                <c:pt idx="62">
                  <c:v>11.111586800915383</c:v>
                </c:pt>
                <c:pt idx="63">
                  <c:v>14.876161033959574</c:v>
                </c:pt>
                <c:pt idx="64">
                  <c:v>13.612405731162546</c:v>
                </c:pt>
                <c:pt idx="65">
                  <c:v>15.182193199245965</c:v>
                </c:pt>
                <c:pt idx="66">
                  <c:v>9.8153371612002704</c:v>
                </c:pt>
                <c:pt idx="67">
                  <c:v>11.226805480539717</c:v>
                </c:pt>
                <c:pt idx="68">
                  <c:v>15.077430402853246</c:v>
                </c:pt>
                <c:pt idx="69">
                  <c:v>7.0388685201727696</c:v>
                </c:pt>
                <c:pt idx="70">
                  <c:v>16.288367915262732</c:v>
                </c:pt>
                <c:pt idx="71">
                  <c:v>11.383685272158937</c:v>
                </c:pt>
                <c:pt idx="72">
                  <c:v>11.962636385003441</c:v>
                </c:pt>
                <c:pt idx="73">
                  <c:v>12.450703413465481</c:v>
                </c:pt>
                <c:pt idx="74">
                  <c:v>13.789799445914261</c:v>
                </c:pt>
                <c:pt idx="75">
                  <c:v>4.33876163569147</c:v>
                </c:pt>
                <c:pt idx="76">
                  <c:v>11.942281569487614</c:v>
                </c:pt>
                <c:pt idx="77">
                  <c:v>11.18669866667959</c:v>
                </c:pt>
                <c:pt idx="78">
                  <c:v>13.136120730382881</c:v>
                </c:pt>
                <c:pt idx="79">
                  <c:v>13.677955995906565</c:v>
                </c:pt>
                <c:pt idx="80">
                  <c:v>15.357630828149977</c:v>
                </c:pt>
                <c:pt idx="81">
                  <c:v>11.184525211281892</c:v>
                </c:pt>
                <c:pt idx="82">
                  <c:v>8.2666110668783475</c:v>
                </c:pt>
                <c:pt idx="83">
                  <c:v>14.799789299480949</c:v>
                </c:pt>
                <c:pt idx="84">
                  <c:v>11.999102395379314</c:v>
                </c:pt>
                <c:pt idx="85">
                  <c:v>13.050065130776709</c:v>
                </c:pt>
                <c:pt idx="86">
                  <c:v>11.779552696944984</c:v>
                </c:pt>
                <c:pt idx="87">
                  <c:v>12.664502288661321</c:v>
                </c:pt>
                <c:pt idx="88">
                  <c:v>11.673171592502428</c:v>
                </c:pt>
                <c:pt idx="89">
                  <c:v>13.588943837274019</c:v>
                </c:pt>
                <c:pt idx="90">
                  <c:v>5.4753571736574109</c:v>
                </c:pt>
                <c:pt idx="91">
                  <c:v>12.82274811517909</c:v>
                </c:pt>
                <c:pt idx="92">
                  <c:v>6.2418221252990334</c:v>
                </c:pt>
                <c:pt idx="93">
                  <c:v>6.2332465726264319</c:v>
                </c:pt>
                <c:pt idx="94">
                  <c:v>9.1071927373649437</c:v>
                </c:pt>
                <c:pt idx="95">
                  <c:v>5.2405541809885587</c:v>
                </c:pt>
                <c:pt idx="96">
                  <c:v>14.522553230560815</c:v>
                </c:pt>
                <c:pt idx="97">
                  <c:v>15.414699983748987</c:v>
                </c:pt>
                <c:pt idx="98">
                  <c:v>14.072807899429304</c:v>
                </c:pt>
                <c:pt idx="99">
                  <c:v>8.3423595461309219</c:v>
                </c:pt>
                <c:pt idx="100">
                  <c:v>11.82383537380294</c:v>
                </c:pt>
                <c:pt idx="101">
                  <c:v>14.561592360062626</c:v>
                </c:pt>
                <c:pt idx="102">
                  <c:v>9.9856264289429344</c:v>
                </c:pt>
                <c:pt idx="103">
                  <c:v>11.095635756213687</c:v>
                </c:pt>
                <c:pt idx="104">
                  <c:v>7.9631969455898748</c:v>
                </c:pt>
              </c:numCache>
            </c:numRef>
          </c:xVal>
          <c:yVal>
            <c:numRef>
              <c:f>'Por-Perm-Logs'!$O$16:$O$120</c:f>
              <c:numCache>
                <c:formatCode>0.0</c:formatCode>
                <c:ptCount val="105"/>
                <c:pt idx="0">
                  <c:v>83.969332934828657</c:v>
                </c:pt>
                <c:pt idx="1">
                  <c:v>113.79946280439933</c:v>
                </c:pt>
                <c:pt idx="2">
                  <c:v>130.47703180010376</c:v>
                </c:pt>
                <c:pt idx="3">
                  <c:v>42.921390726350076</c:v>
                </c:pt>
                <c:pt idx="4">
                  <c:v>326.14929274695038</c:v>
                </c:pt>
                <c:pt idx="5">
                  <c:v>213.77679284965919</c:v>
                </c:pt>
                <c:pt idx="6">
                  <c:v>172.37237775324982</c:v>
                </c:pt>
                <c:pt idx="7">
                  <c:v>100.93870665203259</c:v>
                </c:pt>
                <c:pt idx="8">
                  <c:v>87.805367443943922</c:v>
                </c:pt>
                <c:pt idx="9">
                  <c:v>79.692074580244679</c:v>
                </c:pt>
                <c:pt idx="10">
                  <c:v>237.34895537817167</c:v>
                </c:pt>
                <c:pt idx="11">
                  <c:v>112.51311458146489</c:v>
                </c:pt>
                <c:pt idx="12">
                  <c:v>309.79357055467733</c:v>
                </c:pt>
                <c:pt idx="13">
                  <c:v>128.29301739726048</c:v>
                </c:pt>
                <c:pt idx="14">
                  <c:v>133.09219138942169</c:v>
                </c:pt>
                <c:pt idx="15">
                  <c:v>76.576995655918495</c:v>
                </c:pt>
                <c:pt idx="16">
                  <c:v>216.892622239167</c:v>
                </c:pt>
                <c:pt idx="17">
                  <c:v>93.1661371526707</c:v>
                </c:pt>
                <c:pt idx="18">
                  <c:v>82.737352835932811</c:v>
                </c:pt>
                <c:pt idx="19">
                  <c:v>208.65698942860311</c:v>
                </c:pt>
                <c:pt idx="20">
                  <c:v>185.8317150157956</c:v>
                </c:pt>
                <c:pt idx="21">
                  <c:v>55.344412172384146</c:v>
                </c:pt>
                <c:pt idx="22">
                  <c:v>129.37371095445627</c:v>
                </c:pt>
                <c:pt idx="23">
                  <c:v>130.29439288784505</c:v>
                </c:pt>
                <c:pt idx="24">
                  <c:v>69.803598853876991</c:v>
                </c:pt>
                <c:pt idx="25">
                  <c:v>177.25607955078311</c:v>
                </c:pt>
                <c:pt idx="26">
                  <c:v>84.344757473603494</c:v>
                </c:pt>
                <c:pt idx="27">
                  <c:v>144.89865061431473</c:v>
                </c:pt>
                <c:pt idx="28">
                  <c:v>135.36793664254202</c:v>
                </c:pt>
                <c:pt idx="29">
                  <c:v>227.80563365968416</c:v>
                </c:pt>
                <c:pt idx="30">
                  <c:v>59.306408879015081</c:v>
                </c:pt>
                <c:pt idx="31">
                  <c:v>230.84398353116265</c:v>
                </c:pt>
                <c:pt idx="32">
                  <c:v>151.99926222425896</c:v>
                </c:pt>
                <c:pt idx="33">
                  <c:v>329.88922066429768</c:v>
                </c:pt>
                <c:pt idx="34">
                  <c:v>101.59464481403202</c:v>
                </c:pt>
                <c:pt idx="35">
                  <c:v>95.694179404560785</c:v>
                </c:pt>
                <c:pt idx="36">
                  <c:v>350.08776049364775</c:v>
                </c:pt>
                <c:pt idx="37">
                  <c:v>244.54668369921964</c:v>
                </c:pt>
                <c:pt idx="38">
                  <c:v>136.5056888004523</c:v>
                </c:pt>
                <c:pt idx="39">
                  <c:v>127.76857687484855</c:v>
                </c:pt>
                <c:pt idx="40">
                  <c:v>140.73287499914383</c:v>
                </c:pt>
                <c:pt idx="41">
                  <c:v>377.92750829097491</c:v>
                </c:pt>
                <c:pt idx="42">
                  <c:v>121.89201003451285</c:v>
                </c:pt>
                <c:pt idx="43">
                  <c:v>215.96025484447603</c:v>
                </c:pt>
                <c:pt idx="44">
                  <c:v>192.57900729847557</c:v>
                </c:pt>
                <c:pt idx="45">
                  <c:v>114.81406932233502</c:v>
                </c:pt>
                <c:pt idx="46">
                  <c:v>117.69117585484636</c:v>
                </c:pt>
                <c:pt idx="47">
                  <c:v>121.95098204803331</c:v>
                </c:pt>
                <c:pt idx="48">
                  <c:v>163.8427649693314</c:v>
                </c:pt>
                <c:pt idx="49">
                  <c:v>99.552414065996231</c:v>
                </c:pt>
                <c:pt idx="50">
                  <c:v>230.93363294895607</c:v>
                </c:pt>
                <c:pt idx="51">
                  <c:v>138.62719777169397</c:v>
                </c:pt>
                <c:pt idx="52">
                  <c:v>115.06471907329829</c:v>
                </c:pt>
                <c:pt idx="53">
                  <c:v>75.652463854824717</c:v>
                </c:pt>
                <c:pt idx="54">
                  <c:v>500.11525931090836</c:v>
                </c:pt>
                <c:pt idx="55">
                  <c:v>98.38342282274256</c:v>
                </c:pt>
                <c:pt idx="56">
                  <c:v>368.01444327874185</c:v>
                </c:pt>
                <c:pt idx="57">
                  <c:v>127.98978424662043</c:v>
                </c:pt>
                <c:pt idx="58">
                  <c:v>180.49919117769031</c:v>
                </c:pt>
                <c:pt idx="59">
                  <c:v>116.1234780193477</c:v>
                </c:pt>
                <c:pt idx="60">
                  <c:v>175.03220900293871</c:v>
                </c:pt>
                <c:pt idx="61">
                  <c:v>78.959400670821751</c:v>
                </c:pt>
                <c:pt idx="62">
                  <c:v>131.94840685383039</c:v>
                </c:pt>
                <c:pt idx="63">
                  <c:v>182.20654330528828</c:v>
                </c:pt>
                <c:pt idx="64">
                  <c:v>166.94915004859172</c:v>
                </c:pt>
                <c:pt idx="65">
                  <c:v>91.183810177655303</c:v>
                </c:pt>
                <c:pt idx="66">
                  <c:v>95.563384109168609</c:v>
                </c:pt>
                <c:pt idx="67">
                  <c:v>207.50296836048949</c:v>
                </c:pt>
                <c:pt idx="68">
                  <c:v>344.6329063674911</c:v>
                </c:pt>
                <c:pt idx="69">
                  <c:v>100.28849146862576</c:v>
                </c:pt>
                <c:pt idx="70">
                  <c:v>311.61807726372837</c:v>
                </c:pt>
                <c:pt idx="71">
                  <c:v>181.80911791316174</c:v>
                </c:pt>
                <c:pt idx="72">
                  <c:v>82.433846607990674</c:v>
                </c:pt>
                <c:pt idx="73">
                  <c:v>156.24501162349955</c:v>
                </c:pt>
                <c:pt idx="74">
                  <c:v>137.34404416859323</c:v>
                </c:pt>
                <c:pt idx="75">
                  <c:v>52.272125115010049</c:v>
                </c:pt>
                <c:pt idx="76">
                  <c:v>258.95414193003199</c:v>
                </c:pt>
                <c:pt idx="77">
                  <c:v>75.872225061606144</c:v>
                </c:pt>
                <c:pt idx="78">
                  <c:v>83.712316003018785</c:v>
                </c:pt>
                <c:pt idx="79">
                  <c:v>126.41800443900171</c:v>
                </c:pt>
                <c:pt idx="80">
                  <c:v>130.7241218286332</c:v>
                </c:pt>
                <c:pt idx="81">
                  <c:v>117.40881999227905</c:v>
                </c:pt>
                <c:pt idx="82">
                  <c:v>107.0685874922919</c:v>
                </c:pt>
                <c:pt idx="83">
                  <c:v>127.5498922866408</c:v>
                </c:pt>
                <c:pt idx="84">
                  <c:v>118.02413215840214</c:v>
                </c:pt>
                <c:pt idx="85">
                  <c:v>262.77258620228736</c:v>
                </c:pt>
                <c:pt idx="86">
                  <c:v>179.06577948160111</c:v>
                </c:pt>
                <c:pt idx="87">
                  <c:v>158.19426022603946</c:v>
                </c:pt>
                <c:pt idx="88">
                  <c:v>130.09639834353624</c:v>
                </c:pt>
                <c:pt idx="89">
                  <c:v>154.71862077014879</c:v>
                </c:pt>
                <c:pt idx="90">
                  <c:v>39.148661936110216</c:v>
                </c:pt>
                <c:pt idx="91">
                  <c:v>130.14595029338085</c:v>
                </c:pt>
                <c:pt idx="92">
                  <c:v>56.302243394746455</c:v>
                </c:pt>
                <c:pt idx="93">
                  <c:v>56.031836598770973</c:v>
                </c:pt>
                <c:pt idx="94">
                  <c:v>97.637219335256546</c:v>
                </c:pt>
                <c:pt idx="95">
                  <c:v>145.61000995996849</c:v>
                </c:pt>
                <c:pt idx="96">
                  <c:v>174.80439516900648</c:v>
                </c:pt>
                <c:pt idx="97">
                  <c:v>203.71464302526439</c:v>
                </c:pt>
                <c:pt idx="98">
                  <c:v>121.88474877171362</c:v>
                </c:pt>
                <c:pt idx="99">
                  <c:v>113.9215211230465</c:v>
                </c:pt>
                <c:pt idx="100">
                  <c:v>171.17169382267775</c:v>
                </c:pt>
                <c:pt idx="101">
                  <c:v>127.62933901828082</c:v>
                </c:pt>
                <c:pt idx="102">
                  <c:v>190.09882666297941</c:v>
                </c:pt>
                <c:pt idx="103">
                  <c:v>172.51562277341026</c:v>
                </c:pt>
                <c:pt idx="104">
                  <c:v>79.335366637588677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C-4908-99CC-C7FFDE4E2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Porosity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-3"/>
        <c:crossBetween val="midCat"/>
      </c:valAx>
      <c:valAx>
        <c:axId val="46598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Permeability (mD)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Porosity Well Log</a:t>
            </a:r>
          </a:p>
        </c:rich>
      </c:tx>
      <c:layout>
        <c:manualLayout>
          <c:xMode val="edge"/>
          <c:yMode val="edge"/>
          <c:x val="0.17790350948399491"/>
          <c:y val="1.55267403117856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5838724005653141"/>
          <c:y val="6.9068911431093047E-2"/>
          <c:w val="0.61186943939699845"/>
          <c:h val="0.84596223492459344"/>
        </c:manualLayout>
      </c:layout>
      <c:scatterChart>
        <c:scatterStyle val="smoothMarker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'Por-Perm-Logs'!$N$16:$N$120</c:f>
              <c:numCache>
                <c:formatCode>0.0</c:formatCode>
                <c:ptCount val="105"/>
                <c:pt idx="0">
                  <c:v>9.2638367711209693</c:v>
                </c:pt>
                <c:pt idx="1">
                  <c:v>7.6466662147372588</c:v>
                </c:pt>
                <c:pt idx="2">
                  <c:v>11.158119915631334</c:v>
                </c:pt>
                <c:pt idx="3">
                  <c:v>10.157093880399742</c:v>
                </c:pt>
                <c:pt idx="4">
                  <c:v>15.259781773715472</c:v>
                </c:pt>
                <c:pt idx="5">
                  <c:v>14.29802058477047</c:v>
                </c:pt>
                <c:pt idx="6">
                  <c:v>6.8738145758513696</c:v>
                </c:pt>
                <c:pt idx="7">
                  <c:v>11.363291054915564</c:v>
                </c:pt>
                <c:pt idx="8">
                  <c:v>7.5653904545336887</c:v>
                </c:pt>
                <c:pt idx="9">
                  <c:v>12.842390489091244</c:v>
                </c:pt>
                <c:pt idx="10">
                  <c:v>7.8606255740883588</c:v>
                </c:pt>
                <c:pt idx="11">
                  <c:v>8.7613604641810898</c:v>
                </c:pt>
                <c:pt idx="12">
                  <c:v>14.84220283854477</c:v>
                </c:pt>
                <c:pt idx="13">
                  <c:v>13.236498422824774</c:v>
                </c:pt>
                <c:pt idx="14">
                  <c:v>14.579587359688633</c:v>
                </c:pt>
                <c:pt idx="15">
                  <c:v>11.005318340112595</c:v>
                </c:pt>
                <c:pt idx="16">
                  <c:v>14.396621965120669</c:v>
                </c:pt>
                <c:pt idx="17">
                  <c:v>6.9413260629438254</c:v>
                </c:pt>
                <c:pt idx="18">
                  <c:v>9.95240270636525</c:v>
                </c:pt>
                <c:pt idx="19">
                  <c:v>8.8790987939932613</c:v>
                </c:pt>
                <c:pt idx="20">
                  <c:v>13.471552403369637</c:v>
                </c:pt>
                <c:pt idx="21">
                  <c:v>7.4673046703042427</c:v>
                </c:pt>
                <c:pt idx="22">
                  <c:v>9.9148526567262127</c:v>
                </c:pt>
                <c:pt idx="23">
                  <c:v>14.364494302266468</c:v>
                </c:pt>
                <c:pt idx="24">
                  <c:v>7.6005410188103601</c:v>
                </c:pt>
                <c:pt idx="25">
                  <c:v>14.825945755034471</c:v>
                </c:pt>
                <c:pt idx="26">
                  <c:v>12.077776174626292</c:v>
                </c:pt>
                <c:pt idx="27">
                  <c:v>9.4337400103570381</c:v>
                </c:pt>
                <c:pt idx="28">
                  <c:v>10.40456423446026</c:v>
                </c:pt>
                <c:pt idx="29">
                  <c:v>14.323873523686784</c:v>
                </c:pt>
                <c:pt idx="30">
                  <c:v>8.0401785842346296</c:v>
                </c:pt>
                <c:pt idx="31">
                  <c:v>8.4245205075603664</c:v>
                </c:pt>
                <c:pt idx="32">
                  <c:v>11.549449244129308</c:v>
                </c:pt>
                <c:pt idx="33">
                  <c:v>18.466679980583869</c:v>
                </c:pt>
                <c:pt idx="34">
                  <c:v>10.761295268749087</c:v>
                </c:pt>
                <c:pt idx="35">
                  <c:v>11.786583736427666</c:v>
                </c:pt>
                <c:pt idx="36">
                  <c:v>15.394141547500656</c:v>
                </c:pt>
                <c:pt idx="37">
                  <c:v>14.611613222776562</c:v>
                </c:pt>
                <c:pt idx="38">
                  <c:v>10.594727377658167</c:v>
                </c:pt>
                <c:pt idx="39">
                  <c:v>10.978476400860639</c:v>
                </c:pt>
                <c:pt idx="40">
                  <c:v>11.716385588850351</c:v>
                </c:pt>
                <c:pt idx="41">
                  <c:v>19.149371823626829</c:v>
                </c:pt>
                <c:pt idx="42">
                  <c:v>15.449716988514309</c:v>
                </c:pt>
                <c:pt idx="43">
                  <c:v>11.53535997176898</c:v>
                </c:pt>
                <c:pt idx="44">
                  <c:v>15.981272248008663</c:v>
                </c:pt>
                <c:pt idx="45">
                  <c:v>13.936145953118068</c:v>
                </c:pt>
                <c:pt idx="46">
                  <c:v>12.69078800292445</c:v>
                </c:pt>
                <c:pt idx="47">
                  <c:v>14.097275955998997</c:v>
                </c:pt>
                <c:pt idx="48">
                  <c:v>11.778043846862916</c:v>
                </c:pt>
                <c:pt idx="49">
                  <c:v>9.1367379414930951</c:v>
                </c:pt>
                <c:pt idx="50">
                  <c:v>12.820698381894754</c:v>
                </c:pt>
                <c:pt idx="51">
                  <c:v>10.311321351624596</c:v>
                </c:pt>
                <c:pt idx="52">
                  <c:v>7.8035637767323456</c:v>
                </c:pt>
                <c:pt idx="53">
                  <c:v>9.8382291894292706</c:v>
                </c:pt>
                <c:pt idx="54">
                  <c:v>18.563732474137701</c:v>
                </c:pt>
                <c:pt idx="55">
                  <c:v>7.3388023186070752</c:v>
                </c:pt>
                <c:pt idx="56">
                  <c:v>15.398352987467399</c:v>
                </c:pt>
                <c:pt idx="57">
                  <c:v>11.921644531380243</c:v>
                </c:pt>
                <c:pt idx="58">
                  <c:v>14.985230448363971</c:v>
                </c:pt>
                <c:pt idx="59">
                  <c:v>8.5158713778269615</c:v>
                </c:pt>
                <c:pt idx="60">
                  <c:v>13.575047637254915</c:v>
                </c:pt>
                <c:pt idx="61">
                  <c:v>10.320253460294712</c:v>
                </c:pt>
                <c:pt idx="62">
                  <c:v>11.111586800915383</c:v>
                </c:pt>
                <c:pt idx="63">
                  <c:v>14.876161033959574</c:v>
                </c:pt>
                <c:pt idx="64">
                  <c:v>13.612405731162546</c:v>
                </c:pt>
                <c:pt idx="65">
                  <c:v>15.182193199245965</c:v>
                </c:pt>
                <c:pt idx="66">
                  <c:v>9.8153371612002704</c:v>
                </c:pt>
                <c:pt idx="67">
                  <c:v>11.226805480539717</c:v>
                </c:pt>
                <c:pt idx="68">
                  <c:v>15.077430402853246</c:v>
                </c:pt>
                <c:pt idx="69">
                  <c:v>7.0388685201727696</c:v>
                </c:pt>
                <c:pt idx="70">
                  <c:v>16.288367915262732</c:v>
                </c:pt>
                <c:pt idx="71">
                  <c:v>11.383685272158937</c:v>
                </c:pt>
                <c:pt idx="72">
                  <c:v>11.962636385003441</c:v>
                </c:pt>
                <c:pt idx="73">
                  <c:v>12.450703413465481</c:v>
                </c:pt>
                <c:pt idx="74">
                  <c:v>13.789799445914261</c:v>
                </c:pt>
                <c:pt idx="75">
                  <c:v>4.33876163569147</c:v>
                </c:pt>
                <c:pt idx="76">
                  <c:v>11.942281569487614</c:v>
                </c:pt>
                <c:pt idx="77">
                  <c:v>11.18669866667959</c:v>
                </c:pt>
                <c:pt idx="78">
                  <c:v>13.136120730382881</c:v>
                </c:pt>
                <c:pt idx="79">
                  <c:v>13.677955995906565</c:v>
                </c:pt>
                <c:pt idx="80">
                  <c:v>15.357630828149977</c:v>
                </c:pt>
                <c:pt idx="81">
                  <c:v>11.184525211281892</c:v>
                </c:pt>
                <c:pt idx="82">
                  <c:v>8.2666110668783475</c:v>
                </c:pt>
                <c:pt idx="83">
                  <c:v>14.799789299480949</c:v>
                </c:pt>
                <c:pt idx="84">
                  <c:v>11.999102395379314</c:v>
                </c:pt>
                <c:pt idx="85">
                  <c:v>13.050065130776709</c:v>
                </c:pt>
                <c:pt idx="86">
                  <c:v>11.779552696944984</c:v>
                </c:pt>
                <c:pt idx="87">
                  <c:v>12.664502288661321</c:v>
                </c:pt>
                <c:pt idx="88">
                  <c:v>11.673171592502428</c:v>
                </c:pt>
                <c:pt idx="89">
                  <c:v>13.588943837274019</c:v>
                </c:pt>
                <c:pt idx="90">
                  <c:v>5.4753571736574109</c:v>
                </c:pt>
                <c:pt idx="91">
                  <c:v>12.82274811517909</c:v>
                </c:pt>
                <c:pt idx="92">
                  <c:v>6.2418221252990334</c:v>
                </c:pt>
                <c:pt idx="93">
                  <c:v>6.2332465726264319</c:v>
                </c:pt>
                <c:pt idx="94">
                  <c:v>9.1071927373649437</c:v>
                </c:pt>
                <c:pt idx="95">
                  <c:v>5.2405541809885587</c:v>
                </c:pt>
                <c:pt idx="96">
                  <c:v>14.522553230560815</c:v>
                </c:pt>
                <c:pt idx="97">
                  <c:v>15.414699983748987</c:v>
                </c:pt>
                <c:pt idx="98">
                  <c:v>14.072807899429304</c:v>
                </c:pt>
                <c:pt idx="99">
                  <c:v>8.3423595461309219</c:v>
                </c:pt>
                <c:pt idx="100">
                  <c:v>11.82383537380294</c:v>
                </c:pt>
                <c:pt idx="101">
                  <c:v>14.561592360062626</c:v>
                </c:pt>
                <c:pt idx="102">
                  <c:v>9.9856264289429344</c:v>
                </c:pt>
                <c:pt idx="103">
                  <c:v>11.095635756213687</c:v>
                </c:pt>
                <c:pt idx="104">
                  <c:v>7.9631969455898748</c:v>
                </c:pt>
              </c:numCache>
            </c:numRef>
          </c:xVal>
          <c:yVal>
            <c:numRef>
              <c:f>'Por-Perm-Logs'!$C$16:$C$120</c:f>
              <c:numCache>
                <c:formatCode>0.00</c:formatCode>
                <c:ptCount val="10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88-4A57-8015-53144243C2F2}"/>
            </c:ext>
          </c:extLst>
        </c:ser>
        <c:ser>
          <c:idx val="0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'Por-Perm-Logs'!$O$16:$O$120</c:f>
              <c:numCache>
                <c:formatCode>0.0</c:formatCode>
                <c:ptCount val="105"/>
                <c:pt idx="0">
                  <c:v>83.969332934828657</c:v>
                </c:pt>
                <c:pt idx="1">
                  <c:v>113.79946280439933</c:v>
                </c:pt>
                <c:pt idx="2">
                  <c:v>130.47703180010376</c:v>
                </c:pt>
                <c:pt idx="3">
                  <c:v>42.921390726350076</c:v>
                </c:pt>
                <c:pt idx="4">
                  <c:v>326.14929274695038</c:v>
                </c:pt>
                <c:pt idx="5">
                  <c:v>213.77679284965919</c:v>
                </c:pt>
                <c:pt idx="6">
                  <c:v>172.37237775324982</c:v>
                </c:pt>
                <c:pt idx="7">
                  <c:v>100.93870665203259</c:v>
                </c:pt>
                <c:pt idx="8">
                  <c:v>87.805367443943922</c:v>
                </c:pt>
                <c:pt idx="9">
                  <c:v>79.692074580244679</c:v>
                </c:pt>
                <c:pt idx="10">
                  <c:v>237.34895537817167</c:v>
                </c:pt>
                <c:pt idx="11">
                  <c:v>112.51311458146489</c:v>
                </c:pt>
                <c:pt idx="12">
                  <c:v>309.79357055467733</c:v>
                </c:pt>
                <c:pt idx="13">
                  <c:v>128.29301739726048</c:v>
                </c:pt>
                <c:pt idx="14">
                  <c:v>133.09219138942169</c:v>
                </c:pt>
                <c:pt idx="15">
                  <c:v>76.576995655918495</c:v>
                </c:pt>
                <c:pt idx="16">
                  <c:v>216.892622239167</c:v>
                </c:pt>
                <c:pt idx="17">
                  <c:v>93.1661371526707</c:v>
                </c:pt>
                <c:pt idx="18">
                  <c:v>82.737352835932811</c:v>
                </c:pt>
                <c:pt idx="19">
                  <c:v>208.65698942860311</c:v>
                </c:pt>
                <c:pt idx="20">
                  <c:v>185.8317150157956</c:v>
                </c:pt>
                <c:pt idx="21">
                  <c:v>55.344412172384146</c:v>
                </c:pt>
                <c:pt idx="22">
                  <c:v>129.37371095445627</c:v>
                </c:pt>
                <c:pt idx="23">
                  <c:v>130.29439288784505</c:v>
                </c:pt>
                <c:pt idx="24">
                  <c:v>69.803598853876991</c:v>
                </c:pt>
                <c:pt idx="25">
                  <c:v>177.25607955078311</c:v>
                </c:pt>
                <c:pt idx="26">
                  <c:v>84.344757473603494</c:v>
                </c:pt>
                <c:pt idx="27">
                  <c:v>144.89865061431473</c:v>
                </c:pt>
                <c:pt idx="28">
                  <c:v>135.36793664254202</c:v>
                </c:pt>
                <c:pt idx="29">
                  <c:v>227.80563365968416</c:v>
                </c:pt>
                <c:pt idx="30">
                  <c:v>59.306408879015081</c:v>
                </c:pt>
                <c:pt idx="31">
                  <c:v>230.84398353116265</c:v>
                </c:pt>
                <c:pt idx="32">
                  <c:v>151.99926222425896</c:v>
                </c:pt>
                <c:pt idx="33">
                  <c:v>329.88922066429768</c:v>
                </c:pt>
                <c:pt idx="34">
                  <c:v>101.59464481403202</c:v>
                </c:pt>
                <c:pt idx="35">
                  <c:v>95.694179404560785</c:v>
                </c:pt>
                <c:pt idx="36">
                  <c:v>350.08776049364775</c:v>
                </c:pt>
                <c:pt idx="37">
                  <c:v>244.54668369921964</c:v>
                </c:pt>
                <c:pt idx="38">
                  <c:v>136.5056888004523</c:v>
                </c:pt>
                <c:pt idx="39">
                  <c:v>127.76857687484855</c:v>
                </c:pt>
                <c:pt idx="40">
                  <c:v>140.73287499914383</c:v>
                </c:pt>
                <c:pt idx="41">
                  <c:v>377.92750829097491</c:v>
                </c:pt>
                <c:pt idx="42">
                  <c:v>121.89201003451285</c:v>
                </c:pt>
                <c:pt idx="43">
                  <c:v>215.96025484447603</c:v>
                </c:pt>
                <c:pt idx="44">
                  <c:v>192.57900729847557</c:v>
                </c:pt>
                <c:pt idx="45">
                  <c:v>114.81406932233502</c:v>
                </c:pt>
                <c:pt idx="46">
                  <c:v>117.69117585484636</c:v>
                </c:pt>
                <c:pt idx="47">
                  <c:v>121.95098204803331</c:v>
                </c:pt>
                <c:pt idx="48">
                  <c:v>163.8427649693314</c:v>
                </c:pt>
                <c:pt idx="49">
                  <c:v>99.552414065996231</c:v>
                </c:pt>
                <c:pt idx="50">
                  <c:v>230.93363294895607</c:v>
                </c:pt>
                <c:pt idx="51">
                  <c:v>138.62719777169397</c:v>
                </c:pt>
                <c:pt idx="52">
                  <c:v>115.06471907329829</c:v>
                </c:pt>
                <c:pt idx="53">
                  <c:v>75.652463854824717</c:v>
                </c:pt>
                <c:pt idx="54">
                  <c:v>500.11525931090836</c:v>
                </c:pt>
                <c:pt idx="55">
                  <c:v>98.38342282274256</c:v>
                </c:pt>
                <c:pt idx="56">
                  <c:v>368.01444327874185</c:v>
                </c:pt>
                <c:pt idx="57">
                  <c:v>127.98978424662043</c:v>
                </c:pt>
                <c:pt idx="58">
                  <c:v>180.49919117769031</c:v>
                </c:pt>
                <c:pt idx="59">
                  <c:v>116.1234780193477</c:v>
                </c:pt>
                <c:pt idx="60">
                  <c:v>175.03220900293871</c:v>
                </c:pt>
                <c:pt idx="61">
                  <c:v>78.959400670821751</c:v>
                </c:pt>
                <c:pt idx="62">
                  <c:v>131.94840685383039</c:v>
                </c:pt>
                <c:pt idx="63">
                  <c:v>182.20654330528828</c:v>
                </c:pt>
                <c:pt idx="64">
                  <c:v>166.94915004859172</c:v>
                </c:pt>
                <c:pt idx="65">
                  <c:v>91.183810177655303</c:v>
                </c:pt>
                <c:pt idx="66">
                  <c:v>95.563384109168609</c:v>
                </c:pt>
                <c:pt idx="67">
                  <c:v>207.50296836048949</c:v>
                </c:pt>
                <c:pt idx="68">
                  <c:v>344.6329063674911</c:v>
                </c:pt>
                <c:pt idx="69">
                  <c:v>100.28849146862576</c:v>
                </c:pt>
                <c:pt idx="70">
                  <c:v>311.61807726372837</c:v>
                </c:pt>
                <c:pt idx="71">
                  <c:v>181.80911791316174</c:v>
                </c:pt>
                <c:pt idx="72">
                  <c:v>82.433846607990674</c:v>
                </c:pt>
                <c:pt idx="73">
                  <c:v>156.24501162349955</c:v>
                </c:pt>
                <c:pt idx="74">
                  <c:v>137.34404416859323</c:v>
                </c:pt>
                <c:pt idx="75">
                  <c:v>52.272125115010049</c:v>
                </c:pt>
                <c:pt idx="76">
                  <c:v>258.95414193003199</c:v>
                </c:pt>
                <c:pt idx="77">
                  <c:v>75.872225061606144</c:v>
                </c:pt>
                <c:pt idx="78">
                  <c:v>83.712316003018785</c:v>
                </c:pt>
                <c:pt idx="79">
                  <c:v>126.41800443900171</c:v>
                </c:pt>
                <c:pt idx="80">
                  <c:v>130.7241218286332</c:v>
                </c:pt>
                <c:pt idx="81">
                  <c:v>117.40881999227905</c:v>
                </c:pt>
                <c:pt idx="82">
                  <c:v>107.0685874922919</c:v>
                </c:pt>
                <c:pt idx="83">
                  <c:v>127.5498922866408</c:v>
                </c:pt>
                <c:pt idx="84">
                  <c:v>118.02413215840214</c:v>
                </c:pt>
                <c:pt idx="85">
                  <c:v>262.77258620228736</c:v>
                </c:pt>
                <c:pt idx="86">
                  <c:v>179.06577948160111</c:v>
                </c:pt>
                <c:pt idx="87">
                  <c:v>158.19426022603946</c:v>
                </c:pt>
                <c:pt idx="88">
                  <c:v>130.09639834353624</c:v>
                </c:pt>
                <c:pt idx="89">
                  <c:v>154.71862077014879</c:v>
                </c:pt>
                <c:pt idx="90">
                  <c:v>39.148661936110216</c:v>
                </c:pt>
                <c:pt idx="91">
                  <c:v>130.14595029338085</c:v>
                </c:pt>
                <c:pt idx="92">
                  <c:v>56.302243394746455</c:v>
                </c:pt>
                <c:pt idx="93">
                  <c:v>56.031836598770973</c:v>
                </c:pt>
                <c:pt idx="94">
                  <c:v>97.637219335256546</c:v>
                </c:pt>
                <c:pt idx="95">
                  <c:v>145.61000995996849</c:v>
                </c:pt>
                <c:pt idx="96">
                  <c:v>174.80439516900648</c:v>
                </c:pt>
                <c:pt idx="97">
                  <c:v>203.71464302526439</c:v>
                </c:pt>
                <c:pt idx="98">
                  <c:v>121.88474877171362</c:v>
                </c:pt>
                <c:pt idx="99">
                  <c:v>113.9215211230465</c:v>
                </c:pt>
                <c:pt idx="100">
                  <c:v>171.17169382267775</c:v>
                </c:pt>
                <c:pt idx="101">
                  <c:v>127.62933901828082</c:v>
                </c:pt>
                <c:pt idx="102">
                  <c:v>190.09882666297941</c:v>
                </c:pt>
                <c:pt idx="103">
                  <c:v>172.51562277341026</c:v>
                </c:pt>
                <c:pt idx="104">
                  <c:v>79.335366637588677</c:v>
                </c:pt>
              </c:numCache>
            </c:numRef>
          </c:xVal>
          <c:yVal>
            <c:numRef>
              <c:f>'Por-Perm-Logs'!$C$16:$C$120</c:f>
              <c:numCache>
                <c:formatCode>0.00</c:formatCode>
                <c:ptCount val="10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88-4A57-8015-53144243C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  <c:max val="25"/>
          <c:min val="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Porosity (%)</a:t>
                </a:r>
              </a:p>
            </c:rich>
          </c:tx>
          <c:layout>
            <c:manualLayout>
              <c:xMode val="edge"/>
              <c:yMode val="edge"/>
              <c:x val="0.36045871189178275"/>
              <c:y val="0.95094986010789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27"/>
        <c:crossBetween val="midCat"/>
        <c:majorUnit val="5"/>
      </c:valAx>
      <c:valAx>
        <c:axId val="465982104"/>
        <c:scaling>
          <c:orientation val="maxMin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  <c:majorUnit val="3"/>
      </c:valAx>
      <c:spPr>
        <a:ln>
          <a:solidFill>
            <a:schemeClr val="tx1"/>
          </a:solidFill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Well-based</a:t>
            </a:r>
            <a:r>
              <a:rPr lang="en-US" baseline="0"/>
              <a:t> Permeability</a:t>
            </a:r>
            <a:endParaRPr lang="en-US"/>
          </a:p>
        </c:rich>
      </c:tx>
      <c:layout>
        <c:manualLayout>
          <c:xMode val="edge"/>
          <c:yMode val="edge"/>
          <c:x val="0.25662039667721948"/>
          <c:y val="7.8359250171628554E-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5838724005653141"/>
          <c:y val="6.9068911431093047E-2"/>
          <c:w val="0.61186943939699845"/>
          <c:h val="0.84596223492459344"/>
        </c:manualLayout>
      </c:layout>
      <c:scatterChart>
        <c:scatterStyle val="smoothMarker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'Por-Perm-Logs'!$O$16:$O$120</c:f>
              <c:numCache>
                <c:formatCode>0.0</c:formatCode>
                <c:ptCount val="105"/>
                <c:pt idx="0">
                  <c:v>83.969332934828657</c:v>
                </c:pt>
                <c:pt idx="1">
                  <c:v>113.79946280439933</c:v>
                </c:pt>
                <c:pt idx="2">
                  <c:v>130.47703180010376</c:v>
                </c:pt>
                <c:pt idx="3">
                  <c:v>42.921390726350076</c:v>
                </c:pt>
                <c:pt idx="4">
                  <c:v>326.14929274695038</c:v>
                </c:pt>
                <c:pt idx="5">
                  <c:v>213.77679284965919</c:v>
                </c:pt>
                <c:pt idx="6">
                  <c:v>172.37237775324982</c:v>
                </c:pt>
                <c:pt idx="7">
                  <c:v>100.93870665203259</c:v>
                </c:pt>
                <c:pt idx="8">
                  <c:v>87.805367443943922</c:v>
                </c:pt>
                <c:pt idx="9">
                  <c:v>79.692074580244679</c:v>
                </c:pt>
                <c:pt idx="10">
                  <c:v>237.34895537817167</c:v>
                </c:pt>
                <c:pt idx="11">
                  <c:v>112.51311458146489</c:v>
                </c:pt>
                <c:pt idx="12">
                  <c:v>309.79357055467733</c:v>
                </c:pt>
                <c:pt idx="13">
                  <c:v>128.29301739726048</c:v>
                </c:pt>
                <c:pt idx="14">
                  <c:v>133.09219138942169</c:v>
                </c:pt>
                <c:pt idx="15">
                  <c:v>76.576995655918495</c:v>
                </c:pt>
                <c:pt idx="16">
                  <c:v>216.892622239167</c:v>
                </c:pt>
                <c:pt idx="17">
                  <c:v>93.1661371526707</c:v>
                </c:pt>
                <c:pt idx="18">
                  <c:v>82.737352835932811</c:v>
                </c:pt>
                <c:pt idx="19">
                  <c:v>208.65698942860311</c:v>
                </c:pt>
                <c:pt idx="20">
                  <c:v>185.8317150157956</c:v>
                </c:pt>
                <c:pt idx="21">
                  <c:v>55.344412172384146</c:v>
                </c:pt>
                <c:pt idx="22">
                  <c:v>129.37371095445627</c:v>
                </c:pt>
                <c:pt idx="23">
                  <c:v>130.29439288784505</c:v>
                </c:pt>
                <c:pt idx="24">
                  <c:v>69.803598853876991</c:v>
                </c:pt>
                <c:pt idx="25">
                  <c:v>177.25607955078311</c:v>
                </c:pt>
                <c:pt idx="26">
                  <c:v>84.344757473603494</c:v>
                </c:pt>
                <c:pt idx="27">
                  <c:v>144.89865061431473</c:v>
                </c:pt>
                <c:pt idx="28">
                  <c:v>135.36793664254202</c:v>
                </c:pt>
                <c:pt idx="29">
                  <c:v>227.80563365968416</c:v>
                </c:pt>
                <c:pt idx="30">
                  <c:v>59.306408879015081</c:v>
                </c:pt>
                <c:pt idx="31">
                  <c:v>230.84398353116265</c:v>
                </c:pt>
                <c:pt idx="32">
                  <c:v>151.99926222425896</c:v>
                </c:pt>
                <c:pt idx="33">
                  <c:v>329.88922066429768</c:v>
                </c:pt>
                <c:pt idx="34">
                  <c:v>101.59464481403202</c:v>
                </c:pt>
                <c:pt idx="35">
                  <c:v>95.694179404560785</c:v>
                </c:pt>
                <c:pt idx="36">
                  <c:v>350.08776049364775</c:v>
                </c:pt>
                <c:pt idx="37">
                  <c:v>244.54668369921964</c:v>
                </c:pt>
                <c:pt idx="38">
                  <c:v>136.5056888004523</c:v>
                </c:pt>
                <c:pt idx="39">
                  <c:v>127.76857687484855</c:v>
                </c:pt>
                <c:pt idx="40">
                  <c:v>140.73287499914383</c:v>
                </c:pt>
                <c:pt idx="41">
                  <c:v>377.92750829097491</c:v>
                </c:pt>
                <c:pt idx="42">
                  <c:v>121.89201003451285</c:v>
                </c:pt>
                <c:pt idx="43">
                  <c:v>215.96025484447603</c:v>
                </c:pt>
                <c:pt idx="44">
                  <c:v>192.57900729847557</c:v>
                </c:pt>
                <c:pt idx="45">
                  <c:v>114.81406932233502</c:v>
                </c:pt>
                <c:pt idx="46">
                  <c:v>117.69117585484636</c:v>
                </c:pt>
                <c:pt idx="47">
                  <c:v>121.95098204803331</c:v>
                </c:pt>
                <c:pt idx="48">
                  <c:v>163.8427649693314</c:v>
                </c:pt>
                <c:pt idx="49">
                  <c:v>99.552414065996231</c:v>
                </c:pt>
                <c:pt idx="50">
                  <c:v>230.93363294895607</c:v>
                </c:pt>
                <c:pt idx="51">
                  <c:v>138.62719777169397</c:v>
                </c:pt>
                <c:pt idx="52">
                  <c:v>115.06471907329829</c:v>
                </c:pt>
                <c:pt idx="53">
                  <c:v>75.652463854824717</c:v>
                </c:pt>
                <c:pt idx="54">
                  <c:v>500.11525931090836</c:v>
                </c:pt>
                <c:pt idx="55">
                  <c:v>98.38342282274256</c:v>
                </c:pt>
                <c:pt idx="56">
                  <c:v>368.01444327874185</c:v>
                </c:pt>
                <c:pt idx="57">
                  <c:v>127.98978424662043</c:v>
                </c:pt>
                <c:pt idx="58">
                  <c:v>180.49919117769031</c:v>
                </c:pt>
                <c:pt idx="59">
                  <c:v>116.1234780193477</c:v>
                </c:pt>
                <c:pt idx="60">
                  <c:v>175.03220900293871</c:v>
                </c:pt>
                <c:pt idx="61">
                  <c:v>78.959400670821751</c:v>
                </c:pt>
                <c:pt idx="62">
                  <c:v>131.94840685383039</c:v>
                </c:pt>
                <c:pt idx="63">
                  <c:v>182.20654330528828</c:v>
                </c:pt>
                <c:pt idx="64">
                  <c:v>166.94915004859172</c:v>
                </c:pt>
                <c:pt idx="65">
                  <c:v>91.183810177655303</c:v>
                </c:pt>
                <c:pt idx="66">
                  <c:v>95.563384109168609</c:v>
                </c:pt>
                <c:pt idx="67">
                  <c:v>207.50296836048949</c:v>
                </c:pt>
                <c:pt idx="68">
                  <c:v>344.6329063674911</c:v>
                </c:pt>
                <c:pt idx="69">
                  <c:v>100.28849146862576</c:v>
                </c:pt>
                <c:pt idx="70">
                  <c:v>311.61807726372837</c:v>
                </c:pt>
                <c:pt idx="71">
                  <c:v>181.80911791316174</c:v>
                </c:pt>
                <c:pt idx="72">
                  <c:v>82.433846607990674</c:v>
                </c:pt>
                <c:pt idx="73">
                  <c:v>156.24501162349955</c:v>
                </c:pt>
                <c:pt idx="74">
                  <c:v>137.34404416859323</c:v>
                </c:pt>
                <c:pt idx="75">
                  <c:v>52.272125115010049</c:v>
                </c:pt>
                <c:pt idx="76">
                  <c:v>258.95414193003199</c:v>
                </c:pt>
                <c:pt idx="77">
                  <c:v>75.872225061606144</c:v>
                </c:pt>
                <c:pt idx="78">
                  <c:v>83.712316003018785</c:v>
                </c:pt>
                <c:pt idx="79">
                  <c:v>126.41800443900171</c:v>
                </c:pt>
                <c:pt idx="80">
                  <c:v>130.7241218286332</c:v>
                </c:pt>
                <c:pt idx="81">
                  <c:v>117.40881999227905</c:v>
                </c:pt>
                <c:pt idx="82">
                  <c:v>107.0685874922919</c:v>
                </c:pt>
                <c:pt idx="83">
                  <c:v>127.5498922866408</c:v>
                </c:pt>
                <c:pt idx="84">
                  <c:v>118.02413215840214</c:v>
                </c:pt>
                <c:pt idx="85">
                  <c:v>262.77258620228736</c:v>
                </c:pt>
                <c:pt idx="86">
                  <c:v>179.06577948160111</c:v>
                </c:pt>
                <c:pt idx="87">
                  <c:v>158.19426022603946</c:v>
                </c:pt>
                <c:pt idx="88">
                  <c:v>130.09639834353624</c:v>
                </c:pt>
                <c:pt idx="89">
                  <c:v>154.71862077014879</c:v>
                </c:pt>
                <c:pt idx="90">
                  <c:v>39.148661936110216</c:v>
                </c:pt>
                <c:pt idx="91">
                  <c:v>130.14595029338085</c:v>
                </c:pt>
                <c:pt idx="92">
                  <c:v>56.302243394746455</c:v>
                </c:pt>
                <c:pt idx="93">
                  <c:v>56.031836598770973</c:v>
                </c:pt>
                <c:pt idx="94">
                  <c:v>97.637219335256546</c:v>
                </c:pt>
                <c:pt idx="95">
                  <c:v>145.61000995996849</c:v>
                </c:pt>
                <c:pt idx="96">
                  <c:v>174.80439516900648</c:v>
                </c:pt>
                <c:pt idx="97">
                  <c:v>203.71464302526439</c:v>
                </c:pt>
                <c:pt idx="98">
                  <c:v>121.88474877171362</c:v>
                </c:pt>
                <c:pt idx="99">
                  <c:v>113.9215211230465</c:v>
                </c:pt>
                <c:pt idx="100">
                  <c:v>171.17169382267775</c:v>
                </c:pt>
                <c:pt idx="101">
                  <c:v>127.62933901828082</c:v>
                </c:pt>
                <c:pt idx="102">
                  <c:v>190.09882666297941</c:v>
                </c:pt>
                <c:pt idx="103">
                  <c:v>172.51562277341026</c:v>
                </c:pt>
                <c:pt idx="104">
                  <c:v>79.335366637588677</c:v>
                </c:pt>
              </c:numCache>
            </c:numRef>
          </c:xVal>
          <c:yVal>
            <c:numRef>
              <c:f>'Por-Perm-Logs'!$C$16:$C$120</c:f>
              <c:numCache>
                <c:formatCode>0.00</c:formatCode>
                <c:ptCount val="10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10-4543-A799-B623F91E47DD}"/>
            </c:ext>
          </c:extLst>
        </c:ser>
        <c:ser>
          <c:idx val="0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'Por-Perm-Logs'!$O$16:$O$120</c:f>
              <c:numCache>
                <c:formatCode>0.0</c:formatCode>
                <c:ptCount val="105"/>
                <c:pt idx="0">
                  <c:v>83.969332934828657</c:v>
                </c:pt>
                <c:pt idx="1">
                  <c:v>113.79946280439933</c:v>
                </c:pt>
                <c:pt idx="2">
                  <c:v>130.47703180010376</c:v>
                </c:pt>
                <c:pt idx="3">
                  <c:v>42.921390726350076</c:v>
                </c:pt>
                <c:pt idx="4">
                  <c:v>326.14929274695038</c:v>
                </c:pt>
                <c:pt idx="5">
                  <c:v>213.77679284965919</c:v>
                </c:pt>
                <c:pt idx="6">
                  <c:v>172.37237775324982</c:v>
                </c:pt>
                <c:pt idx="7">
                  <c:v>100.93870665203259</c:v>
                </c:pt>
                <c:pt idx="8">
                  <c:v>87.805367443943922</c:v>
                </c:pt>
                <c:pt idx="9">
                  <c:v>79.692074580244679</c:v>
                </c:pt>
                <c:pt idx="10">
                  <c:v>237.34895537817167</c:v>
                </c:pt>
                <c:pt idx="11">
                  <c:v>112.51311458146489</c:v>
                </c:pt>
                <c:pt idx="12">
                  <c:v>309.79357055467733</c:v>
                </c:pt>
                <c:pt idx="13">
                  <c:v>128.29301739726048</c:v>
                </c:pt>
                <c:pt idx="14">
                  <c:v>133.09219138942169</c:v>
                </c:pt>
                <c:pt idx="15">
                  <c:v>76.576995655918495</c:v>
                </c:pt>
                <c:pt idx="16">
                  <c:v>216.892622239167</c:v>
                </c:pt>
                <c:pt idx="17">
                  <c:v>93.1661371526707</c:v>
                </c:pt>
                <c:pt idx="18">
                  <c:v>82.737352835932811</c:v>
                </c:pt>
                <c:pt idx="19">
                  <c:v>208.65698942860311</c:v>
                </c:pt>
                <c:pt idx="20">
                  <c:v>185.8317150157956</c:v>
                </c:pt>
                <c:pt idx="21">
                  <c:v>55.344412172384146</c:v>
                </c:pt>
                <c:pt idx="22">
                  <c:v>129.37371095445627</c:v>
                </c:pt>
                <c:pt idx="23">
                  <c:v>130.29439288784505</c:v>
                </c:pt>
                <c:pt idx="24">
                  <c:v>69.803598853876991</c:v>
                </c:pt>
                <c:pt idx="25">
                  <c:v>177.25607955078311</c:v>
                </c:pt>
                <c:pt idx="26">
                  <c:v>84.344757473603494</c:v>
                </c:pt>
                <c:pt idx="27">
                  <c:v>144.89865061431473</c:v>
                </c:pt>
                <c:pt idx="28">
                  <c:v>135.36793664254202</c:v>
                </c:pt>
                <c:pt idx="29">
                  <c:v>227.80563365968416</c:v>
                </c:pt>
                <c:pt idx="30">
                  <c:v>59.306408879015081</c:v>
                </c:pt>
                <c:pt idx="31">
                  <c:v>230.84398353116265</c:v>
                </c:pt>
                <c:pt idx="32">
                  <c:v>151.99926222425896</c:v>
                </c:pt>
                <c:pt idx="33">
                  <c:v>329.88922066429768</c:v>
                </c:pt>
                <c:pt idx="34">
                  <c:v>101.59464481403202</c:v>
                </c:pt>
                <c:pt idx="35">
                  <c:v>95.694179404560785</c:v>
                </c:pt>
                <c:pt idx="36">
                  <c:v>350.08776049364775</c:v>
                </c:pt>
                <c:pt idx="37">
                  <c:v>244.54668369921964</c:v>
                </c:pt>
                <c:pt idx="38">
                  <c:v>136.5056888004523</c:v>
                </c:pt>
                <c:pt idx="39">
                  <c:v>127.76857687484855</c:v>
                </c:pt>
                <c:pt idx="40">
                  <c:v>140.73287499914383</c:v>
                </c:pt>
                <c:pt idx="41">
                  <c:v>377.92750829097491</c:v>
                </c:pt>
                <c:pt idx="42">
                  <c:v>121.89201003451285</c:v>
                </c:pt>
                <c:pt idx="43">
                  <c:v>215.96025484447603</c:v>
                </c:pt>
                <c:pt idx="44">
                  <c:v>192.57900729847557</c:v>
                </c:pt>
                <c:pt idx="45">
                  <c:v>114.81406932233502</c:v>
                </c:pt>
                <c:pt idx="46">
                  <c:v>117.69117585484636</c:v>
                </c:pt>
                <c:pt idx="47">
                  <c:v>121.95098204803331</c:v>
                </c:pt>
                <c:pt idx="48">
                  <c:v>163.8427649693314</c:v>
                </c:pt>
                <c:pt idx="49">
                  <c:v>99.552414065996231</c:v>
                </c:pt>
                <c:pt idx="50">
                  <c:v>230.93363294895607</c:v>
                </c:pt>
                <c:pt idx="51">
                  <c:v>138.62719777169397</c:v>
                </c:pt>
                <c:pt idx="52">
                  <c:v>115.06471907329829</c:v>
                </c:pt>
                <c:pt idx="53">
                  <c:v>75.652463854824717</c:v>
                </c:pt>
                <c:pt idx="54">
                  <c:v>500.11525931090836</c:v>
                </c:pt>
                <c:pt idx="55">
                  <c:v>98.38342282274256</c:v>
                </c:pt>
                <c:pt idx="56">
                  <c:v>368.01444327874185</c:v>
                </c:pt>
                <c:pt idx="57">
                  <c:v>127.98978424662043</c:v>
                </c:pt>
                <c:pt idx="58">
                  <c:v>180.49919117769031</c:v>
                </c:pt>
                <c:pt idx="59">
                  <c:v>116.1234780193477</c:v>
                </c:pt>
                <c:pt idx="60">
                  <c:v>175.03220900293871</c:v>
                </c:pt>
                <c:pt idx="61">
                  <c:v>78.959400670821751</c:v>
                </c:pt>
                <c:pt idx="62">
                  <c:v>131.94840685383039</c:v>
                </c:pt>
                <c:pt idx="63">
                  <c:v>182.20654330528828</c:v>
                </c:pt>
                <c:pt idx="64">
                  <c:v>166.94915004859172</c:v>
                </c:pt>
                <c:pt idx="65">
                  <c:v>91.183810177655303</c:v>
                </c:pt>
                <c:pt idx="66">
                  <c:v>95.563384109168609</c:v>
                </c:pt>
                <c:pt idx="67">
                  <c:v>207.50296836048949</c:v>
                </c:pt>
                <c:pt idx="68">
                  <c:v>344.6329063674911</c:v>
                </c:pt>
                <c:pt idx="69">
                  <c:v>100.28849146862576</c:v>
                </c:pt>
                <c:pt idx="70">
                  <c:v>311.61807726372837</c:v>
                </c:pt>
                <c:pt idx="71">
                  <c:v>181.80911791316174</c:v>
                </c:pt>
                <c:pt idx="72">
                  <c:v>82.433846607990674</c:v>
                </c:pt>
                <c:pt idx="73">
                  <c:v>156.24501162349955</c:v>
                </c:pt>
                <c:pt idx="74">
                  <c:v>137.34404416859323</c:v>
                </c:pt>
                <c:pt idx="75">
                  <c:v>52.272125115010049</c:v>
                </c:pt>
                <c:pt idx="76">
                  <c:v>258.95414193003199</c:v>
                </c:pt>
                <c:pt idx="77">
                  <c:v>75.872225061606144</c:v>
                </c:pt>
                <c:pt idx="78">
                  <c:v>83.712316003018785</c:v>
                </c:pt>
                <c:pt idx="79">
                  <c:v>126.41800443900171</c:v>
                </c:pt>
                <c:pt idx="80">
                  <c:v>130.7241218286332</c:v>
                </c:pt>
                <c:pt idx="81">
                  <c:v>117.40881999227905</c:v>
                </c:pt>
                <c:pt idx="82">
                  <c:v>107.0685874922919</c:v>
                </c:pt>
                <c:pt idx="83">
                  <c:v>127.5498922866408</c:v>
                </c:pt>
                <c:pt idx="84">
                  <c:v>118.02413215840214</c:v>
                </c:pt>
                <c:pt idx="85">
                  <c:v>262.77258620228736</c:v>
                </c:pt>
                <c:pt idx="86">
                  <c:v>179.06577948160111</c:v>
                </c:pt>
                <c:pt idx="87">
                  <c:v>158.19426022603946</c:v>
                </c:pt>
                <c:pt idx="88">
                  <c:v>130.09639834353624</c:v>
                </c:pt>
                <c:pt idx="89">
                  <c:v>154.71862077014879</c:v>
                </c:pt>
                <c:pt idx="90">
                  <c:v>39.148661936110216</c:v>
                </c:pt>
                <c:pt idx="91">
                  <c:v>130.14595029338085</c:v>
                </c:pt>
                <c:pt idx="92">
                  <c:v>56.302243394746455</c:v>
                </c:pt>
                <c:pt idx="93">
                  <c:v>56.031836598770973</c:v>
                </c:pt>
                <c:pt idx="94">
                  <c:v>97.637219335256546</c:v>
                </c:pt>
                <c:pt idx="95">
                  <c:v>145.61000995996849</c:v>
                </c:pt>
                <c:pt idx="96">
                  <c:v>174.80439516900648</c:v>
                </c:pt>
                <c:pt idx="97">
                  <c:v>203.71464302526439</c:v>
                </c:pt>
                <c:pt idx="98">
                  <c:v>121.88474877171362</c:v>
                </c:pt>
                <c:pt idx="99">
                  <c:v>113.9215211230465</c:v>
                </c:pt>
                <c:pt idx="100">
                  <c:v>171.17169382267775</c:v>
                </c:pt>
                <c:pt idx="101">
                  <c:v>127.62933901828082</c:v>
                </c:pt>
                <c:pt idx="102">
                  <c:v>190.09882666297941</c:v>
                </c:pt>
                <c:pt idx="103">
                  <c:v>172.51562277341026</c:v>
                </c:pt>
                <c:pt idx="104">
                  <c:v>79.335366637588677</c:v>
                </c:pt>
              </c:numCache>
            </c:numRef>
          </c:xVal>
          <c:yVal>
            <c:numRef>
              <c:f>'Por-Perm-Logs'!$C$16:$C$120</c:f>
              <c:numCache>
                <c:formatCode>0.00</c:formatCode>
                <c:ptCount val="10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10-4543-A799-B623F91E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  <c:max val="800"/>
          <c:min val="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Permeability (mD)</a:t>
                </a:r>
              </a:p>
            </c:rich>
          </c:tx>
          <c:layout>
            <c:manualLayout>
              <c:xMode val="edge"/>
              <c:yMode val="edge"/>
              <c:x val="0.36045871189178275"/>
              <c:y val="0.95094986010789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27"/>
        <c:crossBetween val="midCat"/>
        <c:majorUnit val="200"/>
      </c:valAx>
      <c:valAx>
        <c:axId val="465982104"/>
        <c:scaling>
          <c:orientation val="maxMin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  <c:majorUnit val="3"/>
      </c:valAx>
      <c:spPr>
        <a:ln>
          <a:solidFill>
            <a:schemeClr val="tx1"/>
          </a:solidFill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Porosity 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'Por-Perm-Logs'!$AE$17:$AP$17</c:f>
              <c:numCache>
                <c:formatCode>0.00</c:formatCode>
                <c:ptCount val="12"/>
                <c:pt idx="0" formatCode="0.0">
                  <c:v>4.33876163569147</c:v>
                </c:pt>
                <c:pt idx="1">
                  <c:v>5.079292145088238</c:v>
                </c:pt>
                <c:pt idx="2">
                  <c:v>6.560353163881774</c:v>
                </c:pt>
                <c:pt idx="3">
                  <c:v>8.0414141826753109</c:v>
                </c:pt>
                <c:pt idx="4">
                  <c:v>9.522475201468847</c:v>
                </c:pt>
                <c:pt idx="5">
                  <c:v>11.003536220262383</c:v>
                </c:pt>
                <c:pt idx="6">
                  <c:v>12.484597239055919</c:v>
                </c:pt>
                <c:pt idx="7">
                  <c:v>13.965658257849455</c:v>
                </c:pt>
                <c:pt idx="8">
                  <c:v>15.446719276642991</c:v>
                </c:pt>
                <c:pt idx="9">
                  <c:v>16.927780295436527</c:v>
                </c:pt>
                <c:pt idx="10">
                  <c:v>18.408841314230063</c:v>
                </c:pt>
                <c:pt idx="11" formatCode="0.0">
                  <c:v>19.149371823626829</c:v>
                </c:pt>
              </c:numCache>
            </c:numRef>
          </c:xVal>
          <c:yVal>
            <c:numRef>
              <c:f>'Por-Perm-Logs'!$AE$18:$AP$18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2.8571428571428571E-2</c:v>
                </c:pt>
                <c:pt idx="2">
                  <c:v>7.591836734693877E-2</c:v>
                </c:pt>
                <c:pt idx="3">
                  <c:v>0.10503401360544219</c:v>
                </c:pt>
                <c:pt idx="4">
                  <c:v>0.10476190476190475</c:v>
                </c:pt>
                <c:pt idx="5">
                  <c:v>0.18095238095238098</c:v>
                </c:pt>
                <c:pt idx="6">
                  <c:v>0.16190476190476188</c:v>
                </c:pt>
                <c:pt idx="7">
                  <c:v>0.17142857142857149</c:v>
                </c:pt>
                <c:pt idx="8">
                  <c:v>0.1333333333333333</c:v>
                </c:pt>
                <c:pt idx="9">
                  <c:v>9.52380952380949E-3</c:v>
                </c:pt>
                <c:pt idx="10">
                  <c:v>1.9047619047619091E-2</c:v>
                </c:pt>
                <c:pt idx="11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86-4B13-BEBF-F85BE2B03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Porosity</a:t>
                </a:r>
                <a:r>
                  <a:rPr lang="en-US" sz="1200" baseline="0"/>
                  <a:t> (%)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Permeability 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'Por-Perm-Logs'!$AE$39:$AP$39</c:f>
              <c:numCache>
                <c:formatCode>0.00</c:formatCode>
                <c:ptCount val="12"/>
                <c:pt idx="0" formatCode="0.0">
                  <c:v>39.148661936110216</c:v>
                </c:pt>
                <c:pt idx="1">
                  <c:v>62.196991804850121</c:v>
                </c:pt>
                <c:pt idx="2">
                  <c:v>108.29365154232994</c:v>
                </c:pt>
                <c:pt idx="3">
                  <c:v>154.39031127980974</c:v>
                </c:pt>
                <c:pt idx="4">
                  <c:v>200.48697101728956</c:v>
                </c:pt>
                <c:pt idx="5">
                  <c:v>246.58363075476936</c:v>
                </c:pt>
                <c:pt idx="6">
                  <c:v>292.68029049224913</c:v>
                </c:pt>
                <c:pt idx="7">
                  <c:v>338.77695022972898</c:v>
                </c:pt>
                <c:pt idx="8">
                  <c:v>384.87360996720872</c:v>
                </c:pt>
                <c:pt idx="9">
                  <c:v>430.97026970468858</c:v>
                </c:pt>
                <c:pt idx="10">
                  <c:v>477.06692944216832</c:v>
                </c:pt>
                <c:pt idx="11" formatCode="0.0">
                  <c:v>500.11525931090836</c:v>
                </c:pt>
              </c:numCache>
            </c:numRef>
          </c:xVal>
          <c:yVal>
            <c:numRef>
              <c:f>'Por-Perm-Logs'!$AE$40:$AP$40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0.18095238095238095</c:v>
                </c:pt>
                <c:pt idx="2">
                  <c:v>0.52208616780045347</c:v>
                </c:pt>
                <c:pt idx="3">
                  <c:v>2.0770975056689345E-2</c:v>
                </c:pt>
                <c:pt idx="4">
                  <c:v>0.12380952380952381</c:v>
                </c:pt>
                <c:pt idx="5">
                  <c:v>6.6666666666666652E-2</c:v>
                </c:pt>
                <c:pt idx="6">
                  <c:v>1.9047619047619091E-2</c:v>
                </c:pt>
                <c:pt idx="7">
                  <c:v>3.8095238095238071E-2</c:v>
                </c:pt>
                <c:pt idx="8">
                  <c:v>1.9047619047619091E-2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8-48D9-A675-703F99DA1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Permeability</a:t>
                </a:r>
                <a:r>
                  <a:rPr lang="en-US" sz="1200" baseline="0"/>
                  <a:t> (mD)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Porosity Cumulative</a:t>
            </a:r>
            <a:r>
              <a:rPr lang="en-US" baseline="0"/>
              <a:t> D</a:t>
            </a:r>
            <a:r>
              <a:rPr lang="en-US"/>
              <a:t>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'Por-Perm-Logs'!$AE$17:$AP$17</c:f>
              <c:numCache>
                <c:formatCode>0.00</c:formatCode>
                <c:ptCount val="12"/>
                <c:pt idx="0" formatCode="0.0">
                  <c:v>4.33876163569147</c:v>
                </c:pt>
                <c:pt idx="1">
                  <c:v>5.079292145088238</c:v>
                </c:pt>
                <c:pt idx="2">
                  <c:v>6.560353163881774</c:v>
                </c:pt>
                <c:pt idx="3">
                  <c:v>8.0414141826753109</c:v>
                </c:pt>
                <c:pt idx="4">
                  <c:v>9.522475201468847</c:v>
                </c:pt>
                <c:pt idx="5">
                  <c:v>11.003536220262383</c:v>
                </c:pt>
                <c:pt idx="6">
                  <c:v>12.484597239055919</c:v>
                </c:pt>
                <c:pt idx="7">
                  <c:v>13.965658257849455</c:v>
                </c:pt>
                <c:pt idx="8">
                  <c:v>15.446719276642991</c:v>
                </c:pt>
                <c:pt idx="9">
                  <c:v>16.927780295436527</c:v>
                </c:pt>
                <c:pt idx="10">
                  <c:v>18.408841314230063</c:v>
                </c:pt>
                <c:pt idx="11" formatCode="0.0">
                  <c:v>19.149371823626829</c:v>
                </c:pt>
              </c:numCache>
            </c:numRef>
          </c:xVal>
          <c:yVal>
            <c:numRef>
              <c:f>'Por-Perm-Logs'!$AE$19:$AP$19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2.8571428571428571E-2</c:v>
                </c:pt>
                <c:pt idx="2">
                  <c:v>0.10448979591836734</c:v>
                </c:pt>
                <c:pt idx="3">
                  <c:v>0.20952380952380953</c:v>
                </c:pt>
                <c:pt idx="4">
                  <c:v>0.31428571428571428</c:v>
                </c:pt>
                <c:pt idx="5">
                  <c:v>0.49523809523809526</c:v>
                </c:pt>
                <c:pt idx="6">
                  <c:v>0.65714285714285714</c:v>
                </c:pt>
                <c:pt idx="7">
                  <c:v>0.82857142857142863</c:v>
                </c:pt>
                <c:pt idx="8">
                  <c:v>0.96190476190476193</c:v>
                </c:pt>
                <c:pt idx="9">
                  <c:v>0.97142857142857142</c:v>
                </c:pt>
                <c:pt idx="10">
                  <c:v>0.99047619047619051</c:v>
                </c:pt>
                <c:pt idx="11">
                  <c:v>0.99047619047619051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C7-404A-973B-8315D28B7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Porosity</a:t>
                </a:r>
                <a:r>
                  <a:rPr lang="en-US" sz="1200" baseline="0"/>
                  <a:t> (%)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Permeability 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'Por-Perm-Logs'!$AE$39:$AP$39</c:f>
              <c:numCache>
                <c:formatCode>0.00</c:formatCode>
                <c:ptCount val="12"/>
                <c:pt idx="0" formatCode="0.0">
                  <c:v>39.148661936110216</c:v>
                </c:pt>
                <c:pt idx="1">
                  <c:v>62.196991804850121</c:v>
                </c:pt>
                <c:pt idx="2">
                  <c:v>108.29365154232994</c:v>
                </c:pt>
                <c:pt idx="3">
                  <c:v>154.39031127980974</c:v>
                </c:pt>
                <c:pt idx="4">
                  <c:v>200.48697101728956</c:v>
                </c:pt>
                <c:pt idx="5">
                  <c:v>246.58363075476936</c:v>
                </c:pt>
                <c:pt idx="6">
                  <c:v>292.68029049224913</c:v>
                </c:pt>
                <c:pt idx="7">
                  <c:v>338.77695022972898</c:v>
                </c:pt>
                <c:pt idx="8">
                  <c:v>384.87360996720872</c:v>
                </c:pt>
                <c:pt idx="9">
                  <c:v>430.97026970468858</c:v>
                </c:pt>
                <c:pt idx="10">
                  <c:v>477.06692944216832</c:v>
                </c:pt>
                <c:pt idx="11" formatCode="0.0">
                  <c:v>500.11525931090836</c:v>
                </c:pt>
              </c:numCache>
            </c:numRef>
          </c:xVal>
          <c:yVal>
            <c:numRef>
              <c:f>'Por-Perm-Logs'!$AE$41:$AP$41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0.18095238095238095</c:v>
                </c:pt>
                <c:pt idx="2">
                  <c:v>0.70303854875283445</c:v>
                </c:pt>
                <c:pt idx="3">
                  <c:v>0.72380952380952379</c:v>
                </c:pt>
                <c:pt idx="4">
                  <c:v>0.84761904761904761</c:v>
                </c:pt>
                <c:pt idx="5">
                  <c:v>0.91428571428571426</c:v>
                </c:pt>
                <c:pt idx="6">
                  <c:v>0.93333333333333335</c:v>
                </c:pt>
                <c:pt idx="7">
                  <c:v>0.97142857142857142</c:v>
                </c:pt>
                <c:pt idx="8">
                  <c:v>0.99047619047619051</c:v>
                </c:pt>
                <c:pt idx="9">
                  <c:v>0.99047619047619051</c:v>
                </c:pt>
                <c:pt idx="10">
                  <c:v>0.99047619047619051</c:v>
                </c:pt>
                <c:pt idx="11">
                  <c:v>0.99047619047619051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97-4F21-84CA-B2A33A5DA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Permeability</a:t>
                </a:r>
                <a:r>
                  <a:rPr lang="en-US" sz="1200" baseline="0"/>
                  <a:t> (mD)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409575</xdr:colOff>
      <xdr:row>23</xdr:row>
      <xdr:rowOff>57150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55A8E8-B6CF-7446-99BD-C9E42DD14E1C}"/>
            </a:ext>
          </a:extLst>
        </xdr:cNvPr>
        <xdr:cNvSpPr txBox="1"/>
      </xdr:nvSpPr>
      <xdr:spPr>
        <a:xfrm>
          <a:off x="10023475" y="4718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21</xdr:col>
      <xdr:colOff>293915</xdr:colOff>
      <xdr:row>9</xdr:row>
      <xdr:rowOff>146956</xdr:rowOff>
    </xdr:from>
    <xdr:to>
      <xdr:col>24</xdr:col>
      <xdr:colOff>1427390</xdr:colOff>
      <xdr:row>28</xdr:row>
      <xdr:rowOff>175531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01AE90-5243-A34D-9DFB-6233C139B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22</xdr:col>
      <xdr:colOff>439681</xdr:colOff>
      <xdr:row>18</xdr:row>
      <xdr:rowOff>136070</xdr:rowOff>
    </xdr:from>
    <xdr:ext cx="1382943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0A8692B-61E5-3048-B9E0-4A3C244A27DB}"/>
            </a:ext>
          </a:extLst>
        </xdr:cNvPr>
        <xdr:cNvSpPr txBox="1"/>
      </xdr:nvSpPr>
      <xdr:spPr>
        <a:xfrm rot="19469481">
          <a:off x="19375381" y="3844470"/>
          <a:ext cx="13829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Homogeneous Curve</a:t>
          </a:r>
        </a:p>
      </xdr:txBody>
    </xdr:sp>
    <xdr:clientData/>
  </xdr:oneCellAnchor>
  <xdr:twoCellAnchor editAs="oneCell">
    <xdr:from>
      <xdr:col>21</xdr:col>
      <xdr:colOff>225206</xdr:colOff>
      <xdr:row>40</xdr:row>
      <xdr:rowOff>93083</xdr:rowOff>
    </xdr:from>
    <xdr:to>
      <xdr:col>24</xdr:col>
      <xdr:colOff>1601845</xdr:colOff>
      <xdr:row>54</xdr:row>
      <xdr:rowOff>108194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B8CB1D8-0DDE-A441-8FD0-B0D2FBA3F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89206" y="8068683"/>
          <a:ext cx="5326338" cy="28868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13</xdr:row>
      <xdr:rowOff>9524</xdr:rowOff>
    </xdr:from>
    <xdr:to>
      <xdr:col>26</xdr:col>
      <xdr:colOff>284162</xdr:colOff>
      <xdr:row>30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600075</xdr:colOff>
      <xdr:row>31</xdr:row>
      <xdr:rowOff>9525</xdr:rowOff>
    </xdr:from>
    <xdr:to>
      <xdr:col>26</xdr:col>
      <xdr:colOff>274637</xdr:colOff>
      <xdr:row>48</xdr:row>
      <xdr:rowOff>123826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428625</xdr:colOff>
      <xdr:row>12</xdr:row>
      <xdr:rowOff>161925</xdr:rowOff>
    </xdr:from>
    <xdr:to>
      <xdr:col>17</xdr:col>
      <xdr:colOff>704850</xdr:colOff>
      <xdr:row>48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12</xdr:row>
      <xdr:rowOff>161925</xdr:rowOff>
    </xdr:from>
    <xdr:to>
      <xdr:col>20</xdr:col>
      <xdr:colOff>276225</xdr:colOff>
      <xdr:row>48</xdr:row>
      <xdr:rowOff>123824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561577</xdr:colOff>
      <xdr:row>19</xdr:row>
      <xdr:rowOff>128587</xdr:rowOff>
    </xdr:from>
    <xdr:to>
      <xdr:col>35</xdr:col>
      <xdr:colOff>17586</xdr:colOff>
      <xdr:row>35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19845</xdr:colOff>
      <xdr:row>42</xdr:row>
      <xdr:rowOff>75406</xdr:rowOff>
    </xdr:from>
    <xdr:to>
      <xdr:col>35</xdr:col>
      <xdr:colOff>32787</xdr:colOff>
      <xdr:row>57</xdr:row>
      <xdr:rowOff>139056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111125</xdr:colOff>
      <xdr:row>19</xdr:row>
      <xdr:rowOff>127000</xdr:rowOff>
    </xdr:from>
    <xdr:to>
      <xdr:col>43</xdr:col>
      <xdr:colOff>408509</xdr:colOff>
      <xdr:row>35</xdr:row>
      <xdr:rowOff>30163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142875</xdr:colOff>
      <xdr:row>42</xdr:row>
      <xdr:rowOff>79375</xdr:rowOff>
    </xdr:from>
    <xdr:to>
      <xdr:col>43</xdr:col>
      <xdr:colOff>393942</xdr:colOff>
      <xdr:row>57</xdr:row>
      <xdr:rowOff>143025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409575</xdr:colOff>
      <xdr:row>23</xdr:row>
      <xdr:rowOff>57150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8582025" y="3314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21</xdr:col>
      <xdr:colOff>293915</xdr:colOff>
      <xdr:row>9</xdr:row>
      <xdr:rowOff>146956</xdr:rowOff>
    </xdr:from>
    <xdr:to>
      <xdr:col>24</xdr:col>
      <xdr:colOff>1427390</xdr:colOff>
      <xdr:row>28</xdr:row>
      <xdr:rowOff>175531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22</xdr:col>
      <xdr:colOff>439681</xdr:colOff>
      <xdr:row>18</xdr:row>
      <xdr:rowOff>136070</xdr:rowOff>
    </xdr:from>
    <xdr:ext cx="1382943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 rot="19469481">
          <a:off x="16550538" y="3850820"/>
          <a:ext cx="13829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Homogeneous Curve</a:t>
          </a:r>
        </a:p>
      </xdr:txBody>
    </xdr:sp>
    <xdr:clientData/>
  </xdr:oneCellAnchor>
  <xdr:twoCellAnchor editAs="oneCell">
    <xdr:from>
      <xdr:col>21</xdr:col>
      <xdr:colOff>225206</xdr:colOff>
      <xdr:row>40</xdr:row>
      <xdr:rowOff>93083</xdr:rowOff>
    </xdr:from>
    <xdr:to>
      <xdr:col>24</xdr:col>
      <xdr:colOff>1601844</xdr:colOff>
      <xdr:row>54</xdr:row>
      <xdr:rowOff>146202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80099" y="8080476"/>
          <a:ext cx="4832852" cy="28868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D0154-E377-8945-8F8C-E0DBF88B6DE1}">
  <dimension ref="A1:AJ134"/>
  <sheetViews>
    <sheetView topLeftCell="P56" zoomScale="107" zoomScaleNormal="130" workbookViewId="0">
      <selection activeCell="Y61" sqref="Y61"/>
    </sheetView>
  </sheetViews>
  <sheetFormatPr baseColWidth="10" defaultColWidth="8.83203125" defaultRowHeight="15"/>
  <cols>
    <col min="1" max="1" width="8.83203125" style="1"/>
    <col min="4" max="4" width="14.5" bestFit="1" customWidth="1"/>
    <col min="5" max="5" width="19.5" customWidth="1"/>
    <col min="7" max="7" width="12.5" customWidth="1"/>
    <col min="10" max="10" width="11" bestFit="1" customWidth="1"/>
    <col min="11" max="11" width="15.33203125" customWidth="1"/>
    <col min="13" max="13" width="9.33203125" bestFit="1" customWidth="1"/>
    <col min="14" max="14" width="9.5" bestFit="1" customWidth="1"/>
    <col min="15" max="15" width="7.5" customWidth="1"/>
    <col min="16" max="16" width="12.83203125" customWidth="1"/>
    <col min="17" max="17" width="10.5" customWidth="1"/>
    <col min="22" max="22" width="28.5" customWidth="1"/>
    <col min="23" max="23" width="11.83203125" customWidth="1"/>
    <col min="24" max="24" width="11.5" customWidth="1"/>
    <col min="25" max="25" width="28.1640625" bestFit="1" customWidth="1"/>
    <col min="26" max="26" width="15.83203125" customWidth="1"/>
    <col min="28" max="28" width="8.83203125" style="1"/>
  </cols>
  <sheetData>
    <row r="1" spans="2:34" ht="16" thickBo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C1" s="1"/>
      <c r="AD1" s="1"/>
      <c r="AE1" s="1"/>
      <c r="AF1" s="1"/>
      <c r="AG1" s="1"/>
      <c r="AH1" s="1"/>
    </row>
    <row r="2" spans="2:34"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9"/>
      <c r="AC2" s="1"/>
      <c r="AD2" s="1"/>
      <c r="AE2" s="1"/>
      <c r="AF2" s="1"/>
      <c r="AG2" s="1"/>
      <c r="AH2" s="1"/>
    </row>
    <row r="3" spans="2:34" ht="19">
      <c r="B3" s="40"/>
      <c r="C3" s="41" t="s">
        <v>77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 t="s">
        <v>75</v>
      </c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3"/>
      <c r="AC3" s="1"/>
      <c r="AD3" s="1"/>
      <c r="AE3" s="1"/>
      <c r="AF3" s="1"/>
      <c r="AG3" s="1"/>
      <c r="AH3" s="1"/>
    </row>
    <row r="4" spans="2:34">
      <c r="B4" s="40"/>
      <c r="C4" s="111" t="s">
        <v>73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3"/>
      <c r="AC4" s="1"/>
      <c r="AD4" s="1"/>
      <c r="AE4" s="1"/>
      <c r="AF4" s="1"/>
      <c r="AG4" s="1"/>
      <c r="AH4" s="1"/>
    </row>
    <row r="5" spans="2:34">
      <c r="B5" s="40"/>
      <c r="C5" s="111"/>
      <c r="D5" s="42"/>
      <c r="E5" s="42"/>
      <c r="F5" s="42"/>
      <c r="G5" s="42"/>
      <c r="H5" s="42"/>
      <c r="I5" s="42"/>
      <c r="J5" s="42"/>
      <c r="K5" s="42"/>
      <c r="L5" s="42"/>
      <c r="M5" s="42"/>
      <c r="N5" s="42" t="s">
        <v>76</v>
      </c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3"/>
      <c r="AC5" s="1"/>
      <c r="AD5" s="1"/>
      <c r="AE5" s="1"/>
      <c r="AF5" s="1"/>
      <c r="AG5" s="1"/>
      <c r="AH5" s="1"/>
    </row>
    <row r="6" spans="2:34">
      <c r="B6" s="40"/>
      <c r="C6" s="42"/>
      <c r="D6" s="42">
        <v>100</v>
      </c>
      <c r="E6" s="42"/>
      <c r="F6" s="42"/>
      <c r="G6" s="42"/>
      <c r="H6" s="42"/>
      <c r="I6" s="42"/>
      <c r="J6" s="42"/>
      <c r="K6" s="42"/>
      <c r="L6" s="42"/>
      <c r="M6" s="42"/>
      <c r="N6" s="42" t="s">
        <v>74</v>
      </c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3"/>
      <c r="AC6" s="1"/>
      <c r="AD6" s="1"/>
      <c r="AE6" s="1"/>
      <c r="AF6" s="1"/>
      <c r="AG6" s="1"/>
      <c r="AH6" s="1"/>
    </row>
    <row r="7" spans="2:34">
      <c r="B7" s="40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3"/>
      <c r="AC7" s="1"/>
      <c r="AD7" s="1"/>
      <c r="AE7" s="1"/>
      <c r="AF7" s="1"/>
      <c r="AG7" s="1"/>
      <c r="AH7" s="1"/>
    </row>
    <row r="8" spans="2:34" ht="31.5" customHeight="1" thickBot="1">
      <c r="B8" s="40"/>
      <c r="C8" s="133" t="s">
        <v>45</v>
      </c>
      <c r="D8" s="133"/>
      <c r="E8" s="133"/>
      <c r="F8" s="108"/>
      <c r="G8" s="109" t="s">
        <v>57</v>
      </c>
      <c r="H8" s="108"/>
      <c r="I8" s="133" t="s">
        <v>72</v>
      </c>
      <c r="J8" s="133"/>
      <c r="K8" s="133"/>
      <c r="L8" s="108"/>
      <c r="M8" s="133" t="s">
        <v>49</v>
      </c>
      <c r="N8" s="133"/>
      <c r="O8" s="108"/>
      <c r="P8" s="133" t="s">
        <v>56</v>
      </c>
      <c r="Q8" s="133"/>
      <c r="R8" s="108"/>
      <c r="S8" s="133" t="s">
        <v>58</v>
      </c>
      <c r="T8" s="133"/>
      <c r="U8" s="108"/>
      <c r="V8" s="133" t="s">
        <v>69</v>
      </c>
      <c r="W8" s="133"/>
      <c r="X8" s="133"/>
      <c r="Y8" s="133"/>
      <c r="Z8" s="42"/>
      <c r="AA8" s="43"/>
      <c r="AC8" s="1"/>
      <c r="AD8" s="1"/>
      <c r="AE8" s="1"/>
      <c r="AF8" s="1"/>
      <c r="AG8" s="1"/>
      <c r="AH8" s="1"/>
    </row>
    <row r="9" spans="2:34" ht="16" thickBot="1">
      <c r="B9" s="40"/>
      <c r="C9" s="66" t="s">
        <v>23</v>
      </c>
      <c r="D9" s="67" t="s">
        <v>46</v>
      </c>
      <c r="E9" s="68" t="s">
        <v>47</v>
      </c>
      <c r="F9" s="42"/>
      <c r="G9" s="69" t="s">
        <v>48</v>
      </c>
      <c r="H9" s="42"/>
      <c r="I9" s="66" t="s">
        <v>48</v>
      </c>
      <c r="J9" s="67" t="s">
        <v>0</v>
      </c>
      <c r="K9" s="68" t="s">
        <v>9</v>
      </c>
      <c r="L9" s="42"/>
      <c r="M9" s="114" t="s">
        <v>50</v>
      </c>
      <c r="N9" s="115" t="s">
        <v>53</v>
      </c>
      <c r="O9" s="129"/>
      <c r="P9" s="66" t="s">
        <v>54</v>
      </c>
      <c r="Q9" s="68" t="s">
        <v>55</v>
      </c>
      <c r="R9" s="48"/>
      <c r="S9" s="92" t="s">
        <v>51</v>
      </c>
      <c r="T9" s="93" t="s">
        <v>52</v>
      </c>
      <c r="U9" s="42"/>
      <c r="V9" s="94" t="s">
        <v>64</v>
      </c>
      <c r="W9" s="67"/>
      <c r="X9" s="67"/>
      <c r="Y9" s="68"/>
      <c r="Z9" s="42"/>
      <c r="AA9" s="43"/>
      <c r="AC9" s="1"/>
      <c r="AD9" s="1"/>
      <c r="AE9" s="1"/>
      <c r="AF9" s="1"/>
      <c r="AG9" s="1"/>
      <c r="AH9" s="1"/>
    </row>
    <row r="10" spans="2:34" ht="16" thickBot="1">
      <c r="B10" s="40"/>
      <c r="C10" s="70">
        <v>0.25</v>
      </c>
      <c r="D10" s="42">
        <v>23.570555181240199</v>
      </c>
      <c r="E10">
        <v>21.987177687328401</v>
      </c>
      <c r="F10" s="42"/>
      <c r="G10" s="78">
        <f>E10/D10</f>
        <v>0.93282392027948469</v>
      </c>
      <c r="H10" s="42"/>
      <c r="I10" s="78">
        <v>119.84264545035762</v>
      </c>
      <c r="J10" s="42">
        <v>13.6671444071472</v>
      </c>
      <c r="K10">
        <v>1637.9067415045799</v>
      </c>
      <c r="L10" s="42"/>
      <c r="M10" s="81">
        <f>J10*0.25</f>
        <v>3.4167861017868</v>
      </c>
      <c r="N10" s="13">
        <f>K10*0.25</f>
        <v>409.47668537614499</v>
      </c>
      <c r="O10" s="12"/>
      <c r="P10" s="86">
        <f>M10/SUM($M$10:$M$121)</f>
        <v>8.1782664765764936E-3</v>
      </c>
      <c r="Q10" s="87">
        <f>N10/SUM($N$10:$N$121)</f>
        <v>0.16707355945058061</v>
      </c>
      <c r="R10" s="42"/>
      <c r="S10" s="86">
        <f>P10</f>
        <v>8.1782664765764936E-3</v>
      </c>
      <c r="T10" s="87">
        <f>Q10</f>
        <v>0.16707355945058061</v>
      </c>
      <c r="U10" s="42"/>
      <c r="V10" s="37"/>
      <c r="W10" s="38"/>
      <c r="X10" s="38"/>
      <c r="Y10" s="39"/>
      <c r="Z10" s="42"/>
      <c r="AA10" s="43"/>
      <c r="AC10" s="1"/>
      <c r="AD10" s="1"/>
      <c r="AE10" s="1"/>
      <c r="AF10" s="1"/>
      <c r="AG10" s="1"/>
      <c r="AH10" s="1"/>
    </row>
    <row r="11" spans="2:34" ht="16" thickBot="1">
      <c r="B11" s="40"/>
      <c r="C11" s="71">
        <f>C10+0.25</f>
        <v>0.5</v>
      </c>
      <c r="D11" s="42">
        <v>13.3946494268362</v>
      </c>
      <c r="E11">
        <v>289.36085991659002</v>
      </c>
      <c r="F11" s="42"/>
      <c r="G11" s="79">
        <f t="shared" ref="G11:G74" si="0">E11/D11</f>
        <v>21.60271991418119</v>
      </c>
      <c r="H11" s="42"/>
      <c r="I11" s="79">
        <v>69.347044903730762</v>
      </c>
      <c r="J11" s="42">
        <v>8.7216616905176814</v>
      </c>
      <c r="K11">
        <v>604.82146488747799</v>
      </c>
      <c r="L11" s="42"/>
      <c r="M11" s="82">
        <f t="shared" ref="M11:N74" si="1">J11*0.25</f>
        <v>2.1804154226294203</v>
      </c>
      <c r="N11" s="84">
        <f t="shared" si="1"/>
        <v>151.2053662218695</v>
      </c>
      <c r="O11" s="12"/>
      <c r="P11" s="86">
        <f t="shared" ref="P11:P74" si="2">M11/SUM($M$10:$M$121)</f>
        <v>5.2189448870022465E-3</v>
      </c>
      <c r="Q11" s="87">
        <f t="shared" ref="Q11:Q74" si="3">N11/SUM($N$10:$N$121)</f>
        <v>6.1694400792343736E-2</v>
      </c>
      <c r="R11" s="42"/>
      <c r="S11" s="88">
        <f>P11+S10</f>
        <v>1.3397211363578739E-2</v>
      </c>
      <c r="T11" s="89">
        <f>Q11+T10</f>
        <v>0.22876796024292434</v>
      </c>
      <c r="U11" s="42"/>
      <c r="V11" s="40"/>
      <c r="W11" s="42"/>
      <c r="X11" s="42"/>
      <c r="Y11" s="43"/>
      <c r="Z11" s="42"/>
      <c r="AA11" s="43"/>
      <c r="AC11" s="1"/>
      <c r="AD11" s="1"/>
      <c r="AE11" s="1"/>
      <c r="AF11" s="1"/>
      <c r="AG11" s="1"/>
      <c r="AH11" s="1"/>
    </row>
    <row r="12" spans="2:34" ht="16" thickBot="1">
      <c r="B12" s="40"/>
      <c r="C12" s="71">
        <f t="shared" ref="C12:C75" si="4">C11+0.25</f>
        <v>0.75</v>
      </c>
      <c r="D12" s="42">
        <v>17.399788455364199</v>
      </c>
      <c r="E12">
        <v>51.254505365568598</v>
      </c>
      <c r="F12" s="42"/>
      <c r="G12" s="79">
        <f t="shared" si="0"/>
        <v>2.9456970409181782</v>
      </c>
      <c r="H12" s="42"/>
      <c r="I12" s="79">
        <v>33.449662704282773</v>
      </c>
      <c r="J12" s="42">
        <v>24.497386788484903</v>
      </c>
      <c r="K12">
        <v>819.42932521117302</v>
      </c>
      <c r="L12" s="42"/>
      <c r="M12" s="82">
        <f t="shared" si="1"/>
        <v>6.1243466971212257</v>
      </c>
      <c r="N12" s="84">
        <f t="shared" si="1"/>
        <v>204.85733130279326</v>
      </c>
      <c r="O12" s="12"/>
      <c r="P12" s="86">
        <f t="shared" si="2"/>
        <v>1.4658962484600913E-2</v>
      </c>
      <c r="Q12" s="87">
        <f t="shared" si="3"/>
        <v>8.3585329135074729E-2</v>
      </c>
      <c r="R12" s="42"/>
      <c r="S12" s="88">
        <f t="shared" ref="S12:T27" si="5">P12+S11</f>
        <v>2.8056173848179652E-2</v>
      </c>
      <c r="T12" s="89">
        <f t="shared" si="5"/>
        <v>0.31235328937799905</v>
      </c>
      <c r="U12" s="42"/>
      <c r="V12" s="40"/>
      <c r="W12" s="42"/>
      <c r="X12" s="42"/>
      <c r="Y12" s="43"/>
      <c r="Z12" s="42"/>
      <c r="AA12" s="43"/>
      <c r="AC12" s="1"/>
      <c r="AD12" s="1"/>
      <c r="AE12" s="1"/>
      <c r="AF12" s="1"/>
      <c r="AG12" s="1"/>
      <c r="AH12" s="1"/>
    </row>
    <row r="13" spans="2:34" ht="16" thickBot="1">
      <c r="B13" s="40"/>
      <c r="C13" s="71">
        <f t="shared" si="4"/>
        <v>1</v>
      </c>
      <c r="D13" s="42">
        <v>9.9211125397102009</v>
      </c>
      <c r="E13">
        <v>31.356589515350901</v>
      </c>
      <c r="F13" s="42"/>
      <c r="G13" s="79">
        <f t="shared" si="0"/>
        <v>3.1605920595944412</v>
      </c>
      <c r="H13" s="42"/>
      <c r="I13" s="79">
        <v>27.741472453347033</v>
      </c>
      <c r="J13" s="42">
        <v>24.186785899190799</v>
      </c>
      <c r="K13">
        <v>670.97705475740395</v>
      </c>
      <c r="L13" s="42"/>
      <c r="M13" s="82">
        <f t="shared" si="1"/>
        <v>6.0466964747976997</v>
      </c>
      <c r="N13" s="84">
        <f t="shared" si="1"/>
        <v>167.74426368935099</v>
      </c>
      <c r="O13" s="12"/>
      <c r="P13" s="86">
        <f t="shared" si="2"/>
        <v>1.4473102383555925E-2</v>
      </c>
      <c r="Q13" s="87">
        <f t="shared" si="3"/>
        <v>6.8442556592086132E-2</v>
      </c>
      <c r="R13" s="42"/>
      <c r="S13" s="88">
        <f t="shared" si="5"/>
        <v>4.252927623173558E-2</v>
      </c>
      <c r="T13" s="89">
        <f t="shared" si="5"/>
        <v>0.3807958459700852</v>
      </c>
      <c r="U13" s="42"/>
      <c r="V13" s="40"/>
      <c r="W13" s="42"/>
      <c r="X13" s="42"/>
      <c r="Y13" s="43"/>
      <c r="Z13" s="42"/>
      <c r="AA13" s="43"/>
      <c r="AC13" s="1"/>
      <c r="AD13" s="1"/>
      <c r="AE13" s="1"/>
      <c r="AF13" s="1"/>
      <c r="AG13" s="1"/>
      <c r="AH13" s="1"/>
    </row>
    <row r="14" spans="2:34" ht="16" thickBot="1">
      <c r="B14" s="40"/>
      <c r="C14" s="71">
        <f t="shared" si="4"/>
        <v>1.25</v>
      </c>
      <c r="D14" s="42">
        <v>24.882914665652201</v>
      </c>
      <c r="E14">
        <v>4.1383798748988401</v>
      </c>
      <c r="F14" s="42"/>
      <c r="G14" s="79">
        <f t="shared" si="0"/>
        <v>0.16631411273581079</v>
      </c>
      <c r="H14" s="42"/>
      <c r="I14" s="79">
        <v>26.132419408786308</v>
      </c>
      <c r="J14" s="42">
        <v>16.540626866191499</v>
      </c>
      <c r="K14">
        <v>432.246598551555</v>
      </c>
      <c r="L14" s="42"/>
      <c r="M14" s="82">
        <f t="shared" si="1"/>
        <v>4.1351567165478746</v>
      </c>
      <c r="N14" s="84">
        <f t="shared" si="1"/>
        <v>108.06164963788875</v>
      </c>
      <c r="O14" s="12"/>
      <c r="P14" s="86">
        <f t="shared" si="2"/>
        <v>9.8977262675730131E-3</v>
      </c>
      <c r="Q14" s="87">
        <f t="shared" si="3"/>
        <v>4.4091019317788513E-2</v>
      </c>
      <c r="R14" s="42"/>
      <c r="S14" s="88">
        <f t="shared" si="5"/>
        <v>5.2427002499308595E-2</v>
      </c>
      <c r="T14" s="89">
        <f t="shared" si="5"/>
        <v>0.42488686528787373</v>
      </c>
      <c r="U14" s="42"/>
      <c r="V14" s="40"/>
      <c r="W14" s="42"/>
      <c r="X14" s="42"/>
      <c r="Y14" s="43"/>
      <c r="Z14" s="42"/>
      <c r="AA14" s="43"/>
      <c r="AC14" s="1"/>
      <c r="AD14" s="1"/>
      <c r="AE14" s="1"/>
      <c r="AF14" s="1"/>
      <c r="AG14" s="1"/>
      <c r="AH14" s="1"/>
    </row>
    <row r="15" spans="2:34" ht="16" thickBot="1">
      <c r="B15" s="40"/>
      <c r="C15" s="71">
        <f t="shared" si="4"/>
        <v>1.5</v>
      </c>
      <c r="D15" s="42">
        <v>17.229779148992399</v>
      </c>
      <c r="E15">
        <v>244.895781481706</v>
      </c>
      <c r="F15" s="42"/>
      <c r="G15" s="79">
        <f t="shared" si="0"/>
        <v>14.213518314077028</v>
      </c>
      <c r="H15" s="42"/>
      <c r="I15" s="79">
        <v>25.1467902808023</v>
      </c>
      <c r="J15" s="42">
        <v>8.6302640463538296</v>
      </c>
      <c r="K15">
        <v>217.02344004160801</v>
      </c>
      <c r="L15" s="42"/>
      <c r="M15" s="82">
        <f t="shared" si="1"/>
        <v>2.1575660115884574</v>
      </c>
      <c r="N15" s="84">
        <f t="shared" si="1"/>
        <v>54.255860010402003</v>
      </c>
      <c r="O15" s="12"/>
      <c r="P15" s="86">
        <f t="shared" si="2"/>
        <v>5.1642535581455469E-3</v>
      </c>
      <c r="Q15" s="87">
        <f t="shared" si="3"/>
        <v>2.2137327903451777E-2</v>
      </c>
      <c r="R15" s="42"/>
      <c r="S15" s="88">
        <f t="shared" si="5"/>
        <v>5.7591256057454139E-2</v>
      </c>
      <c r="T15" s="89">
        <f t="shared" si="5"/>
        <v>0.44702419319132553</v>
      </c>
      <c r="U15" s="42"/>
      <c r="V15" s="40"/>
      <c r="W15" s="42"/>
      <c r="X15" s="42"/>
      <c r="Y15" s="43"/>
      <c r="Z15" s="42"/>
      <c r="AA15" s="43"/>
      <c r="AC15" s="1"/>
      <c r="AD15" s="1"/>
      <c r="AE15" s="1"/>
      <c r="AF15" s="1"/>
      <c r="AG15" s="1"/>
      <c r="AH15" s="1"/>
    </row>
    <row r="16" spans="2:34" ht="16" thickBot="1">
      <c r="B16" s="40"/>
      <c r="C16" s="71">
        <f t="shared" si="4"/>
        <v>1.75</v>
      </c>
      <c r="D16" s="42">
        <v>9.3743797247660101</v>
      </c>
      <c r="E16">
        <v>0.38570642112147102</v>
      </c>
      <c r="F16" s="42"/>
      <c r="G16" s="79">
        <f t="shared" si="0"/>
        <v>4.1144740499734607E-2</v>
      </c>
      <c r="H16" s="42"/>
      <c r="I16" s="79">
        <v>24.52106918713293</v>
      </c>
      <c r="J16" s="42">
        <v>7.5967106150879999</v>
      </c>
      <c r="K16">
        <v>186.27946658720001</v>
      </c>
      <c r="L16" s="42"/>
      <c r="M16" s="82">
        <f t="shared" si="1"/>
        <v>1.899177653772</v>
      </c>
      <c r="N16" s="84">
        <f t="shared" si="1"/>
        <v>46.569866646800001</v>
      </c>
      <c r="O16" s="12"/>
      <c r="P16" s="86">
        <f t="shared" si="2"/>
        <v>4.5457867353137314E-3</v>
      </c>
      <c r="Q16" s="87">
        <f t="shared" si="3"/>
        <v>1.9001309871091936E-2</v>
      </c>
      <c r="R16" s="42"/>
      <c r="S16" s="88">
        <f t="shared" si="5"/>
        <v>6.2137042792767869E-2</v>
      </c>
      <c r="T16" s="89">
        <f t="shared" si="5"/>
        <v>0.46602550306241747</v>
      </c>
      <c r="U16" s="42"/>
      <c r="V16" s="40"/>
      <c r="W16" s="42"/>
      <c r="X16" s="42"/>
      <c r="Y16" s="43"/>
      <c r="Z16" s="42"/>
      <c r="AA16" s="43"/>
      <c r="AC16" s="1"/>
      <c r="AD16" s="1"/>
      <c r="AE16" s="1"/>
      <c r="AF16" s="1"/>
      <c r="AG16" s="1"/>
      <c r="AH16" s="1"/>
    </row>
    <row r="17" spans="2:34" ht="16" thickBot="1">
      <c r="B17" s="40"/>
      <c r="C17" s="71">
        <f t="shared" si="4"/>
        <v>2</v>
      </c>
      <c r="D17" s="42">
        <v>13.774387018453298</v>
      </c>
      <c r="E17">
        <v>14.702169192657101</v>
      </c>
      <c r="F17" s="42"/>
      <c r="G17" s="79">
        <f t="shared" si="0"/>
        <v>1.0673556052230033</v>
      </c>
      <c r="H17" s="42"/>
      <c r="I17" s="79">
        <v>22.045309210955313</v>
      </c>
      <c r="J17" s="42">
        <v>10.0963327322336</v>
      </c>
      <c r="K17">
        <v>222.57677697877901</v>
      </c>
      <c r="L17" s="42"/>
      <c r="M17" s="82">
        <f t="shared" si="1"/>
        <v>2.5240831830584001</v>
      </c>
      <c r="N17" s="84">
        <f t="shared" si="1"/>
        <v>55.644194244694752</v>
      </c>
      <c r="O17" s="12"/>
      <c r="P17" s="86">
        <f t="shared" si="2"/>
        <v>6.0415326757803168E-3</v>
      </c>
      <c r="Q17" s="87">
        <f t="shared" si="3"/>
        <v>2.2703792248100148E-2</v>
      </c>
      <c r="R17" s="42"/>
      <c r="S17" s="88">
        <f t="shared" si="5"/>
        <v>6.8178575468548192E-2</v>
      </c>
      <c r="T17" s="89">
        <f t="shared" si="5"/>
        <v>0.48872929531051762</v>
      </c>
      <c r="U17" s="42"/>
      <c r="V17" s="40"/>
      <c r="W17" s="42"/>
      <c r="X17" s="42"/>
      <c r="Y17" s="43"/>
      <c r="Z17" s="42"/>
      <c r="AA17" s="43"/>
      <c r="AC17" s="1"/>
      <c r="AD17" s="1"/>
      <c r="AE17" s="1"/>
      <c r="AF17" s="1"/>
      <c r="AG17" s="1"/>
      <c r="AH17" s="1"/>
    </row>
    <row r="18" spans="2:34" ht="16" thickBot="1">
      <c r="B18" s="40"/>
      <c r="C18" s="71">
        <f t="shared" si="4"/>
        <v>2.25</v>
      </c>
      <c r="D18" s="42">
        <v>9.0415599710165004</v>
      </c>
      <c r="E18">
        <v>8.6285879104250895</v>
      </c>
      <c r="F18" s="42"/>
      <c r="G18" s="79">
        <f t="shared" si="0"/>
        <v>0.95432513173443212</v>
      </c>
      <c r="H18" s="42"/>
      <c r="I18" s="79">
        <v>21.60271991418119</v>
      </c>
      <c r="J18" s="42">
        <v>13.3946494268362</v>
      </c>
      <c r="K18">
        <v>289.36085991659002</v>
      </c>
      <c r="L18" s="42"/>
      <c r="M18" s="82">
        <f t="shared" si="1"/>
        <v>3.3486623567090499</v>
      </c>
      <c r="N18" s="84">
        <f t="shared" si="1"/>
        <v>72.340214979147504</v>
      </c>
      <c r="O18" s="12"/>
      <c r="P18" s="86">
        <f t="shared" si="2"/>
        <v>8.0152085256158367E-3</v>
      </c>
      <c r="Q18" s="87">
        <f t="shared" si="3"/>
        <v>2.9516057054345023E-2</v>
      </c>
      <c r="R18" s="42"/>
      <c r="S18" s="88">
        <f t="shared" si="5"/>
        <v>7.619378399416403E-2</v>
      </c>
      <c r="T18" s="89">
        <f t="shared" si="5"/>
        <v>0.51824535236486269</v>
      </c>
      <c r="U18" s="42"/>
      <c r="V18" s="40"/>
      <c r="W18" s="42"/>
      <c r="X18" s="42"/>
      <c r="Y18" s="43"/>
      <c r="Z18" s="42"/>
      <c r="AA18" s="43"/>
      <c r="AC18" s="1"/>
      <c r="AD18" s="1"/>
      <c r="AE18" s="1"/>
      <c r="AF18" s="1"/>
      <c r="AG18" s="1"/>
      <c r="AH18" s="1"/>
    </row>
    <row r="19" spans="2:34" ht="16" thickBot="1">
      <c r="B19" s="40"/>
      <c r="C19" s="71">
        <f t="shared" si="4"/>
        <v>2.5</v>
      </c>
      <c r="D19" s="42">
        <v>7.2896310328808598</v>
      </c>
      <c r="E19">
        <v>4.3602835617754296</v>
      </c>
      <c r="F19" s="42"/>
      <c r="G19" s="79">
        <f t="shared" si="0"/>
        <v>0.59814873237174626</v>
      </c>
      <c r="H19" s="42"/>
      <c r="I19" s="79">
        <v>21.264782517375412</v>
      </c>
      <c r="J19" s="42">
        <v>13.7767124966047</v>
      </c>
      <c r="K19">
        <v>292.95879504470702</v>
      </c>
      <c r="L19" s="42"/>
      <c r="M19" s="82">
        <f t="shared" si="1"/>
        <v>3.4441781241511751</v>
      </c>
      <c r="N19" s="84">
        <f t="shared" si="1"/>
        <v>73.239698761176754</v>
      </c>
      <c r="O19" s="12"/>
      <c r="P19" s="86">
        <f t="shared" si="2"/>
        <v>8.2438307968337836E-3</v>
      </c>
      <c r="Q19" s="87">
        <f t="shared" si="3"/>
        <v>2.9883061971837824E-2</v>
      </c>
      <c r="R19" s="42"/>
      <c r="S19" s="88">
        <f t="shared" si="5"/>
        <v>8.4437614790997817E-2</v>
      </c>
      <c r="T19" s="89">
        <f t="shared" si="5"/>
        <v>0.54812841433670056</v>
      </c>
      <c r="U19" s="42"/>
      <c r="V19" s="40"/>
      <c r="W19" s="42"/>
      <c r="X19" s="42"/>
      <c r="Y19" s="43"/>
      <c r="Z19" s="42"/>
      <c r="AA19" s="43"/>
      <c r="AC19" s="1"/>
      <c r="AD19" s="1"/>
      <c r="AE19" s="1"/>
      <c r="AF19" s="1"/>
      <c r="AG19" s="1"/>
      <c r="AH19" s="1"/>
    </row>
    <row r="20" spans="2:34" ht="16" thickBot="1">
      <c r="B20" s="40"/>
      <c r="C20" s="71">
        <f t="shared" si="4"/>
        <v>2.75</v>
      </c>
      <c r="D20" s="42">
        <v>8.6329164707151289</v>
      </c>
      <c r="E20">
        <v>3.2327130739779202</v>
      </c>
      <c r="F20" s="42"/>
      <c r="G20" s="79">
        <f t="shared" si="0"/>
        <v>0.37446361087171859</v>
      </c>
      <c r="H20" s="42"/>
      <c r="I20" s="79">
        <v>19.689997496364605</v>
      </c>
      <c r="J20" s="42">
        <v>10.529912507642999</v>
      </c>
      <c r="K20">
        <v>207.333950912429</v>
      </c>
      <c r="L20" s="42"/>
      <c r="M20" s="82">
        <f t="shared" si="1"/>
        <v>2.6324781269107498</v>
      </c>
      <c r="N20" s="84">
        <f t="shared" si="1"/>
        <v>51.833487728107251</v>
      </c>
      <c r="O20" s="12"/>
      <c r="P20" s="86">
        <f t="shared" si="2"/>
        <v>6.3009819679307614E-3</v>
      </c>
      <c r="Q20" s="87">
        <f t="shared" si="3"/>
        <v>2.1148958176990695E-2</v>
      </c>
      <c r="R20" s="42"/>
      <c r="S20" s="88">
        <f t="shared" si="5"/>
        <v>9.0738596758928577E-2</v>
      </c>
      <c r="T20" s="89">
        <f t="shared" si="5"/>
        <v>0.56927737251369126</v>
      </c>
      <c r="U20" s="42"/>
      <c r="V20" s="40"/>
      <c r="W20" s="42"/>
      <c r="X20" s="42"/>
      <c r="Y20" s="43"/>
      <c r="Z20" s="42"/>
      <c r="AA20" s="43"/>
      <c r="AC20" s="1"/>
      <c r="AD20" s="1"/>
      <c r="AE20" s="1"/>
      <c r="AF20" s="1"/>
      <c r="AG20" s="1"/>
      <c r="AH20" s="1"/>
    </row>
    <row r="21" spans="2:34" ht="16" thickBot="1">
      <c r="B21" s="40"/>
      <c r="C21" s="71">
        <f t="shared" si="4"/>
        <v>3</v>
      </c>
      <c r="D21" s="42">
        <v>17.899387299911201</v>
      </c>
      <c r="E21">
        <v>66.225912060265898</v>
      </c>
      <c r="F21" s="42"/>
      <c r="G21" s="79">
        <f t="shared" si="0"/>
        <v>3.699898267500723</v>
      </c>
      <c r="H21" s="42"/>
      <c r="I21" s="79">
        <v>16.772785678989504</v>
      </c>
      <c r="J21" s="42">
        <v>9.9685739815089693</v>
      </c>
      <c r="K21">
        <v>167.20075491700101</v>
      </c>
      <c r="L21" s="42"/>
      <c r="M21" s="82">
        <f t="shared" si="1"/>
        <v>2.4921434953772423</v>
      </c>
      <c r="N21" s="84">
        <f t="shared" si="1"/>
        <v>41.800188729250252</v>
      </c>
      <c r="O21" s="12"/>
      <c r="P21" s="86">
        <f t="shared" si="2"/>
        <v>5.9650832671098311E-3</v>
      </c>
      <c r="Q21" s="87">
        <f t="shared" si="3"/>
        <v>1.7055198906591358E-2</v>
      </c>
      <c r="R21" s="42"/>
      <c r="S21" s="88">
        <f t="shared" si="5"/>
        <v>9.6703680026038408E-2</v>
      </c>
      <c r="T21" s="89">
        <f t="shared" si="5"/>
        <v>0.58633257142028261</v>
      </c>
      <c r="U21" s="42"/>
      <c r="V21" s="40"/>
      <c r="W21" s="42"/>
      <c r="X21" s="42"/>
      <c r="Y21" s="43"/>
      <c r="Z21" s="42"/>
      <c r="AA21" s="43"/>
      <c r="AC21" s="1"/>
      <c r="AD21" s="1"/>
      <c r="AE21" s="1"/>
      <c r="AF21" s="1"/>
      <c r="AG21" s="1"/>
      <c r="AH21" s="1"/>
    </row>
    <row r="22" spans="2:34" ht="16" thickBot="1">
      <c r="B22" s="40"/>
      <c r="C22" s="71">
        <f t="shared" si="4"/>
        <v>3.25</v>
      </c>
      <c r="D22" s="42">
        <v>13.6671444071472</v>
      </c>
      <c r="E22">
        <v>1637.9067415045799</v>
      </c>
      <c r="F22" s="42"/>
      <c r="G22" s="79">
        <f t="shared" si="0"/>
        <v>119.84264545035762</v>
      </c>
      <c r="H22" s="42"/>
      <c r="I22" s="79">
        <v>15.317170254935586</v>
      </c>
      <c r="J22" s="42">
        <v>16.5669063189962</v>
      </c>
      <c r="K22">
        <v>253.75812468563299</v>
      </c>
      <c r="L22" s="42"/>
      <c r="M22" s="82">
        <f t="shared" si="1"/>
        <v>4.1417265797490499</v>
      </c>
      <c r="N22" s="84">
        <f t="shared" si="1"/>
        <v>63.439531171408248</v>
      </c>
      <c r="O22" s="12"/>
      <c r="P22" s="86">
        <f t="shared" si="2"/>
        <v>9.9134515984463066E-3</v>
      </c>
      <c r="Q22" s="87">
        <f t="shared" si="3"/>
        <v>2.5884424342614138E-2</v>
      </c>
      <c r="R22" s="42"/>
      <c r="S22" s="88">
        <f t="shared" si="5"/>
        <v>0.10661713162448472</v>
      </c>
      <c r="T22" s="89">
        <f t="shared" si="5"/>
        <v>0.61221699576289679</v>
      </c>
      <c r="U22" s="42"/>
      <c r="V22" s="40"/>
      <c r="W22" s="42"/>
      <c r="X22" s="42"/>
      <c r="Y22" s="43"/>
      <c r="Z22" s="42"/>
      <c r="AA22" s="43"/>
      <c r="AC22" s="1"/>
      <c r="AD22" s="1"/>
      <c r="AE22" s="1"/>
      <c r="AF22" s="1"/>
      <c r="AG22" s="1"/>
      <c r="AH22" s="1"/>
    </row>
    <row r="23" spans="2:34" ht="16" thickBot="1">
      <c r="B23" s="40"/>
      <c r="C23" s="71">
        <f t="shared" si="4"/>
        <v>3.5</v>
      </c>
      <c r="D23" s="42">
        <v>13.1763828427639</v>
      </c>
      <c r="E23">
        <v>1.77132526766048</v>
      </c>
      <c r="F23" s="42"/>
      <c r="G23" s="79">
        <f t="shared" si="0"/>
        <v>0.13443183070786702</v>
      </c>
      <c r="H23" s="42"/>
      <c r="I23" s="79">
        <v>14.213518314077028</v>
      </c>
      <c r="J23" s="42">
        <v>17.229779148992399</v>
      </c>
      <c r="K23">
        <v>244.895781481706</v>
      </c>
      <c r="L23" s="42"/>
      <c r="M23" s="82">
        <f t="shared" si="1"/>
        <v>4.3074447872480999</v>
      </c>
      <c r="N23" s="84">
        <f t="shared" si="1"/>
        <v>61.223945370426499</v>
      </c>
      <c r="O23" s="12"/>
      <c r="P23" s="86">
        <f t="shared" si="2"/>
        <v>1.0310107292005551E-2</v>
      </c>
      <c r="Q23" s="87">
        <f t="shared" si="3"/>
        <v>2.4980427071809447E-2</v>
      </c>
      <c r="R23" s="42"/>
      <c r="S23" s="88">
        <f t="shared" si="5"/>
        <v>0.11692723891649026</v>
      </c>
      <c r="T23" s="89">
        <f t="shared" si="5"/>
        <v>0.63719742283470626</v>
      </c>
      <c r="U23" s="42"/>
      <c r="V23" s="40"/>
      <c r="W23" s="42"/>
      <c r="X23" s="42"/>
      <c r="Y23" s="43"/>
      <c r="Z23" s="42"/>
      <c r="AA23" s="43"/>
      <c r="AC23" s="1"/>
      <c r="AD23" s="1"/>
      <c r="AE23" s="1"/>
      <c r="AF23" s="1"/>
      <c r="AG23" s="1"/>
      <c r="AH23" s="1"/>
    </row>
    <row r="24" spans="2:34" ht="16" thickBot="1">
      <c r="B24" s="40"/>
      <c r="C24" s="71">
        <f t="shared" si="4"/>
        <v>3.75</v>
      </c>
      <c r="D24" s="42">
        <v>9.3754892488856498</v>
      </c>
      <c r="E24">
        <v>14.245027380283201</v>
      </c>
      <c r="F24" s="42"/>
      <c r="G24" s="79">
        <f t="shared" si="0"/>
        <v>1.5193902954959213</v>
      </c>
      <c r="H24" s="42"/>
      <c r="I24" s="79">
        <v>13.779779359667131</v>
      </c>
      <c r="J24" s="42">
        <v>16.661718494893098</v>
      </c>
      <c r="K24">
        <v>229.59480461251201</v>
      </c>
      <c r="L24" s="42"/>
      <c r="M24" s="82">
        <f t="shared" si="1"/>
        <v>4.1654296237232744</v>
      </c>
      <c r="N24" s="84">
        <f t="shared" si="1"/>
        <v>57.398701153128002</v>
      </c>
      <c r="O24" s="12"/>
      <c r="P24" s="86">
        <f t="shared" si="2"/>
        <v>9.9701861449330905E-3</v>
      </c>
      <c r="Q24" s="87">
        <f t="shared" si="3"/>
        <v>2.341966136773832E-2</v>
      </c>
      <c r="R24" s="42"/>
      <c r="S24" s="88">
        <f t="shared" si="5"/>
        <v>0.12689742506142335</v>
      </c>
      <c r="T24" s="89">
        <f t="shared" si="5"/>
        <v>0.66061708420244458</v>
      </c>
      <c r="U24" s="42"/>
      <c r="V24" s="40"/>
      <c r="W24" s="42"/>
      <c r="X24" s="42"/>
      <c r="Y24" s="43"/>
      <c r="Z24" s="42"/>
      <c r="AA24" s="43"/>
      <c r="AC24" s="1"/>
      <c r="AD24" s="1"/>
      <c r="AE24" s="1"/>
      <c r="AF24" s="1"/>
      <c r="AG24" s="1"/>
      <c r="AH24" s="1"/>
    </row>
    <row r="25" spans="2:34" ht="16" thickBot="1">
      <c r="B25" s="40"/>
      <c r="C25" s="71">
        <f t="shared" si="4"/>
        <v>4</v>
      </c>
      <c r="D25" s="42">
        <v>9.4282937936901199</v>
      </c>
      <c r="E25">
        <v>0.344571595112733</v>
      </c>
      <c r="F25" s="42"/>
      <c r="G25" s="79">
        <f t="shared" si="0"/>
        <v>3.6546548363112885E-2</v>
      </c>
      <c r="H25" s="42"/>
      <c r="I25" s="79">
        <v>12.489193665645892</v>
      </c>
      <c r="J25" s="42">
        <v>9.4400474584018497</v>
      </c>
      <c r="K25">
        <v>117.89858092086899</v>
      </c>
      <c r="L25" s="42"/>
      <c r="M25" s="82">
        <f t="shared" si="1"/>
        <v>2.3600118646004624</v>
      </c>
      <c r="N25" s="84">
        <f t="shared" si="1"/>
        <v>29.474645230217249</v>
      </c>
      <c r="O25" s="12"/>
      <c r="P25" s="86">
        <f t="shared" si="2"/>
        <v>5.6488189022108927E-3</v>
      </c>
      <c r="Q25" s="87">
        <f t="shared" si="3"/>
        <v>1.2026164292191367E-2</v>
      </c>
      <c r="R25" s="42"/>
      <c r="S25" s="88">
        <f t="shared" si="5"/>
        <v>0.13254624396363424</v>
      </c>
      <c r="T25" s="89">
        <f t="shared" si="5"/>
        <v>0.67264324849463597</v>
      </c>
      <c r="U25" s="42"/>
      <c r="V25" s="40"/>
      <c r="W25" s="42"/>
      <c r="X25" s="42"/>
      <c r="Y25" s="43"/>
      <c r="Z25" s="42"/>
      <c r="AA25" s="43"/>
      <c r="AC25" s="1"/>
      <c r="AD25" s="1"/>
      <c r="AE25" s="1"/>
      <c r="AF25" s="1"/>
      <c r="AG25" s="1"/>
      <c r="AH25" s="1"/>
    </row>
    <row r="26" spans="2:34" ht="16" thickBot="1">
      <c r="B26" s="40"/>
      <c r="C26" s="71">
        <f t="shared" si="4"/>
        <v>4.25</v>
      </c>
      <c r="D26" s="42">
        <v>9.2984179907333093</v>
      </c>
      <c r="E26">
        <v>10.955162322836101</v>
      </c>
      <c r="F26" s="42"/>
      <c r="G26" s="79">
        <f t="shared" si="0"/>
        <v>1.178174860901487</v>
      </c>
      <c r="H26" s="42"/>
      <c r="I26" s="79">
        <v>11.324962165595267</v>
      </c>
      <c r="J26" s="42">
        <v>8.7979810989932297</v>
      </c>
      <c r="K26">
        <v>99.636803079720593</v>
      </c>
      <c r="L26" s="42"/>
      <c r="M26" s="82">
        <f t="shared" si="1"/>
        <v>2.1994952747483074</v>
      </c>
      <c r="N26" s="84">
        <f t="shared" si="1"/>
        <v>24.909200769930148</v>
      </c>
      <c r="O26" s="12"/>
      <c r="P26" s="86">
        <f t="shared" si="2"/>
        <v>5.2646135681293236E-3</v>
      </c>
      <c r="Q26" s="87">
        <f t="shared" si="3"/>
        <v>1.0163384105442944E-2</v>
      </c>
      <c r="R26" s="42"/>
      <c r="S26" s="88">
        <f t="shared" si="5"/>
        <v>0.13781085753176356</v>
      </c>
      <c r="T26" s="89">
        <f t="shared" si="5"/>
        <v>0.6828066326000789</v>
      </c>
      <c r="U26" s="42"/>
      <c r="V26" s="40"/>
      <c r="W26" s="42"/>
      <c r="X26" s="42"/>
      <c r="Y26" s="43"/>
      <c r="Z26" s="42"/>
      <c r="AA26" s="43"/>
      <c r="AC26" s="1"/>
      <c r="AD26" s="1"/>
      <c r="AE26" s="1"/>
      <c r="AF26" s="1"/>
      <c r="AG26" s="1"/>
      <c r="AH26" s="1"/>
    </row>
    <row r="27" spans="2:34" ht="16" thickBot="1">
      <c r="B27" s="40"/>
      <c r="C27" s="71">
        <f t="shared" si="4"/>
        <v>4.5</v>
      </c>
      <c r="D27" s="42">
        <v>10.391586516233801</v>
      </c>
      <c r="E27">
        <v>1.66074247548526</v>
      </c>
      <c r="F27" s="42"/>
      <c r="G27" s="79">
        <f t="shared" si="0"/>
        <v>0.1598160659001239</v>
      </c>
      <c r="H27" s="42"/>
      <c r="I27" s="79">
        <v>11.251531248259425</v>
      </c>
      <c r="J27" s="42">
        <v>9.5477940456323793</v>
      </c>
      <c r="K27">
        <v>107.42730305637799</v>
      </c>
      <c r="L27" s="42"/>
      <c r="M27" s="82">
        <f t="shared" si="1"/>
        <v>2.3869485114080948</v>
      </c>
      <c r="N27" s="84">
        <f t="shared" si="1"/>
        <v>26.856825764094499</v>
      </c>
      <c r="O27" s="12"/>
      <c r="P27" s="86">
        <f t="shared" si="2"/>
        <v>5.7132932558916919E-3</v>
      </c>
      <c r="Q27" s="87">
        <f t="shared" si="3"/>
        <v>1.0958048739281729E-2</v>
      </c>
      <c r="R27" s="42"/>
      <c r="S27" s="88">
        <f t="shared" si="5"/>
        <v>0.14352415078765526</v>
      </c>
      <c r="T27" s="89">
        <f t="shared" si="5"/>
        <v>0.69376468133936064</v>
      </c>
      <c r="U27" s="42"/>
      <c r="V27" s="40"/>
      <c r="W27" s="42"/>
      <c r="X27" s="42"/>
      <c r="Y27" s="43"/>
      <c r="Z27" s="42"/>
      <c r="AA27" s="43"/>
      <c r="AC27" s="1"/>
      <c r="AD27" s="1"/>
      <c r="AE27" s="1"/>
      <c r="AF27" s="1"/>
      <c r="AG27" s="1"/>
      <c r="AH27" s="1"/>
    </row>
    <row r="28" spans="2:34" ht="16" thickBot="1">
      <c r="B28" s="40"/>
      <c r="C28" s="71">
        <f t="shared" si="4"/>
        <v>4.75</v>
      </c>
      <c r="D28" s="42">
        <v>9.67992131424894</v>
      </c>
      <c r="E28">
        <v>74.536166386918794</v>
      </c>
      <c r="F28" s="42"/>
      <c r="G28" s="79">
        <f t="shared" si="0"/>
        <v>7.7000797803181333</v>
      </c>
      <c r="H28" s="42"/>
      <c r="I28" s="79">
        <v>10.605193497461755</v>
      </c>
      <c r="J28" s="42">
        <v>8.9438484415719497</v>
      </c>
      <c r="K28">
        <v>94.851243334842295</v>
      </c>
      <c r="L28" s="42"/>
      <c r="M28" s="82">
        <f t="shared" si="1"/>
        <v>2.2359621103929874</v>
      </c>
      <c r="N28" s="84">
        <f t="shared" si="1"/>
        <v>23.712810833710574</v>
      </c>
      <c r="O28" s="12"/>
      <c r="P28" s="86">
        <f t="shared" si="2"/>
        <v>5.351898955793407E-3</v>
      </c>
      <c r="Q28" s="87">
        <f t="shared" si="3"/>
        <v>9.6752363493589968E-3</v>
      </c>
      <c r="R28" s="42"/>
      <c r="S28" s="88">
        <f t="shared" ref="S28:T43" si="6">P28+S27</f>
        <v>0.14887604974344867</v>
      </c>
      <c r="T28" s="89">
        <f t="shared" si="6"/>
        <v>0.70343991768871961</v>
      </c>
      <c r="U28" s="42"/>
      <c r="V28" s="40"/>
      <c r="W28" s="42"/>
      <c r="X28" s="42"/>
      <c r="Y28" s="43"/>
      <c r="Z28" s="42"/>
      <c r="AA28" s="43"/>
      <c r="AC28" s="1"/>
      <c r="AD28" s="1"/>
      <c r="AE28" s="1"/>
      <c r="AF28" s="1"/>
      <c r="AG28" s="1"/>
      <c r="AH28" s="1"/>
    </row>
    <row r="29" spans="2:34" ht="16" thickBot="1">
      <c r="B29" s="40"/>
      <c r="C29" s="71">
        <f t="shared" si="4"/>
        <v>5</v>
      </c>
      <c r="D29" s="42">
        <v>8.2063696044730285</v>
      </c>
      <c r="E29">
        <v>30.447700252352099</v>
      </c>
      <c r="F29" s="42"/>
      <c r="G29" s="79">
        <f t="shared" si="0"/>
        <v>3.7102521236377211</v>
      </c>
      <c r="H29" s="42"/>
      <c r="I29" s="79">
        <v>9.8298969970161867</v>
      </c>
      <c r="J29" s="42">
        <v>8.6938048175106299</v>
      </c>
      <c r="K29">
        <v>85.459205868292599</v>
      </c>
      <c r="L29" s="42"/>
      <c r="M29" s="82">
        <f t="shared" si="1"/>
        <v>2.1734512043776575</v>
      </c>
      <c r="N29" s="84">
        <f t="shared" si="1"/>
        <v>21.36480146707315</v>
      </c>
      <c r="O29" s="12"/>
      <c r="P29" s="86">
        <f t="shared" si="2"/>
        <v>5.2022756455082676E-3</v>
      </c>
      <c r="Q29" s="87">
        <f t="shared" si="3"/>
        <v>8.7172079767617629E-3</v>
      </c>
      <c r="R29" s="42"/>
      <c r="S29" s="88">
        <f t="shared" si="6"/>
        <v>0.15407832538895694</v>
      </c>
      <c r="T29" s="89">
        <f t="shared" si="6"/>
        <v>0.71215712566548139</v>
      </c>
      <c r="U29" s="42"/>
      <c r="V29" s="40"/>
      <c r="W29" s="42"/>
      <c r="X29" s="42"/>
      <c r="Y29" s="43"/>
      <c r="Z29" s="42"/>
      <c r="AA29" s="43"/>
      <c r="AC29" s="1"/>
      <c r="AD29" s="1"/>
      <c r="AE29" s="1"/>
      <c r="AF29" s="1"/>
      <c r="AG29" s="1"/>
      <c r="AH29" s="1"/>
    </row>
    <row r="30" spans="2:34" ht="16" thickBot="1">
      <c r="B30" s="40"/>
      <c r="C30" s="71">
        <f t="shared" si="4"/>
        <v>5.25</v>
      </c>
      <c r="D30" s="42">
        <v>19.9344003782161</v>
      </c>
      <c r="E30">
        <v>9.7416756086330896</v>
      </c>
      <c r="F30" s="42"/>
      <c r="G30" s="79">
        <f t="shared" si="0"/>
        <v>0.48868666344630013</v>
      </c>
      <c r="H30" s="42"/>
      <c r="I30" s="79">
        <v>9.7208198060868227</v>
      </c>
      <c r="J30" s="42">
        <v>15.019702639622402</v>
      </c>
      <c r="K30">
        <v>146.00382290077599</v>
      </c>
      <c r="L30" s="42"/>
      <c r="M30" s="82">
        <f t="shared" si="1"/>
        <v>3.7549256599056005</v>
      </c>
      <c r="N30" s="84">
        <f t="shared" si="1"/>
        <v>36.500955725193997</v>
      </c>
      <c r="O30" s="12"/>
      <c r="P30" s="86">
        <f t="shared" si="2"/>
        <v>8.9876222074257908E-3</v>
      </c>
      <c r="Q30" s="87">
        <f t="shared" si="3"/>
        <v>1.4893020321179642E-2</v>
      </c>
      <c r="R30" s="42"/>
      <c r="S30" s="88">
        <f t="shared" si="6"/>
        <v>0.16306594759638274</v>
      </c>
      <c r="T30" s="89">
        <f t="shared" si="6"/>
        <v>0.72705014598666107</v>
      </c>
      <c r="U30" s="42"/>
      <c r="V30" s="54"/>
      <c r="W30" s="55"/>
      <c r="X30" s="55"/>
      <c r="Y30" s="56"/>
      <c r="Z30" s="42"/>
      <c r="AA30" s="43"/>
      <c r="AC30" s="1"/>
      <c r="AD30" s="1"/>
      <c r="AE30" s="1"/>
      <c r="AF30" s="1"/>
      <c r="AG30" s="1"/>
      <c r="AH30" s="1"/>
    </row>
    <row r="31" spans="2:34" ht="16" thickBot="1">
      <c r="B31" s="40"/>
      <c r="C31" s="71">
        <f t="shared" si="4"/>
        <v>5.5</v>
      </c>
      <c r="D31" s="42">
        <v>12.3804738696043</v>
      </c>
      <c r="E31">
        <v>59.000814101963002</v>
      </c>
      <c r="F31" s="42"/>
      <c r="G31" s="79">
        <f t="shared" si="0"/>
        <v>4.7656345567529366</v>
      </c>
      <c r="H31" s="42"/>
      <c r="I31" s="79">
        <v>9.6985127383362872</v>
      </c>
      <c r="J31" s="42">
        <v>14.495676764747401</v>
      </c>
      <c r="K31">
        <v>140.586505753708</v>
      </c>
      <c r="L31" s="42"/>
      <c r="M31" s="82">
        <f t="shared" si="1"/>
        <v>3.6239191911868502</v>
      </c>
      <c r="N31" s="84">
        <f t="shared" si="1"/>
        <v>35.146626438426999</v>
      </c>
      <c r="O31" s="12"/>
      <c r="P31" s="86">
        <f t="shared" si="2"/>
        <v>8.6740509801321274E-3</v>
      </c>
      <c r="Q31" s="87">
        <f t="shared" si="3"/>
        <v>1.434043058240007E-2</v>
      </c>
      <c r="R31" s="42"/>
      <c r="S31" s="88">
        <f t="shared" si="6"/>
        <v>0.17173999857651487</v>
      </c>
      <c r="T31" s="89">
        <f t="shared" si="6"/>
        <v>0.74139057656906115</v>
      </c>
      <c r="U31" s="42"/>
      <c r="V31" s="113" t="s">
        <v>59</v>
      </c>
      <c r="W31" s="128"/>
      <c r="X31" s="42"/>
      <c r="Y31" s="42"/>
      <c r="Z31" s="42"/>
      <c r="AA31" s="43"/>
      <c r="AC31" s="1"/>
      <c r="AD31" s="1"/>
      <c r="AE31" s="1"/>
      <c r="AF31" s="1"/>
      <c r="AG31" s="1"/>
      <c r="AH31" s="1"/>
    </row>
    <row r="32" spans="2:34" ht="16" thickBot="1">
      <c r="B32" s="40"/>
      <c r="C32" s="71">
        <f t="shared" si="4"/>
        <v>5.75</v>
      </c>
      <c r="D32" s="42">
        <v>15.012158190427899</v>
      </c>
      <c r="E32">
        <v>48.039771554148899</v>
      </c>
      <c r="F32" s="42"/>
      <c r="G32" s="79">
        <f t="shared" si="0"/>
        <v>3.2000576429297269</v>
      </c>
      <c r="H32" s="42"/>
      <c r="I32" s="79">
        <v>9.4905302902117263</v>
      </c>
      <c r="J32" s="42">
        <v>9.5221380180195396</v>
      </c>
      <c r="K32">
        <v>90.370139287591101</v>
      </c>
      <c r="L32" s="42"/>
      <c r="M32" s="82">
        <f t="shared" si="1"/>
        <v>2.3805345045048849</v>
      </c>
      <c r="N32" s="84">
        <f t="shared" si="1"/>
        <v>22.592534821897775</v>
      </c>
      <c r="O32" s="12"/>
      <c r="P32" s="86">
        <f t="shared" si="2"/>
        <v>5.6979409756861442E-3</v>
      </c>
      <c r="Q32" s="87">
        <f t="shared" si="3"/>
        <v>9.2181443889492558E-3</v>
      </c>
      <c r="R32" s="42"/>
      <c r="S32" s="88">
        <f t="shared" si="6"/>
        <v>0.17743793955220102</v>
      </c>
      <c r="T32" s="89">
        <f t="shared" si="6"/>
        <v>0.75060872095801046</v>
      </c>
      <c r="U32" s="42"/>
      <c r="V32" s="112">
        <v>0</v>
      </c>
      <c r="W32" s="112">
        <v>0</v>
      </c>
      <c r="X32" s="42"/>
      <c r="Y32" s="42"/>
      <c r="Z32" s="42"/>
      <c r="AA32" s="43"/>
      <c r="AC32" s="1"/>
      <c r="AD32" s="1"/>
      <c r="AE32" s="1"/>
      <c r="AF32" s="1"/>
      <c r="AG32" s="1"/>
      <c r="AH32" s="1"/>
    </row>
    <row r="33" spans="2:34" ht="16" thickBot="1">
      <c r="B33" s="40"/>
      <c r="C33" s="71">
        <f t="shared" si="4"/>
        <v>6</v>
      </c>
      <c r="D33" s="42">
        <v>10.476711415933</v>
      </c>
      <c r="E33">
        <v>7.0503058118285802</v>
      </c>
      <c r="F33" s="42"/>
      <c r="G33" s="79">
        <f t="shared" si="0"/>
        <v>0.67295027341370339</v>
      </c>
      <c r="H33" s="42"/>
      <c r="I33" s="79">
        <v>9.3301795240104806</v>
      </c>
      <c r="J33" s="42">
        <v>8.364013646147141</v>
      </c>
      <c r="K33">
        <v>78.037748859826294</v>
      </c>
      <c r="L33" s="42"/>
      <c r="M33" s="82">
        <f t="shared" si="1"/>
        <v>2.0910034115367853</v>
      </c>
      <c r="N33" s="84">
        <f t="shared" si="1"/>
        <v>19.509437214956574</v>
      </c>
      <c r="O33" s="12"/>
      <c r="P33" s="86">
        <f t="shared" si="2"/>
        <v>5.0049322941332387E-3</v>
      </c>
      <c r="Q33" s="87">
        <f t="shared" si="3"/>
        <v>7.9601873190563513E-3</v>
      </c>
      <c r="R33" s="42"/>
      <c r="S33" s="88">
        <f t="shared" si="6"/>
        <v>0.18244287184633426</v>
      </c>
      <c r="T33" s="89">
        <f t="shared" si="6"/>
        <v>0.7585689082770668</v>
      </c>
      <c r="U33" s="42"/>
      <c r="V33" s="112">
        <v>1</v>
      </c>
      <c r="W33" s="112">
        <v>1</v>
      </c>
      <c r="X33" s="42"/>
      <c r="Y33" s="42"/>
      <c r="Z33" s="42"/>
      <c r="AA33" s="43"/>
      <c r="AC33" s="1"/>
      <c r="AD33" s="1"/>
      <c r="AE33" s="1"/>
      <c r="AF33" s="1"/>
      <c r="AG33" s="1"/>
      <c r="AH33" s="1"/>
    </row>
    <row r="34" spans="2:34" ht="16" thickBot="1">
      <c r="B34" s="40"/>
      <c r="C34" s="71">
        <f t="shared" si="4"/>
        <v>6.25</v>
      </c>
      <c r="D34" s="42">
        <v>10.4411458547302</v>
      </c>
      <c r="E34">
        <v>59.588216432917498</v>
      </c>
      <c r="F34" s="42"/>
      <c r="G34" s="79">
        <f t="shared" si="0"/>
        <v>5.7070571814607858</v>
      </c>
      <c r="H34" s="42"/>
      <c r="I34" s="79">
        <v>9.2667420017564393</v>
      </c>
      <c r="J34" s="42">
        <v>7.928080976615461</v>
      </c>
      <c r="K34">
        <v>73.467480979328698</v>
      </c>
      <c r="L34" s="42"/>
      <c r="M34" s="82">
        <f t="shared" si="1"/>
        <v>1.9820202441538652</v>
      </c>
      <c r="N34" s="84">
        <f t="shared" si="1"/>
        <v>18.366870244832175</v>
      </c>
      <c r="O34" s="12"/>
      <c r="P34" s="86">
        <f t="shared" si="2"/>
        <v>4.744075056434701E-3</v>
      </c>
      <c r="Q34" s="87">
        <f t="shared" si="3"/>
        <v>7.494000262682203E-3</v>
      </c>
      <c r="R34" s="42"/>
      <c r="S34" s="88">
        <f t="shared" si="6"/>
        <v>0.18718694690276896</v>
      </c>
      <c r="T34" s="89">
        <f t="shared" si="6"/>
        <v>0.76606290853974901</v>
      </c>
      <c r="U34" s="42"/>
      <c r="V34" s="51" t="s">
        <v>70</v>
      </c>
      <c r="W34" s="42"/>
      <c r="X34" s="42"/>
      <c r="Y34" s="42"/>
      <c r="Z34" s="42"/>
      <c r="AA34" s="43"/>
      <c r="AC34" s="1"/>
      <c r="AD34" s="1"/>
      <c r="AE34" s="1"/>
      <c r="AF34" s="1"/>
      <c r="AG34" s="1"/>
      <c r="AH34" s="1"/>
    </row>
    <row r="35" spans="2:34" ht="16" thickBot="1">
      <c r="B35" s="40"/>
      <c r="C35" s="71">
        <f t="shared" si="4"/>
        <v>6.5</v>
      </c>
      <c r="D35" s="42">
        <v>15.065620468742399</v>
      </c>
      <c r="E35">
        <v>5.3257744306277699</v>
      </c>
      <c r="F35" s="42"/>
      <c r="G35" s="79">
        <f t="shared" si="0"/>
        <v>0.35350515046343384</v>
      </c>
      <c r="H35" s="42"/>
      <c r="I35" s="79">
        <v>8.0858365443071367</v>
      </c>
      <c r="J35" s="42">
        <v>26.3864054105854</v>
      </c>
      <c r="K35">
        <v>213.35616114181499</v>
      </c>
      <c r="L35" s="42"/>
      <c r="M35" s="82">
        <f t="shared" si="1"/>
        <v>6.5966013526463501</v>
      </c>
      <c r="N35" s="84">
        <f t="shared" si="1"/>
        <v>53.339040285453748</v>
      </c>
      <c r="O35" s="12"/>
      <c r="P35" s="86">
        <f t="shared" si="2"/>
        <v>1.5789330117408996E-2</v>
      </c>
      <c r="Q35" s="87">
        <f t="shared" si="3"/>
        <v>2.1763249621849737E-2</v>
      </c>
      <c r="R35" s="42"/>
      <c r="S35" s="88">
        <f t="shared" si="6"/>
        <v>0.20297627702017795</v>
      </c>
      <c r="T35" s="89">
        <f t="shared" si="6"/>
        <v>0.78782615816159873</v>
      </c>
      <c r="U35" s="42"/>
      <c r="V35" s="94" t="s">
        <v>60</v>
      </c>
      <c r="W35" s="76"/>
      <c r="X35" s="76"/>
      <c r="Y35" s="77"/>
      <c r="Z35" s="42"/>
      <c r="AA35" s="43"/>
      <c r="AC35" s="1"/>
      <c r="AD35" s="1"/>
      <c r="AE35" s="1"/>
      <c r="AF35" s="1"/>
      <c r="AG35" s="1"/>
      <c r="AH35" s="1"/>
    </row>
    <row r="36" spans="2:34" ht="16" thickBot="1">
      <c r="B36" s="40"/>
      <c r="C36" s="71">
        <f t="shared" si="4"/>
        <v>6.75</v>
      </c>
      <c r="D36" s="42">
        <v>12.8526721774429</v>
      </c>
      <c r="E36">
        <v>68.855510285254596</v>
      </c>
      <c r="F36" s="42"/>
      <c r="G36" s="79">
        <f t="shared" si="0"/>
        <v>5.3572914126059761</v>
      </c>
      <c r="H36" s="42"/>
      <c r="I36" s="79">
        <v>7.7000797803181333</v>
      </c>
      <c r="J36" s="42">
        <v>9.67992131424894</v>
      </c>
      <c r="K36">
        <v>74.536166386918794</v>
      </c>
      <c r="L36" s="42"/>
      <c r="M36" s="82">
        <f t="shared" si="1"/>
        <v>2.419980328562235</v>
      </c>
      <c r="N36" s="84">
        <f t="shared" si="1"/>
        <v>18.634041596729698</v>
      </c>
      <c r="O36" s="12"/>
      <c r="P36" s="86">
        <f t="shared" si="2"/>
        <v>5.7923567368485E-3</v>
      </c>
      <c r="Q36" s="87">
        <f t="shared" si="3"/>
        <v>7.6030107884066146E-3</v>
      </c>
      <c r="R36" s="42"/>
      <c r="S36" s="88">
        <f t="shared" si="6"/>
        <v>0.20876863375702645</v>
      </c>
      <c r="T36" s="89">
        <f t="shared" si="6"/>
        <v>0.79542916895000537</v>
      </c>
      <c r="U36" s="42"/>
      <c r="V36" s="116" t="s">
        <v>78</v>
      </c>
      <c r="W36" s="95">
        <f>INDEX(LINEST(y,x^{1,2,3},FALSE),1)</f>
        <v>5.7334434349270227</v>
      </c>
      <c r="X36" s="38"/>
      <c r="Y36" s="39"/>
      <c r="Z36" s="42"/>
      <c r="AA36" s="43"/>
      <c r="AC36" s="1"/>
      <c r="AD36" s="1"/>
      <c r="AE36" s="1"/>
      <c r="AF36" s="1"/>
      <c r="AG36" s="1"/>
      <c r="AH36" s="1"/>
    </row>
    <row r="37" spans="2:34" ht="16" thickBot="1">
      <c r="B37" s="40"/>
      <c r="C37" s="71">
        <f t="shared" si="4"/>
        <v>7</v>
      </c>
      <c r="D37" s="42">
        <v>14.640084661753001</v>
      </c>
      <c r="E37">
        <v>27.5023851593762</v>
      </c>
      <c r="F37" s="42"/>
      <c r="G37" s="79">
        <f t="shared" si="0"/>
        <v>1.8785673576892465</v>
      </c>
      <c r="H37" s="42"/>
      <c r="I37" s="79">
        <v>7.5281040403146191</v>
      </c>
      <c r="J37" s="42">
        <v>23.791486487805997</v>
      </c>
      <c r="K37">
        <v>179.104785553943</v>
      </c>
      <c r="L37" s="42"/>
      <c r="M37" s="82">
        <f t="shared" si="1"/>
        <v>5.9478716219514993</v>
      </c>
      <c r="N37" s="84">
        <f t="shared" si="1"/>
        <v>44.776196388485751</v>
      </c>
      <c r="O37" s="12"/>
      <c r="P37" s="86">
        <f t="shared" si="2"/>
        <v>1.4236559633437024E-2</v>
      </c>
      <c r="Q37" s="87">
        <f t="shared" si="3"/>
        <v>1.8269461428336464E-2</v>
      </c>
      <c r="R37" s="42"/>
      <c r="S37" s="88">
        <f t="shared" si="6"/>
        <v>0.22300519339046349</v>
      </c>
      <c r="T37" s="89">
        <f t="shared" si="6"/>
        <v>0.81369863037834178</v>
      </c>
      <c r="U37" s="42"/>
      <c r="V37" s="117" t="s">
        <v>80</v>
      </c>
      <c r="W37" s="96">
        <f>INDEX(LINEST(y,x^{1,2,3},FALSE),1,2)</f>
        <v>-10.157748284089077</v>
      </c>
      <c r="X37" s="42"/>
      <c r="Y37" s="43"/>
      <c r="Z37" s="42"/>
      <c r="AA37" s="43"/>
      <c r="AC37" s="1"/>
      <c r="AD37" s="1"/>
      <c r="AE37" s="1"/>
      <c r="AF37" s="1"/>
      <c r="AG37" s="1"/>
      <c r="AH37" s="1"/>
    </row>
    <row r="38" spans="2:34" ht="16" thickBot="1">
      <c r="B38" s="40"/>
      <c r="C38" s="71">
        <f t="shared" si="4"/>
        <v>7.25</v>
      </c>
      <c r="D38" s="42">
        <v>13.4580822352867</v>
      </c>
      <c r="E38">
        <v>4.1906394013288502</v>
      </c>
      <c r="F38" s="42"/>
      <c r="G38" s="79">
        <f t="shared" si="0"/>
        <v>0.3113845886853861</v>
      </c>
      <c r="H38" s="42"/>
      <c r="I38" s="79">
        <v>7.4211596832356097</v>
      </c>
      <c r="J38" s="42">
        <v>9.5020933780409287</v>
      </c>
      <c r="K38">
        <v>70.516552283457401</v>
      </c>
      <c r="L38" s="42"/>
      <c r="M38" s="82">
        <f t="shared" si="1"/>
        <v>2.3755233445102322</v>
      </c>
      <c r="N38" s="84">
        <f t="shared" si="1"/>
        <v>17.62913807086435</v>
      </c>
      <c r="O38" s="12"/>
      <c r="P38" s="86">
        <f t="shared" si="2"/>
        <v>5.6859464871310663E-3</v>
      </c>
      <c r="Q38" s="87">
        <f t="shared" si="3"/>
        <v>7.192992794789869E-3</v>
      </c>
      <c r="R38" s="42"/>
      <c r="S38" s="88">
        <f t="shared" si="6"/>
        <v>0.22869113987759454</v>
      </c>
      <c r="T38" s="89">
        <f t="shared" si="6"/>
        <v>0.82089162317313169</v>
      </c>
      <c r="U38" s="42"/>
      <c r="V38" s="118" t="s">
        <v>79</v>
      </c>
      <c r="W38" s="97">
        <f>INDEX(LINEST(y,x^{1,2,3},FALSE),1,3)</f>
        <v>5.6497177527579119</v>
      </c>
      <c r="X38" s="55"/>
      <c r="Y38" s="56"/>
      <c r="Z38" s="42"/>
      <c r="AA38" s="43"/>
      <c r="AC38" s="1"/>
      <c r="AD38" s="1"/>
      <c r="AE38" s="1"/>
      <c r="AF38" s="1"/>
      <c r="AG38" s="1"/>
      <c r="AH38" s="1"/>
    </row>
    <row r="39" spans="2:34" ht="16" thickBot="1">
      <c r="B39" s="40"/>
      <c r="C39" s="71">
        <f t="shared" si="4"/>
        <v>7.5</v>
      </c>
      <c r="D39" s="42">
        <v>8.6938048175106299</v>
      </c>
      <c r="E39">
        <v>85.459205868292599</v>
      </c>
      <c r="F39" s="42"/>
      <c r="G39" s="79">
        <f t="shared" si="0"/>
        <v>9.8298969970161867</v>
      </c>
      <c r="H39" s="42"/>
      <c r="I39" s="79">
        <v>7.1449519583210304</v>
      </c>
      <c r="J39" s="42">
        <v>10.874537588098999</v>
      </c>
      <c r="K39">
        <v>77.698048635923598</v>
      </c>
      <c r="L39" s="42"/>
      <c r="M39" s="82">
        <f t="shared" si="1"/>
        <v>2.7186343970247497</v>
      </c>
      <c r="N39" s="84">
        <f t="shared" si="1"/>
        <v>19.4245121589809</v>
      </c>
      <c r="O39" s="12"/>
      <c r="P39" s="86">
        <f t="shared" si="2"/>
        <v>6.5072017647309537E-3</v>
      </c>
      <c r="Q39" s="87">
        <f t="shared" si="3"/>
        <v>7.9255364295304637E-3</v>
      </c>
      <c r="R39" s="42"/>
      <c r="S39" s="88">
        <f t="shared" si="6"/>
        <v>0.2351983416423255</v>
      </c>
      <c r="T39" s="89">
        <f t="shared" si="6"/>
        <v>0.82881715960266211</v>
      </c>
      <c r="U39" s="42"/>
      <c r="V39" s="110"/>
      <c r="W39" s="96"/>
      <c r="X39" s="42"/>
      <c r="Y39" s="42"/>
      <c r="Z39" s="42"/>
      <c r="AA39" s="43"/>
      <c r="AC39" s="1"/>
      <c r="AD39" s="1"/>
      <c r="AE39" s="1"/>
      <c r="AF39" s="1"/>
      <c r="AG39" s="1"/>
      <c r="AH39" s="1"/>
    </row>
    <row r="40" spans="2:34" ht="16" thickBot="1">
      <c r="B40" s="40"/>
      <c r="C40" s="71">
        <f t="shared" si="4"/>
        <v>7.75</v>
      </c>
      <c r="D40" s="42">
        <v>21.241897403923801</v>
      </c>
      <c r="E40">
        <v>69.711534032305593</v>
      </c>
      <c r="F40" s="42"/>
      <c r="G40" s="79">
        <f t="shared" si="0"/>
        <v>3.2817941216225104</v>
      </c>
      <c r="H40" s="42"/>
      <c r="I40" s="79">
        <v>6.1281902470192149</v>
      </c>
      <c r="J40" s="42">
        <v>13.922142564302801</v>
      </c>
      <c r="K40">
        <v>85.317538280171505</v>
      </c>
      <c r="L40" s="42"/>
      <c r="M40" s="82">
        <f t="shared" si="1"/>
        <v>3.4805356410757002</v>
      </c>
      <c r="N40" s="84">
        <f t="shared" si="1"/>
        <v>21.329384570042876</v>
      </c>
      <c r="O40" s="12"/>
      <c r="P40" s="86">
        <f t="shared" si="2"/>
        <v>8.3308545240960517E-3</v>
      </c>
      <c r="Q40" s="87">
        <f t="shared" si="3"/>
        <v>8.7027572711102143E-3</v>
      </c>
      <c r="R40" s="42"/>
      <c r="S40" s="88">
        <f t="shared" si="6"/>
        <v>0.24352919616642155</v>
      </c>
      <c r="T40" s="89">
        <f t="shared" si="6"/>
        <v>0.83751991687377236</v>
      </c>
      <c r="U40" s="42"/>
      <c r="V40" s="94" t="s">
        <v>84</v>
      </c>
      <c r="W40" s="67"/>
      <c r="X40" s="67"/>
      <c r="Y40" s="68"/>
      <c r="Z40" s="42"/>
      <c r="AA40" s="43"/>
      <c r="AC40" s="1"/>
      <c r="AD40" s="1"/>
      <c r="AE40" s="1"/>
      <c r="AF40" s="1"/>
      <c r="AG40" s="1"/>
      <c r="AH40" s="1"/>
    </row>
    <row r="41" spans="2:34" ht="16" thickBot="1">
      <c r="B41" s="40"/>
      <c r="C41" s="71">
        <f t="shared" si="4"/>
        <v>8</v>
      </c>
      <c r="D41" s="42">
        <v>11.570140268124501</v>
      </c>
      <c r="E41">
        <v>2.0575639765788201</v>
      </c>
      <c r="F41" s="42"/>
      <c r="G41" s="79">
        <f t="shared" si="0"/>
        <v>0.17783396993443257</v>
      </c>
      <c r="H41" s="42"/>
      <c r="I41" s="79">
        <v>5.7070571814607858</v>
      </c>
      <c r="J41" s="42">
        <v>10.4411458547302</v>
      </c>
      <c r="K41">
        <v>59.588216432917498</v>
      </c>
      <c r="L41" s="42"/>
      <c r="M41" s="82">
        <f t="shared" si="1"/>
        <v>2.61028646368255</v>
      </c>
      <c r="N41" s="84">
        <f t="shared" si="1"/>
        <v>14.897054108229375</v>
      </c>
      <c r="O41" s="12"/>
      <c r="P41" s="86">
        <f t="shared" si="2"/>
        <v>6.2478649948361472E-3</v>
      </c>
      <c r="Q41" s="87">
        <f t="shared" si="3"/>
        <v>6.0782553539122045E-3</v>
      </c>
      <c r="R41" s="42"/>
      <c r="S41" s="88">
        <f t="shared" si="6"/>
        <v>0.2497770611612577</v>
      </c>
      <c r="T41" s="89">
        <f t="shared" si="6"/>
        <v>0.84359817222768452</v>
      </c>
      <c r="U41" s="42"/>
      <c r="V41" s="42"/>
      <c r="W41" s="42"/>
      <c r="X41" s="42"/>
      <c r="Y41" s="42"/>
      <c r="Z41" s="42"/>
      <c r="AA41" s="43"/>
      <c r="AC41" s="1"/>
      <c r="AD41" s="1"/>
      <c r="AE41" s="1"/>
      <c r="AF41" s="1"/>
      <c r="AG41" s="1"/>
      <c r="AH41" s="1"/>
    </row>
    <row r="42" spans="2:34" ht="16" thickBot="1">
      <c r="B42" s="40"/>
      <c r="C42" s="71">
        <f t="shared" si="4"/>
        <v>8.25</v>
      </c>
      <c r="D42" s="42">
        <v>12.5828150581836</v>
      </c>
      <c r="E42">
        <v>9.4858632658019498E-2</v>
      </c>
      <c r="F42" s="42"/>
      <c r="G42" s="79">
        <f t="shared" si="0"/>
        <v>7.5387448849393544E-3</v>
      </c>
      <c r="H42" s="42"/>
      <c r="I42" s="79">
        <v>5.5696345082552092</v>
      </c>
      <c r="J42" s="42">
        <v>12.077494130482901</v>
      </c>
      <c r="K42">
        <v>67.267228082387305</v>
      </c>
      <c r="L42" s="42"/>
      <c r="M42" s="82">
        <f t="shared" si="1"/>
        <v>3.0193735326207252</v>
      </c>
      <c r="N42" s="84">
        <f t="shared" si="1"/>
        <v>16.816807020596826</v>
      </c>
      <c r="O42" s="12"/>
      <c r="P42" s="86">
        <f t="shared" si="2"/>
        <v>7.2270375160977006E-3</v>
      </c>
      <c r="Q42" s="87">
        <f t="shared" si="3"/>
        <v>6.8615476970164697E-3</v>
      </c>
      <c r="R42" s="42"/>
      <c r="S42" s="88">
        <f t="shared" si="6"/>
        <v>0.25700409867735541</v>
      </c>
      <c r="T42" s="89">
        <f t="shared" si="6"/>
        <v>0.85045971992470104</v>
      </c>
      <c r="U42" s="42"/>
      <c r="V42" s="9"/>
      <c r="W42" s="9"/>
      <c r="X42" s="9"/>
      <c r="Y42" s="9"/>
      <c r="Z42" s="42"/>
      <c r="AA42" s="43"/>
      <c r="AC42" s="1"/>
      <c r="AD42" s="1"/>
      <c r="AE42" s="1"/>
      <c r="AF42" s="1"/>
      <c r="AG42" s="1"/>
      <c r="AH42" s="1"/>
    </row>
    <row r="43" spans="2:34" ht="16" thickBot="1">
      <c r="B43" s="40"/>
      <c r="C43" s="71">
        <f t="shared" si="4"/>
        <v>8.5</v>
      </c>
      <c r="D43" s="42">
        <v>13.6277935670988</v>
      </c>
      <c r="E43">
        <v>57.707153062290601</v>
      </c>
      <c r="F43" s="42"/>
      <c r="G43" s="79">
        <f t="shared" si="0"/>
        <v>4.2345191668893021</v>
      </c>
      <c r="H43" s="42"/>
      <c r="I43" s="79">
        <v>5.3572914126059761</v>
      </c>
      <c r="J43" s="42">
        <v>12.8526721774429</v>
      </c>
      <c r="K43">
        <v>68.855510285254596</v>
      </c>
      <c r="L43" s="42"/>
      <c r="M43" s="82">
        <f t="shared" si="1"/>
        <v>3.2131680443607249</v>
      </c>
      <c r="N43" s="84">
        <f t="shared" si="1"/>
        <v>17.213877571313649</v>
      </c>
      <c r="O43" s="12"/>
      <c r="P43" s="86">
        <f t="shared" si="2"/>
        <v>7.6908953964253358E-3</v>
      </c>
      <c r="Q43" s="87">
        <f t="shared" si="3"/>
        <v>7.0235593392674123E-3</v>
      </c>
      <c r="R43" s="42"/>
      <c r="S43" s="88">
        <f t="shared" si="6"/>
        <v>0.26469499407378072</v>
      </c>
      <c r="T43" s="89">
        <f t="shared" si="6"/>
        <v>0.8574832792639685</v>
      </c>
      <c r="U43" s="42"/>
      <c r="V43" s="9"/>
      <c r="W43" s="9"/>
      <c r="X43" s="9"/>
      <c r="Y43" s="9"/>
      <c r="Z43" s="42"/>
      <c r="AA43" s="43"/>
      <c r="AC43" s="1"/>
      <c r="AD43" s="1"/>
      <c r="AE43" s="1"/>
      <c r="AF43" s="1"/>
      <c r="AG43" s="1"/>
      <c r="AH43" s="1"/>
    </row>
    <row r="44" spans="2:34" ht="16" thickBot="1">
      <c r="B44" s="40"/>
      <c r="C44" s="71">
        <f t="shared" si="4"/>
        <v>8.75</v>
      </c>
      <c r="D44" s="42">
        <v>12.930432284805802</v>
      </c>
      <c r="E44">
        <v>2.4982383149580998</v>
      </c>
      <c r="F44" s="42"/>
      <c r="G44" s="79">
        <f t="shared" si="0"/>
        <v>0.19320609395972874</v>
      </c>
      <c r="H44" s="42"/>
      <c r="I44" s="79">
        <v>4.9216416353491956</v>
      </c>
      <c r="J44" s="42">
        <v>13.330992704942398</v>
      </c>
      <c r="K44">
        <v>65.610368737180906</v>
      </c>
      <c r="L44" s="42"/>
      <c r="M44" s="82">
        <f t="shared" si="1"/>
        <v>3.3327481762355995</v>
      </c>
      <c r="N44" s="84">
        <f t="shared" si="1"/>
        <v>16.402592184295226</v>
      </c>
      <c r="O44" s="12"/>
      <c r="P44" s="86">
        <f t="shared" si="2"/>
        <v>7.9771170546278983E-3</v>
      </c>
      <c r="Q44" s="87">
        <f t="shared" si="3"/>
        <v>6.6925408901586467E-3</v>
      </c>
      <c r="R44" s="42"/>
      <c r="S44" s="88">
        <f t="shared" ref="S44:T59" si="7">P44+S43</f>
        <v>0.27267211112840861</v>
      </c>
      <c r="T44" s="89">
        <f t="shared" si="7"/>
        <v>0.86417582015412719</v>
      </c>
      <c r="U44" s="42"/>
      <c r="V44" s="42"/>
      <c r="W44" s="42"/>
      <c r="X44" s="42"/>
      <c r="Y44" s="42"/>
      <c r="Z44" s="42"/>
      <c r="AA44" s="43"/>
      <c r="AC44" s="1"/>
      <c r="AD44" s="1"/>
      <c r="AE44" s="1"/>
      <c r="AF44" s="1"/>
      <c r="AG44" s="1"/>
      <c r="AH44" s="1"/>
    </row>
    <row r="45" spans="2:34" ht="16" thickBot="1">
      <c r="B45" s="40"/>
      <c r="C45" s="71">
        <f t="shared" si="4"/>
        <v>9</v>
      </c>
      <c r="D45" s="42">
        <v>26.3864054105854</v>
      </c>
      <c r="E45">
        <v>213.35616114181499</v>
      </c>
      <c r="F45" s="42"/>
      <c r="G45" s="79">
        <f t="shared" si="0"/>
        <v>8.0858365443071367</v>
      </c>
      <c r="H45" s="42"/>
      <c r="I45" s="79">
        <v>4.7656345567529366</v>
      </c>
      <c r="J45" s="42">
        <v>12.3804738696043</v>
      </c>
      <c r="K45">
        <v>59.000814101963002</v>
      </c>
      <c r="L45" s="42"/>
      <c r="M45" s="82">
        <f t="shared" si="1"/>
        <v>3.095118467401075</v>
      </c>
      <c r="N45" s="84">
        <f t="shared" si="1"/>
        <v>14.75020352549075</v>
      </c>
      <c r="O45" s="12"/>
      <c r="P45" s="86">
        <f t="shared" si="2"/>
        <v>7.4083372060492203E-3</v>
      </c>
      <c r="Q45" s="87">
        <f t="shared" si="3"/>
        <v>6.0183377799897814E-3</v>
      </c>
      <c r="R45" s="42"/>
      <c r="S45" s="88">
        <f t="shared" si="7"/>
        <v>0.28008044833445783</v>
      </c>
      <c r="T45" s="89">
        <f t="shared" si="7"/>
        <v>0.87019415793411703</v>
      </c>
      <c r="U45" s="42"/>
      <c r="W45" s="42"/>
      <c r="X45" s="42"/>
      <c r="Y45" s="42"/>
      <c r="Z45" s="42"/>
      <c r="AA45" s="43"/>
      <c r="AC45" s="1"/>
      <c r="AD45" s="1"/>
      <c r="AE45" s="1"/>
      <c r="AF45" s="1"/>
      <c r="AG45" s="1"/>
      <c r="AH45" s="1"/>
    </row>
    <row r="46" spans="2:34" ht="16" thickBot="1">
      <c r="B46" s="40"/>
      <c r="C46" s="71">
        <f t="shared" si="4"/>
        <v>9.25</v>
      </c>
      <c r="D46" s="42">
        <v>14.454452448933699</v>
      </c>
      <c r="E46">
        <v>24.270632594226999</v>
      </c>
      <c r="F46" s="42"/>
      <c r="G46" s="79">
        <f t="shared" si="0"/>
        <v>1.6791111721438772</v>
      </c>
      <c r="H46" s="42"/>
      <c r="I46" s="79">
        <v>4.2345191668893021</v>
      </c>
      <c r="J46" s="42">
        <v>13.6277935670988</v>
      </c>
      <c r="K46">
        <v>57.707153062290601</v>
      </c>
      <c r="L46" s="42"/>
      <c r="M46" s="82">
        <f t="shared" si="1"/>
        <v>3.4069483917747001</v>
      </c>
      <c r="N46" s="84">
        <f t="shared" si="1"/>
        <v>14.42678826557265</v>
      </c>
      <c r="O46" s="12"/>
      <c r="P46" s="86">
        <f t="shared" si="2"/>
        <v>8.1547193736553718E-3</v>
      </c>
      <c r="Q46" s="87">
        <f t="shared" si="3"/>
        <v>5.8863787684394269E-3</v>
      </c>
      <c r="R46" s="42"/>
      <c r="S46" s="88">
        <f t="shared" si="7"/>
        <v>0.28823516770811319</v>
      </c>
      <c r="T46" s="89">
        <f t="shared" si="7"/>
        <v>0.87608053670255648</v>
      </c>
      <c r="U46" s="42"/>
      <c r="V46" s="9"/>
      <c r="W46" s="9"/>
      <c r="X46" s="9"/>
      <c r="Y46" s="9"/>
      <c r="Z46" s="9"/>
      <c r="AA46" s="43"/>
      <c r="AC46" s="1"/>
      <c r="AD46" s="1"/>
      <c r="AE46" s="1"/>
      <c r="AF46" s="1"/>
      <c r="AG46" s="1"/>
      <c r="AH46" s="1"/>
    </row>
    <row r="47" spans="2:34" ht="16" thickBot="1">
      <c r="B47" s="40"/>
      <c r="C47" s="71">
        <f t="shared" si="4"/>
        <v>9.5</v>
      </c>
      <c r="D47" s="42">
        <v>14.9180089199706</v>
      </c>
      <c r="E47">
        <v>44.403996180852701</v>
      </c>
      <c r="F47" s="42"/>
      <c r="G47" s="79">
        <f t="shared" si="0"/>
        <v>2.9765363741946476</v>
      </c>
      <c r="H47" s="42"/>
      <c r="I47" s="79">
        <v>3.9181729558437794</v>
      </c>
      <c r="J47" s="42">
        <v>15.819415128188899</v>
      </c>
      <c r="K47">
        <v>61.983204532535702</v>
      </c>
      <c r="L47" s="42"/>
      <c r="M47" s="82">
        <f t="shared" si="1"/>
        <v>3.9548537820472247</v>
      </c>
      <c r="N47" s="84">
        <f t="shared" si="1"/>
        <v>15.495801133133925</v>
      </c>
      <c r="O47" s="12"/>
      <c r="P47" s="86">
        <f t="shared" si="2"/>
        <v>9.4661612234270224E-3</v>
      </c>
      <c r="Q47" s="87">
        <f t="shared" si="3"/>
        <v>6.3225544806606712E-3</v>
      </c>
      <c r="R47" s="42"/>
      <c r="S47" s="88">
        <f t="shared" si="7"/>
        <v>0.29770132893154022</v>
      </c>
      <c r="T47" s="89">
        <f t="shared" si="7"/>
        <v>0.88240309118321714</v>
      </c>
      <c r="U47" s="42"/>
      <c r="V47" s="9"/>
      <c r="W47" s="9"/>
      <c r="X47" s="9"/>
      <c r="Y47" s="9"/>
      <c r="Z47" s="9"/>
      <c r="AA47" s="43"/>
      <c r="AC47" s="1"/>
      <c r="AD47" s="1"/>
      <c r="AE47" s="1"/>
      <c r="AF47" s="1"/>
      <c r="AG47" s="1"/>
      <c r="AH47" s="1"/>
    </row>
    <row r="48" spans="2:34" ht="16" thickBot="1">
      <c r="B48" s="40"/>
      <c r="C48" s="71">
        <f t="shared" si="4"/>
        <v>9.75</v>
      </c>
      <c r="D48" s="42">
        <v>22.141084289666498</v>
      </c>
      <c r="E48">
        <v>5.1124845516781896</v>
      </c>
      <c r="F48" s="42"/>
      <c r="G48" s="79">
        <f t="shared" si="0"/>
        <v>0.23090488635483158</v>
      </c>
      <c r="H48" s="42"/>
      <c r="I48" s="79">
        <v>3.7848065824159374</v>
      </c>
      <c r="J48" s="42">
        <v>11.3129886768753</v>
      </c>
      <c r="K48">
        <v>42.817474011034598</v>
      </c>
      <c r="L48" s="42"/>
      <c r="M48" s="82">
        <f t="shared" si="1"/>
        <v>2.8282471692188249</v>
      </c>
      <c r="N48" s="84">
        <f t="shared" si="1"/>
        <v>10.704368502758649</v>
      </c>
      <c r="O48" s="12"/>
      <c r="P48" s="86">
        <f t="shared" si="2"/>
        <v>6.7695659963609729E-3</v>
      </c>
      <c r="Q48" s="87">
        <f t="shared" si="3"/>
        <v>4.3675672176151648E-3</v>
      </c>
      <c r="R48" s="42"/>
      <c r="S48" s="88">
        <f t="shared" si="7"/>
        <v>0.30447089492790119</v>
      </c>
      <c r="T48" s="89">
        <f t="shared" si="7"/>
        <v>0.88677065840083236</v>
      </c>
      <c r="U48" s="42"/>
      <c r="V48" s="9"/>
      <c r="W48" s="9"/>
      <c r="X48" s="9"/>
      <c r="Y48" s="9"/>
      <c r="Z48" s="9"/>
      <c r="AA48" s="43"/>
      <c r="AC48" s="1"/>
      <c r="AD48" s="1"/>
      <c r="AE48" s="1"/>
      <c r="AF48" s="1"/>
      <c r="AG48" s="1"/>
      <c r="AH48" s="1"/>
    </row>
    <row r="49" spans="2:34" ht="16" thickBot="1">
      <c r="B49" s="40"/>
      <c r="C49" s="71">
        <f t="shared" si="4"/>
        <v>10</v>
      </c>
      <c r="D49" s="42">
        <v>10.9433101458536</v>
      </c>
      <c r="E49">
        <v>5.0543500665430203</v>
      </c>
      <c r="F49" s="42"/>
      <c r="G49" s="79">
        <f t="shared" si="0"/>
        <v>0.46186665635699858</v>
      </c>
      <c r="H49" s="42"/>
      <c r="I49" s="79">
        <v>3.7102521236377211</v>
      </c>
      <c r="J49" s="42">
        <v>8.2063696044730285</v>
      </c>
      <c r="K49">
        <v>30.447700252352099</v>
      </c>
      <c r="L49" s="42"/>
      <c r="M49" s="82">
        <f t="shared" si="1"/>
        <v>2.0515924011182571</v>
      </c>
      <c r="N49" s="84">
        <f t="shared" si="1"/>
        <v>7.6119250630880249</v>
      </c>
      <c r="O49" s="12"/>
      <c r="P49" s="86">
        <f t="shared" si="2"/>
        <v>4.9105998613405326E-3</v>
      </c>
      <c r="Q49" s="87">
        <f t="shared" si="3"/>
        <v>3.1057968865625934E-3</v>
      </c>
      <c r="R49" s="42"/>
      <c r="S49" s="88">
        <f t="shared" si="7"/>
        <v>0.30938149478924171</v>
      </c>
      <c r="T49" s="89">
        <f t="shared" si="7"/>
        <v>0.8898764552873949</v>
      </c>
      <c r="U49" s="42"/>
      <c r="V49" s="9"/>
      <c r="W49" s="9"/>
      <c r="X49" s="9"/>
      <c r="Y49" s="9"/>
      <c r="Z49" s="9"/>
      <c r="AA49" s="43"/>
      <c r="AC49" s="1"/>
      <c r="AD49" s="1"/>
      <c r="AE49" s="1"/>
      <c r="AF49" s="1"/>
      <c r="AG49" s="1"/>
      <c r="AH49" s="1"/>
    </row>
    <row r="50" spans="2:34" ht="16" thickBot="1">
      <c r="B50" s="40"/>
      <c r="C50" s="71">
        <f t="shared" si="4"/>
        <v>10.25</v>
      </c>
      <c r="D50" s="42">
        <v>15.514893397667501</v>
      </c>
      <c r="E50">
        <v>40.398750035197097</v>
      </c>
      <c r="F50" s="42"/>
      <c r="G50" s="79">
        <f t="shared" si="0"/>
        <v>2.6038690050729332</v>
      </c>
      <c r="H50" s="42"/>
      <c r="I50" s="79">
        <v>3.699898267500723</v>
      </c>
      <c r="J50" s="42">
        <v>17.899387299911201</v>
      </c>
      <c r="K50">
        <v>66.225912060265898</v>
      </c>
      <c r="L50" s="42"/>
      <c r="M50" s="82">
        <f t="shared" si="1"/>
        <v>4.4748468249778002</v>
      </c>
      <c r="N50" s="84">
        <f t="shared" si="1"/>
        <v>16.556478015066475</v>
      </c>
      <c r="O50" s="12"/>
      <c r="P50" s="86">
        <f t="shared" si="2"/>
        <v>1.0710793326334551E-2</v>
      </c>
      <c r="Q50" s="87">
        <f t="shared" si="3"/>
        <v>6.7553289667797722E-3</v>
      </c>
      <c r="R50" s="42"/>
      <c r="S50" s="88">
        <f t="shared" si="7"/>
        <v>0.32009228811557627</v>
      </c>
      <c r="T50" s="89">
        <f t="shared" si="7"/>
        <v>0.89663178425417467</v>
      </c>
      <c r="U50" s="42"/>
      <c r="V50" s="9"/>
      <c r="W50" s="9"/>
      <c r="X50" s="9"/>
      <c r="Y50" s="9"/>
      <c r="Z50" s="9"/>
      <c r="AA50" s="43"/>
      <c r="AC50" s="1"/>
      <c r="AD50" s="1"/>
      <c r="AE50" s="1"/>
      <c r="AF50" s="1"/>
      <c r="AG50" s="1"/>
      <c r="AH50" s="1"/>
    </row>
    <row r="51" spans="2:34" ht="16" thickBot="1">
      <c r="B51" s="40"/>
      <c r="C51" s="71">
        <f t="shared" si="4"/>
        <v>10.5</v>
      </c>
      <c r="D51" s="42">
        <v>14.264321727019599</v>
      </c>
      <c r="E51">
        <v>36.9497217392747</v>
      </c>
      <c r="F51" s="42"/>
      <c r="G51" s="79">
        <f t="shared" si="0"/>
        <v>2.5903595310307832</v>
      </c>
      <c r="H51" s="42"/>
      <c r="I51" s="79">
        <v>3.5689765617803744</v>
      </c>
      <c r="J51" s="42">
        <v>19.990660124774802</v>
      </c>
      <c r="K51">
        <v>71.346197439838804</v>
      </c>
      <c r="L51" s="42"/>
      <c r="M51" s="82">
        <f t="shared" si="1"/>
        <v>4.9976650311937005</v>
      </c>
      <c r="N51" s="84">
        <f t="shared" si="1"/>
        <v>17.836549359959701</v>
      </c>
      <c r="O51" s="12"/>
      <c r="P51" s="86">
        <f t="shared" si="2"/>
        <v>1.196218761379181E-2</v>
      </c>
      <c r="Q51" s="87">
        <f t="shared" si="3"/>
        <v>7.2776201828121233E-3</v>
      </c>
      <c r="R51" s="42"/>
      <c r="S51" s="88">
        <f t="shared" si="7"/>
        <v>0.33205447572936808</v>
      </c>
      <c r="T51" s="89">
        <f t="shared" si="7"/>
        <v>0.90390940443698675</v>
      </c>
      <c r="U51" s="42"/>
      <c r="V51" s="9"/>
      <c r="W51" s="9"/>
      <c r="X51" s="9"/>
      <c r="Y51" s="9"/>
      <c r="Z51" s="9"/>
      <c r="AA51" s="43"/>
      <c r="AC51" s="1"/>
      <c r="AD51" s="1"/>
      <c r="AE51" s="1"/>
      <c r="AF51" s="1"/>
      <c r="AG51" s="1"/>
      <c r="AH51" s="1"/>
    </row>
    <row r="52" spans="2:34" ht="16" thickBot="1">
      <c r="B52" s="40"/>
      <c r="C52" s="71">
        <f t="shared" si="4"/>
        <v>10.75</v>
      </c>
      <c r="D52" s="42">
        <v>10.529912507642999</v>
      </c>
      <c r="E52">
        <v>207.333950912429</v>
      </c>
      <c r="F52" s="42"/>
      <c r="G52" s="79">
        <f t="shared" si="0"/>
        <v>19.689997496364605</v>
      </c>
      <c r="H52" s="42"/>
      <c r="I52" s="79">
        <v>3.2817941216225104</v>
      </c>
      <c r="J52" s="42">
        <v>21.241897403923801</v>
      </c>
      <c r="K52">
        <v>69.711534032305593</v>
      </c>
      <c r="L52" s="42"/>
      <c r="M52" s="82">
        <f t="shared" si="1"/>
        <v>5.3104743509809502</v>
      </c>
      <c r="N52" s="84">
        <f t="shared" si="1"/>
        <v>17.427883508076398</v>
      </c>
      <c r="O52" s="12"/>
      <c r="P52" s="86">
        <f t="shared" si="2"/>
        <v>1.2710914018479225E-2</v>
      </c>
      <c r="Q52" s="87">
        <f t="shared" si="3"/>
        <v>7.1108774574300234E-3</v>
      </c>
      <c r="R52" s="42"/>
      <c r="S52" s="88">
        <f t="shared" si="7"/>
        <v>0.34476538974784732</v>
      </c>
      <c r="T52" s="89">
        <f t="shared" si="7"/>
        <v>0.91102028189441675</v>
      </c>
      <c r="U52" s="42"/>
      <c r="V52" s="9"/>
      <c r="W52" s="9"/>
      <c r="X52" s="9"/>
      <c r="Y52" s="9"/>
      <c r="Z52" s="9"/>
      <c r="AA52" s="43"/>
      <c r="AC52" s="1"/>
      <c r="AD52" s="1"/>
      <c r="AE52" s="1"/>
      <c r="AF52" s="1"/>
      <c r="AG52" s="1"/>
      <c r="AH52" s="1"/>
    </row>
    <row r="53" spans="2:34" ht="16" thickBot="1">
      <c r="B53" s="40"/>
      <c r="C53" s="71">
        <f t="shared" si="4"/>
        <v>11</v>
      </c>
      <c r="D53" s="42">
        <v>16.661718494893098</v>
      </c>
      <c r="E53">
        <v>229.59480461251201</v>
      </c>
      <c r="F53" s="42"/>
      <c r="G53" s="79">
        <f t="shared" si="0"/>
        <v>13.779779359667131</v>
      </c>
      <c r="H53" s="42"/>
      <c r="I53" s="79">
        <v>3.2000576429297269</v>
      </c>
      <c r="J53" s="42">
        <v>15.012158190427899</v>
      </c>
      <c r="K53">
        <v>48.039771554148899</v>
      </c>
      <c r="L53" s="42"/>
      <c r="M53" s="82">
        <f t="shared" si="1"/>
        <v>3.7530395476069747</v>
      </c>
      <c r="N53" s="84">
        <f t="shared" si="1"/>
        <v>12.009942888537225</v>
      </c>
      <c r="O53" s="12"/>
      <c r="P53" s="86">
        <f t="shared" si="2"/>
        <v>8.9831076933405089E-3</v>
      </c>
      <c r="Q53" s="87">
        <f t="shared" si="3"/>
        <v>4.9002641147758924E-3</v>
      </c>
      <c r="R53" s="42"/>
      <c r="S53" s="88">
        <f t="shared" si="7"/>
        <v>0.3537484974411878</v>
      </c>
      <c r="T53" s="89">
        <f t="shared" si="7"/>
        <v>0.91592054600919259</v>
      </c>
      <c r="U53" s="42"/>
      <c r="V53" s="9"/>
      <c r="W53" s="9"/>
      <c r="X53" s="9"/>
      <c r="Y53" s="9"/>
      <c r="Z53" s="9"/>
      <c r="AA53" s="43"/>
      <c r="AC53" s="1"/>
      <c r="AD53" s="1"/>
      <c r="AE53" s="1"/>
      <c r="AF53" s="1"/>
      <c r="AG53" s="1"/>
      <c r="AH53" s="1"/>
    </row>
    <row r="54" spans="2:34" ht="16" thickBot="1">
      <c r="B54" s="40"/>
      <c r="C54" s="71">
        <f t="shared" si="4"/>
        <v>11.25</v>
      </c>
      <c r="D54" s="42">
        <v>9.9176312548654693</v>
      </c>
      <c r="E54">
        <v>5.4372937873622504</v>
      </c>
      <c r="F54" s="42"/>
      <c r="G54" s="79">
        <f t="shared" si="0"/>
        <v>0.54824520569816304</v>
      </c>
      <c r="H54" s="42"/>
      <c r="I54" s="79">
        <v>3.1605920595944412</v>
      </c>
      <c r="J54" s="42">
        <v>9.9211125397102009</v>
      </c>
      <c r="K54">
        <v>31.356589515350901</v>
      </c>
      <c r="L54" s="42"/>
      <c r="M54" s="82">
        <f t="shared" si="1"/>
        <v>2.4802781349275502</v>
      </c>
      <c r="N54" s="84">
        <f t="shared" si="1"/>
        <v>7.8391473788377253</v>
      </c>
      <c r="O54" s="12"/>
      <c r="P54" s="86">
        <f t="shared" si="2"/>
        <v>5.9366828707410127E-3</v>
      </c>
      <c r="Q54" s="87">
        <f t="shared" si="3"/>
        <v>3.19850751560374E-3</v>
      </c>
      <c r="R54" s="42"/>
      <c r="S54" s="88">
        <f t="shared" si="7"/>
        <v>0.35968518031192881</v>
      </c>
      <c r="T54" s="89">
        <f t="shared" si="7"/>
        <v>0.91911905352479628</v>
      </c>
      <c r="U54" s="42"/>
      <c r="V54" s="9"/>
      <c r="W54" s="9"/>
      <c r="X54" s="9"/>
      <c r="Y54" s="9"/>
      <c r="Z54" s="9"/>
      <c r="AA54" s="43"/>
      <c r="AC54" s="1"/>
      <c r="AD54" s="1"/>
      <c r="AE54" s="1"/>
      <c r="AF54" s="1"/>
      <c r="AG54" s="1"/>
      <c r="AH54" s="1"/>
    </row>
    <row r="55" spans="2:34" ht="16" thickBot="1">
      <c r="B55" s="40"/>
      <c r="C55" s="71">
        <f t="shared" si="4"/>
        <v>11.5</v>
      </c>
      <c r="D55" s="42">
        <v>16.5669063189962</v>
      </c>
      <c r="E55">
        <v>253.75812468563299</v>
      </c>
      <c r="F55" s="42"/>
      <c r="G55" s="79">
        <f t="shared" si="0"/>
        <v>15.317170254935586</v>
      </c>
      <c r="H55" s="42"/>
      <c r="I55" s="79">
        <v>3.1126708588818737</v>
      </c>
      <c r="J55" s="42">
        <v>8.3747404697609493</v>
      </c>
      <c r="K55">
        <v>26.067810610923601</v>
      </c>
      <c r="L55" s="42"/>
      <c r="M55" s="82">
        <f t="shared" si="1"/>
        <v>2.0936851174402373</v>
      </c>
      <c r="N55" s="84">
        <f t="shared" si="1"/>
        <v>6.5169526527309003</v>
      </c>
      <c r="O55" s="12"/>
      <c r="P55" s="86">
        <f t="shared" si="2"/>
        <v>5.0113511055065261E-3</v>
      </c>
      <c r="Q55" s="87">
        <f t="shared" si="3"/>
        <v>2.6590292325495272E-3</v>
      </c>
      <c r="R55" s="42"/>
      <c r="S55" s="88">
        <f t="shared" si="7"/>
        <v>0.36469653141743535</v>
      </c>
      <c r="T55" s="89">
        <f t="shared" si="7"/>
        <v>0.92177808275734585</v>
      </c>
      <c r="U55" s="42"/>
      <c r="V55" s="9"/>
      <c r="W55" s="9"/>
      <c r="X55" s="9"/>
      <c r="Y55" s="9"/>
      <c r="Z55" s="9"/>
      <c r="AA55" s="43"/>
      <c r="AC55" s="1"/>
      <c r="AD55" s="1"/>
      <c r="AE55" s="1"/>
      <c r="AF55" s="1"/>
      <c r="AG55" s="1"/>
      <c r="AH55" s="1"/>
    </row>
    <row r="56" spans="2:34" ht="16" thickBot="1">
      <c r="B56" s="40"/>
      <c r="C56" s="71">
        <f t="shared" si="4"/>
        <v>11.75</v>
      </c>
      <c r="D56" s="42">
        <v>23.791486487805997</v>
      </c>
      <c r="E56">
        <v>179.104785553943</v>
      </c>
      <c r="F56" s="42"/>
      <c r="G56" s="79">
        <f t="shared" si="0"/>
        <v>7.5281040403146191</v>
      </c>
      <c r="H56" s="42"/>
      <c r="I56" s="79">
        <v>2.9765363741946476</v>
      </c>
      <c r="J56" s="42">
        <v>14.9180089199706</v>
      </c>
      <c r="K56">
        <v>44.403996180852701</v>
      </c>
      <c r="L56" s="42"/>
      <c r="M56" s="82">
        <f t="shared" si="1"/>
        <v>3.7295022299926499</v>
      </c>
      <c r="N56" s="84">
        <f t="shared" si="1"/>
        <v>11.100999045213175</v>
      </c>
      <c r="O56" s="12"/>
      <c r="P56" s="86">
        <f t="shared" si="2"/>
        <v>8.9267698220605075E-3</v>
      </c>
      <c r="Q56" s="87">
        <f t="shared" si="3"/>
        <v>4.5293993288959816E-3</v>
      </c>
      <c r="R56" s="42"/>
      <c r="S56" s="88">
        <f t="shared" si="7"/>
        <v>0.37362330123949589</v>
      </c>
      <c r="T56" s="89">
        <f t="shared" si="7"/>
        <v>0.92630748208624181</v>
      </c>
      <c r="U56" s="42"/>
      <c r="V56" s="9"/>
      <c r="W56" s="9"/>
      <c r="X56" s="9"/>
      <c r="Y56" s="9"/>
      <c r="Z56" s="9"/>
      <c r="AA56" s="43"/>
      <c r="AC56" s="1"/>
      <c r="AD56" s="1"/>
      <c r="AE56" s="1"/>
      <c r="AF56" s="1"/>
      <c r="AG56" s="1"/>
      <c r="AH56" s="1"/>
    </row>
    <row r="57" spans="2:34" ht="16" thickBot="1">
      <c r="B57" s="40"/>
      <c r="C57" s="71">
        <f t="shared" si="4"/>
        <v>12</v>
      </c>
      <c r="D57" s="42">
        <v>13.922142564302801</v>
      </c>
      <c r="E57">
        <v>85.317538280171505</v>
      </c>
      <c r="F57" s="42"/>
      <c r="G57" s="79">
        <f t="shared" si="0"/>
        <v>6.1281902470192149</v>
      </c>
      <c r="H57" s="42"/>
      <c r="I57" s="79">
        <v>2.9456970409181782</v>
      </c>
      <c r="J57" s="42">
        <v>17.399788455364199</v>
      </c>
      <c r="K57">
        <v>51.254505365568598</v>
      </c>
      <c r="L57" s="42"/>
      <c r="M57" s="82">
        <f t="shared" si="1"/>
        <v>4.3499471138410497</v>
      </c>
      <c r="N57" s="84">
        <f t="shared" si="1"/>
        <v>12.813626341392149</v>
      </c>
      <c r="O57" s="12"/>
      <c r="P57" s="86">
        <f t="shared" si="2"/>
        <v>1.0411838961005799E-2</v>
      </c>
      <c r="Q57" s="87">
        <f t="shared" si="3"/>
        <v>5.2281808434576759E-3</v>
      </c>
      <c r="R57" s="42"/>
      <c r="S57" s="88">
        <f t="shared" si="7"/>
        <v>0.38403514020050167</v>
      </c>
      <c r="T57" s="89">
        <f t="shared" si="7"/>
        <v>0.93153566292969947</v>
      </c>
      <c r="U57" s="42"/>
      <c r="V57" s="125" t="s">
        <v>82</v>
      </c>
      <c r="W57" s="126" t="s">
        <v>66</v>
      </c>
      <c r="Y57" s="119" t="s">
        <v>81</v>
      </c>
      <c r="Z57" s="9"/>
      <c r="AA57" s="43"/>
      <c r="AC57" s="1"/>
      <c r="AD57" s="1"/>
      <c r="AE57" s="1"/>
      <c r="AF57" s="1"/>
      <c r="AG57" s="1"/>
      <c r="AH57" s="1"/>
    </row>
    <row r="58" spans="2:34" ht="16" thickBot="1">
      <c r="B58" s="40"/>
      <c r="C58" s="71">
        <f t="shared" si="4"/>
        <v>12.25</v>
      </c>
      <c r="D58" s="42">
        <v>21.7417550298767</v>
      </c>
      <c r="E58">
        <v>28.247043570722202</v>
      </c>
      <c r="F58" s="42"/>
      <c r="G58" s="79">
        <f t="shared" si="0"/>
        <v>1.2992071491885628</v>
      </c>
      <c r="H58" s="42"/>
      <c r="I58" s="79">
        <v>2.6038690050729332</v>
      </c>
      <c r="J58" s="42">
        <v>15.514893397667501</v>
      </c>
      <c r="K58">
        <v>40.398750035197097</v>
      </c>
      <c r="L58" s="42"/>
      <c r="M58" s="82">
        <f t="shared" si="1"/>
        <v>3.8787233494168754</v>
      </c>
      <c r="N58" s="84">
        <f t="shared" si="1"/>
        <v>10.099687508799274</v>
      </c>
      <c r="O58" s="12"/>
      <c r="P58" s="86">
        <f t="shared" si="2"/>
        <v>9.2839388230542101E-3</v>
      </c>
      <c r="Q58" s="87">
        <f t="shared" si="3"/>
        <v>4.1208469290104415E-3</v>
      </c>
      <c r="R58" s="42"/>
      <c r="S58" s="88">
        <f t="shared" si="7"/>
        <v>0.3933190790235559</v>
      </c>
      <c r="T58" s="89">
        <f t="shared" si="7"/>
        <v>0.93565650985870996</v>
      </c>
      <c r="U58" s="42"/>
      <c r="V58" s="120">
        <f>W36/4+W37/3+(W38-1)/2</f>
        <v>0.37230364041435249</v>
      </c>
      <c r="W58" s="121">
        <v>0.5</v>
      </c>
      <c r="X58" s="9"/>
      <c r="Y58" s="99">
        <f>V58/W58</f>
        <v>0.74460728082870498</v>
      </c>
      <c r="Z58" s="9"/>
      <c r="AA58" s="43"/>
      <c r="AC58" s="1"/>
      <c r="AD58" s="1"/>
      <c r="AE58" s="1"/>
      <c r="AF58" s="1"/>
      <c r="AG58" s="1"/>
      <c r="AH58" s="1"/>
    </row>
    <row r="59" spans="2:34" ht="16" thickBot="1">
      <c r="B59" s="40"/>
      <c r="C59" s="71">
        <f t="shared" si="4"/>
        <v>12.5</v>
      </c>
      <c r="D59" s="42">
        <v>24.027854335229399</v>
      </c>
      <c r="E59">
        <v>29.199352268087701</v>
      </c>
      <c r="F59" s="42"/>
      <c r="G59" s="79">
        <f t="shared" si="0"/>
        <v>1.215229286007278</v>
      </c>
      <c r="H59" s="42"/>
      <c r="I59" s="79">
        <v>2.5903595310307832</v>
      </c>
      <c r="J59" s="42">
        <v>14.264321727019599</v>
      </c>
      <c r="K59">
        <v>36.9497217392747</v>
      </c>
      <c r="L59" s="42"/>
      <c r="M59" s="82">
        <f t="shared" si="1"/>
        <v>3.5660804317548997</v>
      </c>
      <c r="N59" s="84">
        <f t="shared" si="1"/>
        <v>9.2374304348186751</v>
      </c>
      <c r="O59" s="12"/>
      <c r="P59" s="86">
        <f t="shared" si="2"/>
        <v>8.5356107110553681E-3</v>
      </c>
      <c r="Q59" s="87">
        <f t="shared" si="3"/>
        <v>3.7690311513208096E-3</v>
      </c>
      <c r="R59" s="42"/>
      <c r="S59" s="88">
        <f t="shared" si="7"/>
        <v>0.40185468973461125</v>
      </c>
      <c r="T59" s="89">
        <f t="shared" si="7"/>
        <v>0.93942554101003073</v>
      </c>
      <c r="U59" s="42"/>
      <c r="V59" s="9"/>
      <c r="W59" s="9"/>
      <c r="X59" s="9"/>
      <c r="Y59" s="9"/>
      <c r="Z59" s="9"/>
      <c r="AA59" s="43"/>
      <c r="AC59" s="1"/>
      <c r="AD59" s="1"/>
      <c r="AE59" s="1"/>
      <c r="AF59" s="1"/>
      <c r="AG59" s="1"/>
      <c r="AH59" s="1"/>
    </row>
    <row r="60" spans="2:34" ht="16" thickBot="1">
      <c r="B60" s="40"/>
      <c r="C60" s="71">
        <f t="shared" si="4"/>
        <v>12.75</v>
      </c>
      <c r="D60" s="42">
        <v>24.497386788484903</v>
      </c>
      <c r="E60">
        <v>819.42932521117302</v>
      </c>
      <c r="F60" s="42"/>
      <c r="G60" s="79">
        <f t="shared" si="0"/>
        <v>33.449662704282773</v>
      </c>
      <c r="H60" s="42"/>
      <c r="I60" s="79">
        <v>2.4687349759400585</v>
      </c>
      <c r="J60" s="42">
        <v>12.677599604768799</v>
      </c>
      <c r="K60">
        <v>31.297633555256599</v>
      </c>
      <c r="L60" s="42"/>
      <c r="M60" s="82">
        <f t="shared" si="1"/>
        <v>3.1693999011921998</v>
      </c>
      <c r="N60" s="84">
        <f t="shared" si="1"/>
        <v>7.8244083888141498</v>
      </c>
      <c r="O60" s="12"/>
      <c r="P60" s="86">
        <f t="shared" si="2"/>
        <v>7.5861339254541327E-3</v>
      </c>
      <c r="Q60" s="87">
        <f t="shared" si="3"/>
        <v>3.1924937531261932E-3</v>
      </c>
      <c r="R60" s="42"/>
      <c r="S60" s="88">
        <f t="shared" ref="S60:T75" si="8">P60+S59</f>
        <v>0.4094408236600654</v>
      </c>
      <c r="T60" s="89">
        <f t="shared" si="8"/>
        <v>0.94261803476315698</v>
      </c>
      <c r="U60" s="42"/>
      <c r="V60" s="9"/>
      <c r="W60" s="9"/>
      <c r="X60" s="9"/>
      <c r="Z60" s="9"/>
      <c r="AA60" s="43"/>
      <c r="AC60" s="1"/>
      <c r="AD60" s="1"/>
      <c r="AE60" s="1"/>
      <c r="AF60" s="1"/>
      <c r="AG60" s="1"/>
      <c r="AH60" s="1"/>
    </row>
    <row r="61" spans="2:34" ht="16" thickBot="1">
      <c r="B61" s="40"/>
      <c r="C61" s="71">
        <f t="shared" si="4"/>
        <v>13</v>
      </c>
      <c r="D61" s="42">
        <v>23.223503964903099</v>
      </c>
      <c r="E61">
        <v>39.647131311920397</v>
      </c>
      <c r="F61" s="42"/>
      <c r="G61" s="79">
        <f t="shared" si="0"/>
        <v>1.7071985076772986</v>
      </c>
      <c r="H61" s="42"/>
      <c r="I61" s="79">
        <v>1.8785673576892465</v>
      </c>
      <c r="J61" s="42">
        <v>14.640084661753001</v>
      </c>
      <c r="K61">
        <v>27.5023851593762</v>
      </c>
      <c r="L61" s="42"/>
      <c r="M61" s="82">
        <f t="shared" si="1"/>
        <v>3.6600211654382502</v>
      </c>
      <c r="N61" s="84">
        <f t="shared" si="1"/>
        <v>6.8755962898440499</v>
      </c>
      <c r="O61" s="12"/>
      <c r="P61" s="86">
        <f t="shared" si="2"/>
        <v>8.7604630518752329E-3</v>
      </c>
      <c r="Q61" s="87">
        <f t="shared" si="3"/>
        <v>2.8053620304028504E-3</v>
      </c>
      <c r="R61" s="42"/>
      <c r="S61" s="88">
        <f t="shared" si="8"/>
        <v>0.41820128671194062</v>
      </c>
      <c r="T61" s="89">
        <f t="shared" si="8"/>
        <v>0.9454233967935598</v>
      </c>
      <c r="U61" s="42"/>
      <c r="V61" s="124" t="s">
        <v>83</v>
      </c>
      <c r="W61" s="127" t="s">
        <v>66</v>
      </c>
      <c r="X61" s="42"/>
      <c r="Y61" s="98" t="s">
        <v>71</v>
      </c>
      <c r="Z61" s="9"/>
      <c r="AA61" s="43"/>
      <c r="AC61" s="1"/>
      <c r="AD61" s="1"/>
      <c r="AE61" s="1"/>
      <c r="AF61" s="1"/>
      <c r="AG61" s="1"/>
      <c r="AH61" s="1"/>
    </row>
    <row r="62" spans="2:34" ht="16" thickBot="1">
      <c r="B62" s="40"/>
      <c r="C62" s="71">
        <f t="shared" si="4"/>
        <v>13.25</v>
      </c>
      <c r="D62" s="42">
        <v>24.186785899190799</v>
      </c>
      <c r="E62">
        <v>670.97705475740395</v>
      </c>
      <c r="F62" s="42"/>
      <c r="G62" s="79">
        <f t="shared" si="0"/>
        <v>27.741472453347033</v>
      </c>
      <c r="H62" s="42"/>
      <c r="I62" s="79">
        <v>1.858228681493411</v>
      </c>
      <c r="J62" s="42">
        <v>10.619775589660801</v>
      </c>
      <c r="K62">
        <v>19.733971591731301</v>
      </c>
      <c r="L62" s="42"/>
      <c r="M62" s="82">
        <f t="shared" si="1"/>
        <v>2.6549438974152002</v>
      </c>
      <c r="N62" s="84">
        <f t="shared" si="1"/>
        <v>4.9334928979328252</v>
      </c>
      <c r="O62" s="12"/>
      <c r="P62" s="86">
        <f t="shared" si="2"/>
        <v>6.3547550319487068E-3</v>
      </c>
      <c r="Q62" s="87">
        <f t="shared" si="3"/>
        <v>2.012950305643497E-3</v>
      </c>
      <c r="R62" s="42"/>
      <c r="S62" s="88">
        <f t="shared" si="8"/>
        <v>0.42455604174388933</v>
      </c>
      <c r="T62" s="89">
        <f t="shared" si="8"/>
        <v>0.94743634709920332</v>
      </c>
      <c r="U62" s="42"/>
      <c r="V62" s="122">
        <f>SUM(AA66:AA105)</f>
        <v>0.37689759632973552</v>
      </c>
      <c r="W62" s="123">
        <f>SUM(AB66:AB105)</f>
        <v>0.50049999999999983</v>
      </c>
      <c r="X62" s="42"/>
      <c r="Y62" s="99">
        <f>V62/W62</f>
        <v>0.75304215050896228</v>
      </c>
      <c r="Z62" s="9"/>
      <c r="AA62" s="43"/>
      <c r="AC62" s="1"/>
      <c r="AD62" s="1"/>
      <c r="AE62" s="1"/>
      <c r="AF62" s="1"/>
      <c r="AG62" s="1"/>
      <c r="AH62" s="1"/>
    </row>
    <row r="63" spans="2:34" ht="16" thickBot="1">
      <c r="B63" s="40"/>
      <c r="C63" s="71">
        <f t="shared" si="4"/>
        <v>13.5</v>
      </c>
      <c r="D63" s="42">
        <v>34.6975273752454</v>
      </c>
      <c r="E63">
        <v>1.5122882475935</v>
      </c>
      <c r="F63" s="42"/>
      <c r="G63" s="79">
        <f t="shared" si="0"/>
        <v>4.3584899616576911E-2</v>
      </c>
      <c r="H63" s="42"/>
      <c r="I63" s="79">
        <v>1.7071985076772986</v>
      </c>
      <c r="J63" s="42">
        <v>23.223503964903099</v>
      </c>
      <c r="K63">
        <v>39.647131311920397</v>
      </c>
      <c r="L63" s="42"/>
      <c r="M63" s="82">
        <f t="shared" si="1"/>
        <v>5.8058759912257747</v>
      </c>
      <c r="N63" s="84">
        <f t="shared" si="1"/>
        <v>9.9117828279800992</v>
      </c>
      <c r="O63" s="12"/>
      <c r="P63" s="86">
        <f t="shared" si="2"/>
        <v>1.389668523919934E-2</v>
      </c>
      <c r="Q63" s="87">
        <f t="shared" si="3"/>
        <v>4.0441785740513644E-3</v>
      </c>
      <c r="R63" s="42"/>
      <c r="S63" s="88">
        <f t="shared" si="8"/>
        <v>0.43845272698308868</v>
      </c>
      <c r="T63" s="89">
        <f t="shared" si="8"/>
        <v>0.9514805256732547</v>
      </c>
      <c r="U63" s="42"/>
      <c r="V63" s="9"/>
      <c r="W63" s="9"/>
      <c r="X63" s="9"/>
      <c r="Y63" s="9"/>
      <c r="Z63" s="9"/>
      <c r="AA63" s="43"/>
      <c r="AC63" s="1"/>
      <c r="AD63" s="1"/>
      <c r="AE63" s="1"/>
      <c r="AF63" s="1"/>
      <c r="AG63" s="1"/>
      <c r="AH63" s="1"/>
    </row>
    <row r="64" spans="2:34" ht="16" thickBot="1">
      <c r="B64" s="40"/>
      <c r="C64" s="71">
        <f t="shared" si="4"/>
        <v>13.75</v>
      </c>
      <c r="D64" s="42">
        <v>8.6302640463538296</v>
      </c>
      <c r="E64">
        <v>217.02344004160801</v>
      </c>
      <c r="F64" s="42"/>
      <c r="G64" s="79">
        <f t="shared" si="0"/>
        <v>25.1467902808023</v>
      </c>
      <c r="H64" s="42"/>
      <c r="I64" s="79">
        <v>1.6791111721438772</v>
      </c>
      <c r="J64" s="42">
        <v>14.454452448933699</v>
      </c>
      <c r="K64">
        <v>24.270632594226999</v>
      </c>
      <c r="L64" s="42"/>
      <c r="M64" s="82">
        <f t="shared" si="1"/>
        <v>3.6136131122334247</v>
      </c>
      <c r="N64" s="84">
        <f t="shared" si="1"/>
        <v>6.0676581485567498</v>
      </c>
      <c r="O64" s="12"/>
      <c r="P64" s="86">
        <f t="shared" si="2"/>
        <v>8.6493828102500048E-3</v>
      </c>
      <c r="Q64" s="87">
        <f t="shared" si="3"/>
        <v>2.4757093153605814E-3</v>
      </c>
      <c r="R64" s="42"/>
      <c r="S64" s="88">
        <f t="shared" si="8"/>
        <v>0.4471021097933387</v>
      </c>
      <c r="T64" s="89">
        <f t="shared" si="8"/>
        <v>0.95395623498861526</v>
      </c>
      <c r="U64" s="42"/>
      <c r="V64" s="94" t="s">
        <v>65</v>
      </c>
      <c r="W64" s="67"/>
      <c r="X64" s="67"/>
      <c r="Y64" s="67"/>
      <c r="Z64" s="68"/>
      <c r="AA64" s="43"/>
      <c r="AC64" s="1"/>
      <c r="AD64" s="1"/>
      <c r="AE64" s="1"/>
      <c r="AF64" s="1"/>
      <c r="AG64" s="1"/>
      <c r="AH64" s="1"/>
    </row>
    <row r="65" spans="2:36" ht="81" thickBot="1">
      <c r="B65" s="40"/>
      <c r="C65" s="71">
        <f t="shared" si="4"/>
        <v>14</v>
      </c>
      <c r="D65" s="42">
        <v>7.5967106150879999</v>
      </c>
      <c r="E65">
        <v>186.27946658720001</v>
      </c>
      <c r="F65" s="42"/>
      <c r="G65" s="79">
        <f t="shared" si="0"/>
        <v>24.52106918713293</v>
      </c>
      <c r="H65" s="42"/>
      <c r="I65" s="79">
        <v>1.662919612456681</v>
      </c>
      <c r="J65" s="42">
        <v>18.501484853964801</v>
      </c>
      <c r="K65">
        <v>30.766482023228299</v>
      </c>
      <c r="L65" s="42"/>
      <c r="M65" s="82">
        <f t="shared" si="1"/>
        <v>4.6253712134912002</v>
      </c>
      <c r="N65" s="84">
        <f t="shared" si="1"/>
        <v>7.6916205058070748</v>
      </c>
      <c r="O65" s="12"/>
      <c r="P65" s="86">
        <f t="shared" si="2"/>
        <v>1.1071081773961563E-2</v>
      </c>
      <c r="Q65" s="87">
        <f t="shared" si="3"/>
        <v>3.1383140035623814E-3</v>
      </c>
      <c r="R65" s="42"/>
      <c r="S65" s="88">
        <f t="shared" si="8"/>
        <v>0.45817319156730024</v>
      </c>
      <c r="T65" s="89">
        <f t="shared" si="8"/>
        <v>0.95709454899217761</v>
      </c>
      <c r="U65" s="42"/>
      <c r="V65" s="100" t="s">
        <v>61</v>
      </c>
      <c r="W65" s="101" t="s">
        <v>87</v>
      </c>
      <c r="X65" s="101" t="s">
        <v>88</v>
      </c>
      <c r="Y65" s="101" t="s">
        <v>62</v>
      </c>
      <c r="Z65" s="101" t="s">
        <v>63</v>
      </c>
      <c r="AA65" s="102" t="s">
        <v>67</v>
      </c>
      <c r="AB65" s="103" t="s">
        <v>68</v>
      </c>
      <c r="AC65" s="43"/>
      <c r="AD65" s="1"/>
      <c r="AE65" s="1"/>
      <c r="AF65" s="1"/>
      <c r="AG65" s="1"/>
      <c r="AH65" s="1"/>
      <c r="AI65" s="1"/>
      <c r="AJ65" s="1"/>
    </row>
    <row r="66" spans="2:36" ht="16" thickBot="1">
      <c r="B66" s="40"/>
      <c r="C66" s="71">
        <f t="shared" si="4"/>
        <v>14.25</v>
      </c>
      <c r="D66" s="42">
        <v>9.4400474584018497</v>
      </c>
      <c r="E66">
        <v>117.89858092086899</v>
      </c>
      <c r="F66" s="42"/>
      <c r="G66" s="79">
        <f t="shared" si="0"/>
        <v>12.489193665645892</v>
      </c>
      <c r="H66" s="42"/>
      <c r="I66" s="79">
        <v>1.6381538111165144</v>
      </c>
      <c r="J66" s="42">
        <v>13.342760257993</v>
      </c>
      <c r="K66">
        <v>21.8574935674452</v>
      </c>
      <c r="L66" s="42"/>
      <c r="M66" s="82">
        <f t="shared" si="1"/>
        <v>3.3356900644982499</v>
      </c>
      <c r="N66" s="84">
        <f t="shared" si="1"/>
        <v>5.4643733918613</v>
      </c>
      <c r="O66" s="12"/>
      <c r="P66" s="86">
        <f t="shared" si="2"/>
        <v>7.9841586268655299E-3</v>
      </c>
      <c r="Q66" s="87">
        <f t="shared" si="3"/>
        <v>2.229558715673085E-3</v>
      </c>
      <c r="R66" s="42"/>
      <c r="S66" s="88">
        <f t="shared" si="8"/>
        <v>0.46615735019416576</v>
      </c>
      <c r="T66" s="89">
        <f t="shared" si="8"/>
        <v>0.9593241077078507</v>
      </c>
      <c r="U66" s="42"/>
      <c r="V66" s="71">
        <v>1.2E-2</v>
      </c>
      <c r="W66" s="63">
        <f>INDEX(S10:S121,MATCH(V66,S10:S121,1))</f>
        <v>8.1782664765764936E-3</v>
      </c>
      <c r="X66" s="63">
        <f>INDEX(S10:S121,MATCH(V66,S10:S121,1)+1)</f>
        <v>1.3397211363578739E-2</v>
      </c>
      <c r="Y66" s="63">
        <f>INDEX(T10:T121,MATCH(V66,S10:S121,1))+(INDEX(T10:T121,MATCH(V66,S10:S121,1)+1)-INDEX(T10:T121,MATCH(V66,S10:S121,1)))/(X66-W66)*(V66-W66)</f>
        <v>0.21225118918620658</v>
      </c>
      <c r="Z66" s="63">
        <f>V66</f>
        <v>1.2E-2</v>
      </c>
      <c r="AA66" s="104">
        <f t="shared" ref="AA66:AA105" si="9">(Y66-Z66)*($V$67-$V$66)</f>
        <v>5.006279729655165E-3</v>
      </c>
      <c r="AB66" s="105">
        <f t="shared" ref="AB66:AB105" si="10">(1-Z66)*($V$67-$V$66)</f>
        <v>2.4700000000000003E-2</v>
      </c>
      <c r="AC66" s="43"/>
      <c r="AD66" s="1"/>
      <c r="AE66" s="1"/>
      <c r="AF66" s="1"/>
      <c r="AG66" s="1"/>
      <c r="AH66" s="1"/>
      <c r="AI66" s="1"/>
      <c r="AJ66" s="1"/>
    </row>
    <row r="67" spans="2:36" ht="16" thickBot="1">
      <c r="B67" s="40"/>
      <c r="C67" s="71">
        <f t="shared" si="4"/>
        <v>14.5</v>
      </c>
      <c r="D67" s="42">
        <v>7.928080976615461</v>
      </c>
      <c r="E67">
        <v>73.467480979328698</v>
      </c>
      <c r="F67" s="42"/>
      <c r="G67" s="79">
        <f t="shared" si="0"/>
        <v>9.2667420017564393</v>
      </c>
      <c r="H67" s="42"/>
      <c r="I67" s="79">
        <v>1.5697537581853636</v>
      </c>
      <c r="J67" s="42">
        <v>13.647126686080799</v>
      </c>
      <c r="K67">
        <v>21.422628403907101</v>
      </c>
      <c r="L67" s="42"/>
      <c r="M67" s="82">
        <f t="shared" si="1"/>
        <v>3.4117816715201998</v>
      </c>
      <c r="N67" s="84">
        <f t="shared" si="1"/>
        <v>5.3556571009767753</v>
      </c>
      <c r="O67" s="12"/>
      <c r="P67" s="86">
        <f t="shared" si="2"/>
        <v>8.1662880959976515E-3</v>
      </c>
      <c r="Q67" s="87">
        <f t="shared" si="3"/>
        <v>2.1852005914207674E-3</v>
      </c>
      <c r="R67" s="42"/>
      <c r="S67" s="88">
        <f t="shared" si="8"/>
        <v>0.47432363829016344</v>
      </c>
      <c r="T67" s="89">
        <f t="shared" si="8"/>
        <v>0.9615093082992715</v>
      </c>
      <c r="U67" s="42"/>
      <c r="V67" s="71">
        <f t="shared" ref="V67:V105" si="11">V66+0.025</f>
        <v>3.7000000000000005E-2</v>
      </c>
      <c r="W67" s="63">
        <f t="shared" ref="W67:W105" si="12">INDEX(S11:S122,MATCH(V67,S11:S122,1))</f>
        <v>2.8056173848179652E-2</v>
      </c>
      <c r="X67" s="63">
        <f t="shared" ref="X67:X105" si="13">INDEX(S11:S122,MATCH(V67,S11:S122,1)+1)</f>
        <v>4.252927623173558E-2</v>
      </c>
      <c r="Y67" s="63">
        <f t="shared" ref="Y67:Y105" si="14">INDEX(T11:T122,MATCH(V67,S11:S122,1))+(INDEX(T11:T122,MATCH(V67,S11:S122,1)+1)-INDEX(T11:T122,MATCH(V67,S11:S122,1)))/(X67-W67)*(V67-W67)</f>
        <v>0.35464818312802493</v>
      </c>
      <c r="Z67" s="63">
        <f t="shared" ref="Z67:Z105" si="15">V67</f>
        <v>3.7000000000000005E-2</v>
      </c>
      <c r="AA67" s="104">
        <f t="shared" si="9"/>
        <v>7.9412045782006231E-3</v>
      </c>
      <c r="AB67" s="105">
        <f t="shared" si="10"/>
        <v>2.4075000000000003E-2</v>
      </c>
      <c r="AC67" s="43"/>
      <c r="AD67" s="1"/>
      <c r="AE67" s="1"/>
      <c r="AF67" s="1"/>
      <c r="AG67" s="1"/>
      <c r="AH67" s="1"/>
      <c r="AI67" s="1"/>
      <c r="AJ67" s="1"/>
    </row>
    <row r="68" spans="2:36" ht="16" thickBot="1">
      <c r="B68" s="40"/>
      <c r="C68" s="71">
        <f t="shared" si="4"/>
        <v>14.75</v>
      </c>
      <c r="D68" s="42">
        <v>9.5221380180195396</v>
      </c>
      <c r="E68">
        <v>90.370139287591101</v>
      </c>
      <c r="F68" s="42"/>
      <c r="G68" s="79">
        <f t="shared" si="0"/>
        <v>9.4905302902117263</v>
      </c>
      <c r="H68" s="42"/>
      <c r="I68" s="79">
        <v>1.5193902954959213</v>
      </c>
      <c r="J68" s="42">
        <v>9.3754892488856498</v>
      </c>
      <c r="K68">
        <v>14.245027380283201</v>
      </c>
      <c r="L68" s="42"/>
      <c r="M68" s="82">
        <f t="shared" si="1"/>
        <v>2.3438723122214125</v>
      </c>
      <c r="N68" s="84">
        <f t="shared" si="1"/>
        <v>3.5612568450708002</v>
      </c>
      <c r="O68" s="12"/>
      <c r="P68" s="86">
        <f t="shared" si="2"/>
        <v>5.6101879911042507E-3</v>
      </c>
      <c r="Q68" s="87">
        <f t="shared" si="3"/>
        <v>1.453054297040537E-3</v>
      </c>
      <c r="R68" s="42"/>
      <c r="S68" s="88">
        <f t="shared" si="8"/>
        <v>0.47993382628126768</v>
      </c>
      <c r="T68" s="89">
        <f t="shared" si="8"/>
        <v>0.96296236259631207</v>
      </c>
      <c r="U68" s="42"/>
      <c r="V68" s="71">
        <f t="shared" si="11"/>
        <v>6.2000000000000006E-2</v>
      </c>
      <c r="W68" s="63">
        <f t="shared" si="12"/>
        <v>5.7591256057454139E-2</v>
      </c>
      <c r="X68" s="63">
        <f t="shared" si="13"/>
        <v>6.2137042792767869E-2</v>
      </c>
      <c r="Y68" s="63">
        <f t="shared" si="14"/>
        <v>0.46545266656070633</v>
      </c>
      <c r="Z68" s="63">
        <f t="shared" si="15"/>
        <v>6.2000000000000006E-2</v>
      </c>
      <c r="AA68" s="104">
        <f t="shared" si="9"/>
        <v>1.008631666401766E-2</v>
      </c>
      <c r="AB68" s="105">
        <f t="shared" si="10"/>
        <v>2.3450000000000002E-2</v>
      </c>
      <c r="AC68" s="43"/>
      <c r="AD68" s="1"/>
      <c r="AE68" s="1"/>
      <c r="AF68" s="1"/>
      <c r="AG68" s="1"/>
      <c r="AH68" s="1"/>
      <c r="AI68" s="1"/>
      <c r="AJ68" s="1"/>
    </row>
    <row r="69" spans="2:36" ht="16" thickBot="1">
      <c r="B69" s="40"/>
      <c r="C69" s="71">
        <f t="shared" si="4"/>
        <v>15</v>
      </c>
      <c r="D69" s="42">
        <v>8.7979810989932297</v>
      </c>
      <c r="E69">
        <v>99.636803079720593</v>
      </c>
      <c r="F69" s="42"/>
      <c r="G69" s="79">
        <f t="shared" si="0"/>
        <v>11.324962165595267</v>
      </c>
      <c r="H69" s="42"/>
      <c r="I69" s="79">
        <v>1.2992071491885628</v>
      </c>
      <c r="J69" s="42">
        <v>21.7417550298767</v>
      </c>
      <c r="K69">
        <v>28.247043570722202</v>
      </c>
      <c r="L69" s="42"/>
      <c r="M69" s="82">
        <f t="shared" si="1"/>
        <v>5.4354387574691749</v>
      </c>
      <c r="N69" s="84">
        <f t="shared" si="1"/>
        <v>7.0617608926805504</v>
      </c>
      <c r="O69" s="12"/>
      <c r="P69" s="86">
        <f t="shared" si="2"/>
        <v>1.3010023235709264E-2</v>
      </c>
      <c r="Q69" s="87">
        <f t="shared" si="3"/>
        <v>2.8813204034931926E-3</v>
      </c>
      <c r="R69" s="42"/>
      <c r="S69" s="88">
        <f t="shared" si="8"/>
        <v>0.49294384951697695</v>
      </c>
      <c r="T69" s="89">
        <f t="shared" si="8"/>
        <v>0.96584368299980528</v>
      </c>
      <c r="U69" s="42"/>
      <c r="V69" s="71">
        <f t="shared" si="11"/>
        <v>8.7000000000000008E-2</v>
      </c>
      <c r="W69" s="63">
        <f t="shared" si="12"/>
        <v>8.4437614790997817E-2</v>
      </c>
      <c r="X69" s="63">
        <f t="shared" si="13"/>
        <v>9.0738596758928577E-2</v>
      </c>
      <c r="Y69" s="63">
        <f t="shared" si="14"/>
        <v>0.5567289432533582</v>
      </c>
      <c r="Z69" s="63">
        <f t="shared" si="15"/>
        <v>8.7000000000000008E-2</v>
      </c>
      <c r="AA69" s="104">
        <f t="shared" si="9"/>
        <v>1.1743223581333957E-2</v>
      </c>
      <c r="AB69" s="105">
        <f t="shared" si="10"/>
        <v>2.2825000000000005E-2</v>
      </c>
      <c r="AC69" s="43"/>
      <c r="AD69" s="1"/>
      <c r="AE69" s="1"/>
      <c r="AF69" s="1"/>
      <c r="AG69" s="1"/>
      <c r="AH69" s="1"/>
      <c r="AI69" s="1"/>
      <c r="AJ69" s="1"/>
    </row>
    <row r="70" spans="2:36" ht="16" thickBot="1">
      <c r="B70" s="40"/>
      <c r="C70" s="71">
        <f t="shared" si="4"/>
        <v>15.25</v>
      </c>
      <c r="D70" s="42">
        <v>8.9438484415719497</v>
      </c>
      <c r="E70">
        <v>94.851243334842295</v>
      </c>
      <c r="F70" s="42"/>
      <c r="G70" s="79">
        <f t="shared" si="0"/>
        <v>10.605193497461755</v>
      </c>
      <c r="H70" s="42"/>
      <c r="I70" s="79">
        <v>1.2605634361140687</v>
      </c>
      <c r="J70" s="42">
        <v>22.245401980216801</v>
      </c>
      <c r="K70">
        <v>28.041740357920801</v>
      </c>
      <c r="L70" s="42"/>
      <c r="M70" s="82">
        <f t="shared" si="1"/>
        <v>5.5613504950542003</v>
      </c>
      <c r="N70" s="84">
        <f t="shared" si="1"/>
        <v>7.0104350894802003</v>
      </c>
      <c r="O70" s="12"/>
      <c r="P70" s="86">
        <f t="shared" si="2"/>
        <v>1.3311399942305152E-2</v>
      </c>
      <c r="Q70" s="87">
        <f t="shared" si="3"/>
        <v>2.8603785893714304E-3</v>
      </c>
      <c r="R70" s="42"/>
      <c r="S70" s="88">
        <f t="shared" si="8"/>
        <v>0.50625524945928213</v>
      </c>
      <c r="T70" s="89">
        <f t="shared" si="8"/>
        <v>0.96870406158917666</v>
      </c>
      <c r="U70" s="42"/>
      <c r="V70" s="71">
        <f t="shared" si="11"/>
        <v>0.11200000000000002</v>
      </c>
      <c r="W70" s="63">
        <f t="shared" si="12"/>
        <v>0.10661713162448472</v>
      </c>
      <c r="X70" s="63">
        <f t="shared" si="13"/>
        <v>0.11692723891649026</v>
      </c>
      <c r="Y70" s="63">
        <f t="shared" si="14"/>
        <v>0.62525918311200179</v>
      </c>
      <c r="Z70" s="63">
        <f t="shared" si="15"/>
        <v>0.11200000000000002</v>
      </c>
      <c r="AA70" s="104">
        <f t="shared" si="9"/>
        <v>1.2831479577800047E-2</v>
      </c>
      <c r="AB70" s="105">
        <f t="shared" si="10"/>
        <v>2.2200000000000004E-2</v>
      </c>
      <c r="AC70" s="43"/>
      <c r="AD70" s="1"/>
      <c r="AE70" s="1"/>
      <c r="AF70" s="1"/>
      <c r="AG70" s="1"/>
      <c r="AH70" s="1"/>
      <c r="AI70" s="1"/>
      <c r="AJ70" s="1"/>
    </row>
    <row r="71" spans="2:36" ht="16" thickBot="1">
      <c r="B71" s="40"/>
      <c r="C71" s="71">
        <f t="shared" si="4"/>
        <v>15.5</v>
      </c>
      <c r="D71" s="42">
        <v>9.5020933780409287</v>
      </c>
      <c r="E71">
        <v>70.516552283457401</v>
      </c>
      <c r="F71" s="42"/>
      <c r="G71" s="79">
        <f t="shared" si="0"/>
        <v>7.4211596832356097</v>
      </c>
      <c r="H71" s="42"/>
      <c r="I71" s="79">
        <v>1.2472329082924243</v>
      </c>
      <c r="J71" s="42">
        <v>21.684966163914503</v>
      </c>
      <c r="K71">
        <v>27.046203414841901</v>
      </c>
      <c r="L71" s="42"/>
      <c r="M71" s="82">
        <f t="shared" si="1"/>
        <v>5.4212415409786257</v>
      </c>
      <c r="N71" s="84">
        <f t="shared" si="1"/>
        <v>6.7615508537104754</v>
      </c>
      <c r="O71" s="12"/>
      <c r="P71" s="86">
        <f t="shared" si="2"/>
        <v>1.2976041412959331E-2</v>
      </c>
      <c r="Q71" s="87">
        <f t="shared" si="3"/>
        <v>2.7588295228525681E-3</v>
      </c>
      <c r="R71" s="42"/>
      <c r="S71" s="88">
        <f t="shared" si="8"/>
        <v>0.51923129087224151</v>
      </c>
      <c r="T71" s="89">
        <f t="shared" si="8"/>
        <v>0.97146289111202921</v>
      </c>
      <c r="U71" s="42"/>
      <c r="V71" s="71">
        <f t="shared" si="11"/>
        <v>0.13700000000000001</v>
      </c>
      <c r="W71" s="63">
        <f t="shared" si="12"/>
        <v>0.13254624396363424</v>
      </c>
      <c r="X71" s="63">
        <f t="shared" si="13"/>
        <v>0.13781085753176356</v>
      </c>
      <c r="Y71" s="63">
        <f t="shared" si="14"/>
        <v>0.68124126480176728</v>
      </c>
      <c r="Z71" s="63">
        <f t="shared" si="15"/>
        <v>0.13700000000000001</v>
      </c>
      <c r="AA71" s="104">
        <f t="shared" si="9"/>
        <v>1.3606031620044184E-2</v>
      </c>
      <c r="AB71" s="105">
        <f t="shared" si="10"/>
        <v>2.1575000000000004E-2</v>
      </c>
      <c r="AC71" s="43"/>
      <c r="AD71" s="1"/>
      <c r="AE71" s="1"/>
      <c r="AF71" s="1"/>
      <c r="AG71" s="1"/>
      <c r="AH71" s="1"/>
      <c r="AI71" s="1"/>
      <c r="AJ71" s="1"/>
    </row>
    <row r="72" spans="2:36" ht="16" thickBot="1">
      <c r="B72" s="40"/>
      <c r="C72" s="71">
        <f t="shared" si="4"/>
        <v>15.75</v>
      </c>
      <c r="D72" s="42">
        <v>14.971036092409401</v>
      </c>
      <c r="E72">
        <v>0.58577164785678704</v>
      </c>
      <c r="F72" s="42"/>
      <c r="G72" s="79">
        <f t="shared" si="0"/>
        <v>3.91269945674491E-2</v>
      </c>
      <c r="H72" s="42"/>
      <c r="I72" s="79">
        <v>1.215229286007278</v>
      </c>
      <c r="J72" s="42">
        <v>24.027854335229399</v>
      </c>
      <c r="K72">
        <v>29.199352268087701</v>
      </c>
      <c r="L72" s="42"/>
      <c r="M72" s="82">
        <f t="shared" si="1"/>
        <v>6.0069635838073498</v>
      </c>
      <c r="N72" s="84">
        <f t="shared" si="1"/>
        <v>7.2998380670219252</v>
      </c>
      <c r="O72" s="12"/>
      <c r="P72" s="86">
        <f t="shared" si="2"/>
        <v>1.4377999511815164E-2</v>
      </c>
      <c r="Q72" s="87">
        <f t="shared" si="3"/>
        <v>2.978460002307253E-3</v>
      </c>
      <c r="R72" s="42"/>
      <c r="S72" s="88">
        <f t="shared" si="8"/>
        <v>0.53360929038405669</v>
      </c>
      <c r="T72" s="89">
        <f t="shared" si="8"/>
        <v>0.9744413511143365</v>
      </c>
      <c r="U72" s="42"/>
      <c r="V72" s="71">
        <f t="shared" si="11"/>
        <v>0.16200000000000001</v>
      </c>
      <c r="W72" s="63">
        <f t="shared" si="12"/>
        <v>0.15407832538895694</v>
      </c>
      <c r="X72" s="63">
        <f t="shared" si="13"/>
        <v>0.16306594759638274</v>
      </c>
      <c r="Y72" s="63">
        <f t="shared" si="14"/>
        <v>0.72528380792217007</v>
      </c>
      <c r="Z72" s="63">
        <f t="shared" si="15"/>
        <v>0.16200000000000001</v>
      </c>
      <c r="AA72" s="104">
        <f t="shared" si="9"/>
        <v>1.4082095198054253E-2</v>
      </c>
      <c r="AB72" s="105">
        <f t="shared" si="10"/>
        <v>2.0950000000000003E-2</v>
      </c>
      <c r="AC72" s="43"/>
      <c r="AD72" s="1"/>
      <c r="AE72" s="1"/>
      <c r="AF72" s="1"/>
      <c r="AG72" s="1"/>
      <c r="AH72" s="1"/>
      <c r="AI72" s="1"/>
      <c r="AJ72" s="1"/>
    </row>
    <row r="73" spans="2:36" ht="16" thickBot="1">
      <c r="B73" s="40"/>
      <c r="C73" s="71">
        <f t="shared" si="4"/>
        <v>16</v>
      </c>
      <c r="D73" s="42">
        <v>10.1149840608206</v>
      </c>
      <c r="E73">
        <v>1.6812704268502201</v>
      </c>
      <c r="F73" s="42"/>
      <c r="G73" s="79">
        <f t="shared" si="0"/>
        <v>0.16621582562472406</v>
      </c>
      <c r="H73" s="42"/>
      <c r="I73" s="79">
        <v>1.178174860901487</v>
      </c>
      <c r="J73" s="42">
        <v>9.2984179907333093</v>
      </c>
      <c r="K73">
        <v>10.955162322836101</v>
      </c>
      <c r="L73" s="42"/>
      <c r="M73" s="82">
        <f t="shared" si="1"/>
        <v>2.3246044976833273</v>
      </c>
      <c r="N73" s="84">
        <f t="shared" si="1"/>
        <v>2.7387905807090251</v>
      </c>
      <c r="O73" s="12"/>
      <c r="P73" s="86">
        <f t="shared" si="2"/>
        <v>5.5640694115328491E-3</v>
      </c>
      <c r="Q73" s="87">
        <f t="shared" si="3"/>
        <v>1.1174738568777056E-3</v>
      </c>
      <c r="R73" s="42"/>
      <c r="S73" s="88">
        <f t="shared" si="8"/>
        <v>0.53917335979558956</v>
      </c>
      <c r="T73" s="89">
        <f t="shared" si="8"/>
        <v>0.97555882497121416</v>
      </c>
      <c r="U73" s="42"/>
      <c r="V73" s="71">
        <f t="shared" si="11"/>
        <v>0.187</v>
      </c>
      <c r="W73" s="63">
        <f t="shared" si="12"/>
        <v>0.18244287184633426</v>
      </c>
      <c r="X73" s="63">
        <f t="shared" si="13"/>
        <v>0.18718694690276896</v>
      </c>
      <c r="Y73" s="63">
        <f t="shared" si="14"/>
        <v>0.76576759699391717</v>
      </c>
      <c r="Z73" s="63">
        <f t="shared" si="15"/>
        <v>0.187</v>
      </c>
      <c r="AA73" s="104">
        <f t="shared" si="9"/>
        <v>1.4469189924847933E-2</v>
      </c>
      <c r="AB73" s="105">
        <f t="shared" si="10"/>
        <v>2.0325000000000003E-2</v>
      </c>
      <c r="AC73" s="43"/>
      <c r="AD73" s="1"/>
      <c r="AE73" s="1"/>
      <c r="AF73" s="1"/>
      <c r="AG73" s="1"/>
      <c r="AH73" s="1"/>
      <c r="AI73" s="1"/>
      <c r="AJ73" s="1"/>
    </row>
    <row r="74" spans="2:36" ht="16" thickBot="1">
      <c r="B74" s="40"/>
      <c r="C74" s="71">
        <f t="shared" si="4"/>
        <v>16.25</v>
      </c>
      <c r="D74" s="42">
        <v>8.364013646147141</v>
      </c>
      <c r="E74">
        <v>78.037748859826294</v>
      </c>
      <c r="F74" s="42"/>
      <c r="G74" s="79">
        <f t="shared" si="0"/>
        <v>9.3301795240104806</v>
      </c>
      <c r="H74" s="42"/>
      <c r="I74" s="79">
        <v>1.0673556052230033</v>
      </c>
      <c r="J74" s="42">
        <v>13.774387018453298</v>
      </c>
      <c r="K74">
        <v>14.702169192657101</v>
      </c>
      <c r="L74" s="42"/>
      <c r="M74" s="82">
        <f t="shared" si="1"/>
        <v>3.4435967546133246</v>
      </c>
      <c r="N74" s="84">
        <f t="shared" si="1"/>
        <v>3.6755422981642751</v>
      </c>
      <c r="O74" s="12"/>
      <c r="P74" s="86">
        <f t="shared" si="2"/>
        <v>8.2424392566962778E-3</v>
      </c>
      <c r="Q74" s="87">
        <f t="shared" si="3"/>
        <v>1.4996847356556426E-3</v>
      </c>
      <c r="R74" s="42"/>
      <c r="S74" s="88">
        <f t="shared" si="8"/>
        <v>0.54741579905228588</v>
      </c>
      <c r="T74" s="89">
        <f t="shared" si="8"/>
        <v>0.9770585097068698</v>
      </c>
      <c r="U74" s="42"/>
      <c r="V74" s="71">
        <f t="shared" si="11"/>
        <v>0.21199999999999999</v>
      </c>
      <c r="W74" s="63">
        <f t="shared" si="12"/>
        <v>0.20876863375702645</v>
      </c>
      <c r="X74" s="63">
        <f t="shared" si="13"/>
        <v>0.22300519339046349</v>
      </c>
      <c r="Y74" s="63">
        <f t="shared" si="14"/>
        <v>0.79957590962730907</v>
      </c>
      <c r="Z74" s="63">
        <f t="shared" si="15"/>
        <v>0.21199999999999999</v>
      </c>
      <c r="AA74" s="104">
        <f t="shared" si="9"/>
        <v>1.468939774068273E-2</v>
      </c>
      <c r="AB74" s="105">
        <f t="shared" si="10"/>
        <v>1.9700000000000006E-2</v>
      </c>
      <c r="AC74" s="43"/>
      <c r="AD74" s="1"/>
      <c r="AE74" s="1"/>
      <c r="AF74" s="1"/>
      <c r="AG74" s="1"/>
      <c r="AH74" s="1"/>
      <c r="AI74" s="1"/>
      <c r="AJ74" s="1"/>
    </row>
    <row r="75" spans="2:36" ht="16" thickBot="1">
      <c r="B75" s="40"/>
      <c r="C75" s="71">
        <f t="shared" si="4"/>
        <v>16.5</v>
      </c>
      <c r="D75" s="42">
        <v>9.6102837027945913</v>
      </c>
      <c r="E75">
        <v>4.6967141547036002</v>
      </c>
      <c r="F75" s="42"/>
      <c r="G75" s="79">
        <f t="shared" ref="G75:G121" si="16">E75/D75</f>
        <v>0.48871753425321196</v>
      </c>
      <c r="H75" s="42"/>
      <c r="I75" s="79">
        <v>0.95919641406816614</v>
      </c>
      <c r="J75" s="42">
        <v>8.5177005569934412</v>
      </c>
      <c r="K75">
        <v>8.1701478303745301</v>
      </c>
      <c r="L75" s="42"/>
      <c r="M75" s="82">
        <f t="shared" ref="M75:N114" si="17">J75*0.25</f>
        <v>2.1294251392483603</v>
      </c>
      <c r="N75" s="84">
        <f t="shared" si="17"/>
        <v>2.0425369575936325</v>
      </c>
      <c r="O75" s="12"/>
      <c r="P75" s="86">
        <f t="shared" ref="P75:P121" si="18">M75/SUM($M$10:$M$121)</f>
        <v>5.0968968240613487E-3</v>
      </c>
      <c r="Q75" s="87">
        <f t="shared" ref="Q75:Q121" si="19">N75/SUM($N$10:$N$121)</f>
        <v>8.3339035408341313E-4</v>
      </c>
      <c r="R75" s="42"/>
      <c r="S75" s="88">
        <f t="shared" si="8"/>
        <v>0.55251269587634722</v>
      </c>
      <c r="T75" s="89">
        <f t="shared" si="8"/>
        <v>0.97789190006095317</v>
      </c>
      <c r="U75" s="42"/>
      <c r="V75" s="71">
        <f t="shared" si="11"/>
        <v>0.23699999999999999</v>
      </c>
      <c r="W75" s="63">
        <f t="shared" si="12"/>
        <v>0.2351983416423255</v>
      </c>
      <c r="X75" s="63">
        <f t="shared" si="13"/>
        <v>0.24352919616642155</v>
      </c>
      <c r="Y75" s="63">
        <f t="shared" si="14"/>
        <v>0.83069924688758079</v>
      </c>
      <c r="Z75" s="63">
        <f t="shared" si="15"/>
        <v>0.23699999999999999</v>
      </c>
      <c r="AA75" s="104">
        <f t="shared" si="9"/>
        <v>1.4842481172189522E-2</v>
      </c>
      <c r="AB75" s="105">
        <f t="shared" si="10"/>
        <v>1.9075000000000005E-2</v>
      </c>
      <c r="AC75" s="43"/>
      <c r="AD75" s="1"/>
      <c r="AE75" s="1"/>
      <c r="AF75" s="1"/>
      <c r="AG75" s="1"/>
      <c r="AH75" s="1"/>
      <c r="AI75" s="1"/>
      <c r="AJ75" s="1"/>
    </row>
    <row r="76" spans="2:36" ht="16" thickBot="1">
      <c r="B76" s="40"/>
      <c r="C76" s="71">
        <f t="shared" ref="C76:C121" si="20">C75+0.25</f>
        <v>16.75</v>
      </c>
      <c r="D76" s="42">
        <v>9.5477940456323793</v>
      </c>
      <c r="E76">
        <v>107.42730305637799</v>
      </c>
      <c r="F76" s="42"/>
      <c r="G76" s="79">
        <f t="shared" si="16"/>
        <v>11.251531248259425</v>
      </c>
      <c r="H76" s="42"/>
      <c r="I76" s="79">
        <v>0.95432513173443212</v>
      </c>
      <c r="J76" s="42">
        <v>9.0415599710165004</v>
      </c>
      <c r="K76">
        <v>8.6285879104250895</v>
      </c>
      <c r="L76" s="42"/>
      <c r="M76" s="82">
        <f t="shared" si="17"/>
        <v>2.2603899927541251</v>
      </c>
      <c r="N76" s="84">
        <f t="shared" si="17"/>
        <v>2.1571469776062724</v>
      </c>
      <c r="O76" s="12"/>
      <c r="P76" s="86">
        <f t="shared" si="18"/>
        <v>5.4103684430414885E-3</v>
      </c>
      <c r="Q76" s="87">
        <f t="shared" si="19"/>
        <v>8.8015322160693132E-4</v>
      </c>
      <c r="R76" s="42"/>
      <c r="S76" s="88">
        <f t="shared" ref="S76:T91" si="21">P76+S75</f>
        <v>0.55792306431938865</v>
      </c>
      <c r="T76" s="89">
        <f t="shared" si="21"/>
        <v>0.97877205328256012</v>
      </c>
      <c r="U76" s="42"/>
      <c r="V76" s="71">
        <f t="shared" si="11"/>
        <v>0.26200000000000001</v>
      </c>
      <c r="W76" s="63">
        <f t="shared" si="12"/>
        <v>0.25700409867735541</v>
      </c>
      <c r="X76" s="63">
        <f t="shared" si="13"/>
        <v>0.26469499407378072</v>
      </c>
      <c r="Y76" s="63">
        <f t="shared" si="14"/>
        <v>0.85502212879701889</v>
      </c>
      <c r="Z76" s="63">
        <f t="shared" si="15"/>
        <v>0.26200000000000001</v>
      </c>
      <c r="AA76" s="104">
        <f t="shared" si="9"/>
        <v>1.4825553219925475E-2</v>
      </c>
      <c r="AB76" s="105">
        <f t="shared" si="10"/>
        <v>1.8450000000000005E-2</v>
      </c>
      <c r="AC76" s="43"/>
      <c r="AD76" s="1"/>
      <c r="AE76" s="1"/>
      <c r="AF76" s="1"/>
      <c r="AG76" s="1"/>
      <c r="AH76" s="1"/>
      <c r="AI76" s="1"/>
      <c r="AJ76" s="1"/>
    </row>
    <row r="77" spans="2:36" ht="16" thickBot="1">
      <c r="B77" s="40"/>
      <c r="C77" s="71">
        <f t="shared" si="20"/>
        <v>17</v>
      </c>
      <c r="D77" s="42">
        <v>8.6740063657627395</v>
      </c>
      <c r="E77">
        <v>0.73766070014766605</v>
      </c>
      <c r="F77" s="42"/>
      <c r="G77" s="79">
        <f t="shared" si="16"/>
        <v>8.5042674519965111E-2</v>
      </c>
      <c r="H77" s="42"/>
      <c r="I77" s="79">
        <v>0.93282392027948469</v>
      </c>
      <c r="J77" s="42">
        <v>23.570555181240199</v>
      </c>
      <c r="K77">
        <v>21.987177687328401</v>
      </c>
      <c r="L77" s="42"/>
      <c r="M77" s="82">
        <f t="shared" si="17"/>
        <v>5.8926387953100496</v>
      </c>
      <c r="N77" s="84">
        <f t="shared" si="17"/>
        <v>5.4967944218321003</v>
      </c>
      <c r="O77" s="12"/>
      <c r="P77" s="86">
        <f t="shared" si="18"/>
        <v>1.4104356808597592E-2</v>
      </c>
      <c r="Q77" s="87">
        <f t="shared" si="19"/>
        <v>2.2427870558246123E-3</v>
      </c>
      <c r="R77" s="42"/>
      <c r="S77" s="88">
        <f t="shared" si="21"/>
        <v>0.57202742112798621</v>
      </c>
      <c r="T77" s="89">
        <f t="shared" si="21"/>
        <v>0.98101484033838471</v>
      </c>
      <c r="U77" s="42"/>
      <c r="V77" s="71">
        <f t="shared" si="11"/>
        <v>0.28700000000000003</v>
      </c>
      <c r="W77" s="63">
        <f t="shared" si="12"/>
        <v>0.28008044833445783</v>
      </c>
      <c r="X77" s="63">
        <f t="shared" si="13"/>
        <v>0.28823516770811319</v>
      </c>
      <c r="Y77" s="63">
        <f t="shared" si="14"/>
        <v>0.87518894685876758</v>
      </c>
      <c r="Z77" s="63">
        <f t="shared" si="15"/>
        <v>0.28700000000000003</v>
      </c>
      <c r="AA77" s="104">
        <f t="shared" si="9"/>
        <v>1.4704723671469192E-2</v>
      </c>
      <c r="AB77" s="105">
        <f t="shared" si="10"/>
        <v>1.7825000000000004E-2</v>
      </c>
      <c r="AC77" s="43"/>
      <c r="AD77" s="1"/>
      <c r="AE77" s="1"/>
      <c r="AF77" s="1"/>
      <c r="AG77" s="1"/>
      <c r="AH77" s="1"/>
      <c r="AI77" s="1"/>
      <c r="AJ77" s="1"/>
    </row>
    <row r="78" spans="2:36" ht="16" thickBot="1">
      <c r="B78" s="40"/>
      <c r="C78" s="71">
        <f t="shared" si="20"/>
        <v>17.25</v>
      </c>
      <c r="D78" s="42">
        <v>13.187213010009099</v>
      </c>
      <c r="E78">
        <v>0.14574936274526101</v>
      </c>
      <c r="F78" s="42"/>
      <c r="G78" s="79">
        <f t="shared" si="16"/>
        <v>1.1052324902512548E-2</v>
      </c>
      <c r="H78" s="42"/>
      <c r="I78" s="79">
        <v>0.77731765674785391</v>
      </c>
      <c r="J78" s="42">
        <v>16.3275203309693</v>
      </c>
      <c r="K78">
        <v>12.691669844172001</v>
      </c>
      <c r="L78" s="42"/>
      <c r="M78" s="82">
        <f t="shared" si="17"/>
        <v>4.0818800827423249</v>
      </c>
      <c r="N78" s="84">
        <f t="shared" si="17"/>
        <v>3.1729174610430002</v>
      </c>
      <c r="O78" s="12"/>
      <c r="P78" s="86">
        <f t="shared" si="18"/>
        <v>9.7702056984601514E-3</v>
      </c>
      <c r="Q78" s="87">
        <f t="shared" si="19"/>
        <v>1.2946051215892639E-3</v>
      </c>
      <c r="R78" s="42"/>
      <c r="S78" s="88">
        <f t="shared" si="21"/>
        <v>0.58179762682644631</v>
      </c>
      <c r="T78" s="89">
        <f t="shared" si="21"/>
        <v>0.98230944545997401</v>
      </c>
      <c r="U78" s="42"/>
      <c r="V78" s="71">
        <f t="shared" si="11"/>
        <v>0.31200000000000006</v>
      </c>
      <c r="W78" s="63">
        <f t="shared" si="12"/>
        <v>0.30938149478924171</v>
      </c>
      <c r="X78" s="63">
        <f t="shared" si="13"/>
        <v>0.32009228811557627</v>
      </c>
      <c r="Y78" s="63">
        <f t="shared" si="14"/>
        <v>0.89152795425306053</v>
      </c>
      <c r="Z78" s="63">
        <f t="shared" si="15"/>
        <v>0.31200000000000006</v>
      </c>
      <c r="AA78" s="104">
        <f t="shared" si="9"/>
        <v>1.4488198856326514E-2</v>
      </c>
      <c r="AB78" s="105">
        <f t="shared" si="10"/>
        <v>1.7200000000000003E-2</v>
      </c>
      <c r="AC78" s="43"/>
      <c r="AD78" s="1"/>
      <c r="AE78" s="1"/>
      <c r="AF78" s="1"/>
      <c r="AG78" s="1"/>
      <c r="AH78" s="1"/>
      <c r="AI78" s="1"/>
      <c r="AJ78" s="1"/>
    </row>
    <row r="79" spans="2:36" ht="16" thickBot="1">
      <c r="B79" s="40"/>
      <c r="C79" s="71">
        <f t="shared" si="20"/>
        <v>17.5</v>
      </c>
      <c r="D79" s="42">
        <v>91.655393542459692</v>
      </c>
      <c r="E79">
        <v>11.341361029965</v>
      </c>
      <c r="F79" s="42"/>
      <c r="G79" s="79">
        <f t="shared" si="16"/>
        <v>0.12373915589278522</v>
      </c>
      <c r="H79" s="42"/>
      <c r="I79" s="79">
        <v>0.7763915165680606</v>
      </c>
      <c r="J79" s="42">
        <v>9.8650217502493796</v>
      </c>
      <c r="K79">
        <v>7.6591191976530197</v>
      </c>
      <c r="L79" s="42"/>
      <c r="M79" s="82">
        <f t="shared" si="17"/>
        <v>2.4662554375623449</v>
      </c>
      <c r="N79" s="84">
        <f t="shared" si="17"/>
        <v>1.9147797994132549</v>
      </c>
      <c r="O79" s="12"/>
      <c r="P79" s="86">
        <f t="shared" si="18"/>
        <v>5.9031187691681742E-3</v>
      </c>
      <c r="Q79" s="87">
        <f t="shared" si="19"/>
        <v>7.8126322713141288E-4</v>
      </c>
      <c r="R79" s="42"/>
      <c r="S79" s="88">
        <f t="shared" si="21"/>
        <v>0.58770074559561447</v>
      </c>
      <c r="T79" s="89">
        <f t="shared" si="21"/>
        <v>0.98309070868710546</v>
      </c>
      <c r="U79" s="42"/>
      <c r="V79" s="71">
        <f t="shared" si="11"/>
        <v>0.33700000000000008</v>
      </c>
      <c r="W79" s="63">
        <f t="shared" si="12"/>
        <v>0.33205447572936808</v>
      </c>
      <c r="X79" s="63">
        <f t="shared" si="13"/>
        <v>0.34476538974784732</v>
      </c>
      <c r="Y79" s="63">
        <f t="shared" si="14"/>
        <v>0.90667608329266025</v>
      </c>
      <c r="Z79" s="63">
        <f t="shared" si="15"/>
        <v>0.33700000000000008</v>
      </c>
      <c r="AA79" s="104">
        <f t="shared" si="9"/>
        <v>1.4241902082316507E-2</v>
      </c>
      <c r="AB79" s="105">
        <f t="shared" si="10"/>
        <v>1.6575000000000003E-2</v>
      </c>
      <c r="AC79" s="43"/>
      <c r="AD79" s="1"/>
      <c r="AE79" s="1"/>
      <c r="AF79" s="1"/>
      <c r="AG79" s="1"/>
      <c r="AH79" s="1"/>
      <c r="AI79" s="1"/>
      <c r="AJ79" s="1"/>
    </row>
    <row r="80" spans="2:36" ht="16" thickBot="1">
      <c r="B80" s="40"/>
      <c r="C80" s="71">
        <f t="shared" si="20"/>
        <v>17.75</v>
      </c>
      <c r="D80" s="42">
        <v>13.330992704942398</v>
      </c>
      <c r="E80">
        <v>65.610368737180906</v>
      </c>
      <c r="F80" s="42"/>
      <c r="G80" s="79">
        <f t="shared" si="16"/>
        <v>4.9216416353491956</v>
      </c>
      <c r="H80" s="42"/>
      <c r="I80" s="79">
        <v>0.74384956142722813</v>
      </c>
      <c r="J80" s="42">
        <v>12.907208328170899</v>
      </c>
      <c r="K80">
        <v>9.6010212541597895</v>
      </c>
      <c r="L80" s="42"/>
      <c r="M80" s="82">
        <f t="shared" si="17"/>
        <v>3.2268020820427248</v>
      </c>
      <c r="N80" s="84">
        <f t="shared" si="17"/>
        <v>2.4002553135399474</v>
      </c>
      <c r="O80" s="12"/>
      <c r="P80" s="86">
        <f t="shared" si="18"/>
        <v>7.7235292195542617E-3</v>
      </c>
      <c r="Q80" s="87">
        <f t="shared" si="19"/>
        <v>9.7934562124071226E-4</v>
      </c>
      <c r="R80" s="42"/>
      <c r="S80" s="88">
        <f t="shared" si="21"/>
        <v>0.59542427481516869</v>
      </c>
      <c r="T80" s="89">
        <f t="shared" si="21"/>
        <v>0.98407005430834615</v>
      </c>
      <c r="U80" s="42"/>
      <c r="V80" s="71">
        <f t="shared" si="11"/>
        <v>0.3620000000000001</v>
      </c>
      <c r="W80" s="63">
        <f t="shared" si="12"/>
        <v>0.35968518031192881</v>
      </c>
      <c r="X80" s="63">
        <f t="shared" si="13"/>
        <v>0.36469653141743535</v>
      </c>
      <c r="Y80" s="63">
        <f t="shared" si="14"/>
        <v>0.92034729977796725</v>
      </c>
      <c r="Z80" s="63">
        <f t="shared" si="15"/>
        <v>0.3620000000000001</v>
      </c>
      <c r="AA80" s="104">
        <f t="shared" si="9"/>
        <v>1.3958682494449181E-2</v>
      </c>
      <c r="AB80" s="105">
        <f t="shared" si="10"/>
        <v>1.5949999999999999E-2</v>
      </c>
      <c r="AC80" s="43"/>
      <c r="AD80" s="1"/>
      <c r="AE80" s="1"/>
      <c r="AF80" s="1"/>
      <c r="AG80" s="1"/>
      <c r="AH80" s="1"/>
      <c r="AI80" s="1"/>
      <c r="AJ80" s="1"/>
    </row>
    <row r="81" spans="2:36" ht="16" thickBot="1">
      <c r="B81" s="40"/>
      <c r="C81" s="71">
        <f t="shared" si="20"/>
        <v>18</v>
      </c>
      <c r="D81" s="42">
        <v>15.4309163069235</v>
      </c>
      <c r="E81">
        <v>1.9450546568087701</v>
      </c>
      <c r="F81" s="42"/>
      <c r="G81" s="79">
        <f t="shared" si="16"/>
        <v>0.12604920006831147</v>
      </c>
      <c r="H81" s="42"/>
      <c r="I81" s="79">
        <v>0.71293045478916106</v>
      </c>
      <c r="J81" s="42">
        <v>15.8065676548892</v>
      </c>
      <c r="K81">
        <v>11.268983466855801</v>
      </c>
      <c r="L81" s="42"/>
      <c r="M81" s="82">
        <f t="shared" si="17"/>
        <v>3.9516419137223</v>
      </c>
      <c r="N81" s="84">
        <f t="shared" si="17"/>
        <v>2.8172458667139502</v>
      </c>
      <c r="O81" s="12"/>
      <c r="P81" s="86">
        <f t="shared" si="18"/>
        <v>9.4584734389809386E-3</v>
      </c>
      <c r="Q81" s="87">
        <f t="shared" si="19"/>
        <v>1.1494849685201554E-3</v>
      </c>
      <c r="R81" s="42"/>
      <c r="S81" s="88">
        <f t="shared" si="21"/>
        <v>0.60488274825414967</v>
      </c>
      <c r="T81" s="89">
        <f t="shared" si="21"/>
        <v>0.98521953927686634</v>
      </c>
      <c r="U81" s="42"/>
      <c r="V81" s="71">
        <f t="shared" si="11"/>
        <v>0.38700000000000012</v>
      </c>
      <c r="W81" s="63">
        <f t="shared" si="12"/>
        <v>0.38403514020050167</v>
      </c>
      <c r="X81" s="63">
        <f t="shared" si="13"/>
        <v>0.3933190790235559</v>
      </c>
      <c r="Y81" s="63">
        <f t="shared" si="14"/>
        <v>0.93285167045975448</v>
      </c>
      <c r="Z81" s="63">
        <f t="shared" si="15"/>
        <v>0.38700000000000012</v>
      </c>
      <c r="AA81" s="104">
        <f t="shared" si="9"/>
        <v>1.3646291761493862E-2</v>
      </c>
      <c r="AB81" s="105">
        <f t="shared" si="10"/>
        <v>1.5325E-2</v>
      </c>
      <c r="AC81" s="43"/>
      <c r="AD81" s="1"/>
      <c r="AE81" s="1"/>
      <c r="AF81" s="1"/>
      <c r="AG81" s="1"/>
      <c r="AH81" s="1"/>
      <c r="AI81" s="1"/>
      <c r="AJ81" s="1"/>
    </row>
    <row r="82" spans="2:36" ht="16" thickBot="1">
      <c r="B82" s="40"/>
      <c r="C82" s="71">
        <f t="shared" si="20"/>
        <v>18.25</v>
      </c>
      <c r="D82" s="42">
        <v>28.314616790421699</v>
      </c>
      <c r="E82">
        <v>1.2963504892136599</v>
      </c>
      <c r="F82" s="42"/>
      <c r="G82" s="79">
        <f t="shared" si="16"/>
        <v>4.5783790711664898E-2</v>
      </c>
      <c r="H82" s="42"/>
      <c r="I82" s="79">
        <v>0.67295027341370339</v>
      </c>
      <c r="J82" s="42">
        <v>10.476711415933</v>
      </c>
      <c r="K82">
        <v>7.0503058118285802</v>
      </c>
      <c r="L82" s="42"/>
      <c r="M82" s="82">
        <f t="shared" si="17"/>
        <v>2.61917785398325</v>
      </c>
      <c r="N82" s="84">
        <f t="shared" si="17"/>
        <v>1.762576452957145</v>
      </c>
      <c r="O82" s="12"/>
      <c r="P82" s="86">
        <f t="shared" si="18"/>
        <v>6.2691470291983062E-3</v>
      </c>
      <c r="Q82" s="87">
        <f t="shared" si="19"/>
        <v>7.1916163316800322E-4</v>
      </c>
      <c r="R82" s="42"/>
      <c r="S82" s="88">
        <f t="shared" si="21"/>
        <v>0.61115189528334801</v>
      </c>
      <c r="T82" s="89">
        <f t="shared" si="21"/>
        <v>0.98593870091003433</v>
      </c>
      <c r="U82" s="42"/>
      <c r="V82" s="71">
        <f t="shared" si="11"/>
        <v>0.41200000000000014</v>
      </c>
      <c r="W82" s="63">
        <f t="shared" si="12"/>
        <v>0.4094408236600654</v>
      </c>
      <c r="X82" s="63">
        <f t="shared" si="13"/>
        <v>0.41820128671194062</v>
      </c>
      <c r="Y82" s="63">
        <f t="shared" si="14"/>
        <v>0.94343755949497143</v>
      </c>
      <c r="Z82" s="63">
        <f t="shared" si="15"/>
        <v>0.41200000000000014</v>
      </c>
      <c r="AA82" s="104">
        <f t="shared" si="9"/>
        <v>1.3285938987374285E-2</v>
      </c>
      <c r="AB82" s="105">
        <f t="shared" si="10"/>
        <v>1.47E-2</v>
      </c>
      <c r="AC82" s="43"/>
      <c r="AD82" s="1"/>
      <c r="AE82" s="1"/>
      <c r="AF82" s="1"/>
      <c r="AG82" s="1"/>
      <c r="AH82" s="1"/>
      <c r="AI82" s="1"/>
      <c r="AJ82" s="1"/>
    </row>
    <row r="83" spans="2:36" ht="16" thickBot="1">
      <c r="B83" s="40"/>
      <c r="C83" s="71">
        <f t="shared" si="20"/>
        <v>18.5</v>
      </c>
      <c r="D83" s="42">
        <v>8.7216616905176814</v>
      </c>
      <c r="E83">
        <v>604.82146488747799</v>
      </c>
      <c r="F83" s="42"/>
      <c r="G83" s="79">
        <f t="shared" si="16"/>
        <v>69.347044903730762</v>
      </c>
      <c r="H83" s="42"/>
      <c r="I83" s="79">
        <v>0.59814873237174626</v>
      </c>
      <c r="J83" s="42">
        <v>7.2896310328808598</v>
      </c>
      <c r="K83">
        <v>4.3602835617754296</v>
      </c>
      <c r="L83" s="42"/>
      <c r="M83" s="82">
        <f t="shared" si="17"/>
        <v>1.8224077582202149</v>
      </c>
      <c r="N83" s="84">
        <f t="shared" si="17"/>
        <v>1.0900708904438574</v>
      </c>
      <c r="O83" s="12"/>
      <c r="P83" s="86">
        <f t="shared" si="18"/>
        <v>4.3620337450773474E-3</v>
      </c>
      <c r="Q83" s="87">
        <f t="shared" si="19"/>
        <v>4.4476774923735157E-4</v>
      </c>
      <c r="R83" s="42"/>
      <c r="S83" s="88">
        <f t="shared" si="21"/>
        <v>0.61551392902842539</v>
      </c>
      <c r="T83" s="89">
        <f t="shared" si="21"/>
        <v>0.98638346865927173</v>
      </c>
      <c r="U83" s="42"/>
      <c r="V83" s="71">
        <f t="shared" si="11"/>
        <v>0.43700000000000017</v>
      </c>
      <c r="W83" s="63">
        <f t="shared" si="12"/>
        <v>0.42455604174388933</v>
      </c>
      <c r="X83" s="63">
        <f t="shared" si="13"/>
        <v>0.43845272698308868</v>
      </c>
      <c r="Y83" s="63">
        <f t="shared" si="14"/>
        <v>0.95105775670081083</v>
      </c>
      <c r="Z83" s="63">
        <f t="shared" si="15"/>
        <v>0.43700000000000017</v>
      </c>
      <c r="AA83" s="104">
        <f t="shared" si="9"/>
        <v>1.2851443917520269E-2</v>
      </c>
      <c r="AB83" s="105">
        <f t="shared" si="10"/>
        <v>1.4074999999999999E-2</v>
      </c>
      <c r="AC83" s="43"/>
      <c r="AD83" s="1"/>
      <c r="AE83" s="1"/>
      <c r="AF83" s="1"/>
      <c r="AG83" s="1"/>
      <c r="AH83" s="1"/>
      <c r="AI83" s="1"/>
      <c r="AJ83" s="1"/>
    </row>
    <row r="84" spans="2:36" ht="16" thickBot="1">
      <c r="B84" s="40"/>
      <c r="C84" s="71">
        <f t="shared" si="20"/>
        <v>18.75</v>
      </c>
      <c r="D84" s="42">
        <v>15.819415128188899</v>
      </c>
      <c r="E84">
        <v>61.983204532535702</v>
      </c>
      <c r="F84" s="42"/>
      <c r="G84" s="79">
        <f t="shared" si="16"/>
        <v>3.9181729558437794</v>
      </c>
      <c r="H84" s="42"/>
      <c r="I84" s="79">
        <v>0.56371074174458569</v>
      </c>
      <c r="J84" s="42">
        <v>11.440911384091599</v>
      </c>
      <c r="K84">
        <v>6.4493646425603499</v>
      </c>
      <c r="L84" s="42"/>
      <c r="M84" s="82">
        <f t="shared" si="17"/>
        <v>2.8602278460228998</v>
      </c>
      <c r="N84" s="84">
        <f t="shared" si="17"/>
        <v>1.6123411606400875</v>
      </c>
      <c r="O84" s="12"/>
      <c r="P84" s="86">
        <f t="shared" si="18"/>
        <v>6.8461135147637837E-3</v>
      </c>
      <c r="Q84" s="87">
        <f t="shared" si="19"/>
        <v>6.5786303928236573E-4</v>
      </c>
      <c r="R84" s="42"/>
      <c r="S84" s="88">
        <f t="shared" si="21"/>
        <v>0.62236004254318922</v>
      </c>
      <c r="T84" s="89">
        <f t="shared" si="21"/>
        <v>0.98704133169855413</v>
      </c>
      <c r="U84" s="42"/>
      <c r="V84" s="71">
        <f t="shared" si="11"/>
        <v>0.46200000000000019</v>
      </c>
      <c r="W84" s="63">
        <f t="shared" si="12"/>
        <v>0.45817319156730024</v>
      </c>
      <c r="X84" s="63">
        <f t="shared" si="13"/>
        <v>0.46615735019416576</v>
      </c>
      <c r="Y84" s="63">
        <f t="shared" si="14"/>
        <v>0.95816317682049101</v>
      </c>
      <c r="Z84" s="63">
        <f t="shared" si="15"/>
        <v>0.46200000000000019</v>
      </c>
      <c r="AA84" s="104">
        <f t="shared" si="9"/>
        <v>1.2404079420512273E-2</v>
      </c>
      <c r="AB84" s="105">
        <f t="shared" si="10"/>
        <v>1.3449999999999998E-2</v>
      </c>
      <c r="AC84" s="43"/>
      <c r="AD84" s="1"/>
      <c r="AE84" s="1"/>
      <c r="AF84" s="1"/>
      <c r="AG84" s="1"/>
      <c r="AH84" s="1"/>
      <c r="AI84" s="1"/>
      <c r="AJ84" s="1"/>
    </row>
    <row r="85" spans="2:36" ht="16" thickBot="1">
      <c r="B85" s="40"/>
      <c r="C85" s="71">
        <f t="shared" si="20"/>
        <v>19</v>
      </c>
      <c r="D85" s="42">
        <v>12.907208328170899</v>
      </c>
      <c r="E85">
        <v>9.6010212541597895</v>
      </c>
      <c r="F85" s="42"/>
      <c r="G85" s="79">
        <f t="shared" si="16"/>
        <v>0.74384956142722813</v>
      </c>
      <c r="H85" s="42"/>
      <c r="I85" s="79">
        <v>0.54824520569816304</v>
      </c>
      <c r="J85" s="42">
        <v>9.9176312548654693</v>
      </c>
      <c r="K85">
        <v>5.4372937873622504</v>
      </c>
      <c r="L85" s="42"/>
      <c r="M85" s="82">
        <f t="shared" si="17"/>
        <v>2.4794078137163673</v>
      </c>
      <c r="N85" s="84">
        <f t="shared" si="17"/>
        <v>1.3593234468405626</v>
      </c>
      <c r="O85" s="12"/>
      <c r="P85" s="86">
        <f t="shared" si="18"/>
        <v>5.9345997087948939E-3</v>
      </c>
      <c r="Q85" s="87">
        <f t="shared" si="19"/>
        <v>5.5462744234061718E-4</v>
      </c>
      <c r="R85" s="42"/>
      <c r="S85" s="88">
        <f t="shared" si="21"/>
        <v>0.62829464225198406</v>
      </c>
      <c r="T85" s="89">
        <f t="shared" si="21"/>
        <v>0.98759595914089471</v>
      </c>
      <c r="U85" s="42"/>
      <c r="V85" s="71">
        <f t="shared" si="11"/>
        <v>0.48700000000000021</v>
      </c>
      <c r="W85" s="63">
        <f t="shared" si="12"/>
        <v>0.47993382628126768</v>
      </c>
      <c r="X85" s="63">
        <f t="shared" si="13"/>
        <v>0.49294384951697695</v>
      </c>
      <c r="Y85" s="63">
        <f t="shared" si="14"/>
        <v>0.96452730296125533</v>
      </c>
      <c r="Z85" s="63">
        <f t="shared" si="15"/>
        <v>0.48700000000000021</v>
      </c>
      <c r="AA85" s="104">
        <f t="shared" si="9"/>
        <v>1.193818257403138E-2</v>
      </c>
      <c r="AB85" s="105">
        <f t="shared" si="10"/>
        <v>1.2824999999999998E-2</v>
      </c>
      <c r="AC85" s="43"/>
      <c r="AD85" s="1"/>
      <c r="AE85" s="1"/>
      <c r="AF85" s="1"/>
      <c r="AG85" s="1"/>
      <c r="AH85" s="1"/>
      <c r="AI85" s="1"/>
      <c r="AJ85" s="1"/>
    </row>
    <row r="86" spans="2:36" ht="16" thickBot="1">
      <c r="B86" s="40"/>
      <c r="C86" s="71">
        <f t="shared" si="20"/>
        <v>19.25</v>
      </c>
      <c r="D86" s="42">
        <v>8.96055211646636</v>
      </c>
      <c r="E86">
        <v>1.19769541100386</v>
      </c>
      <c r="F86" s="42"/>
      <c r="G86" s="79">
        <f t="shared" si="16"/>
        <v>0.1336631264945064</v>
      </c>
      <c r="H86" s="42"/>
      <c r="I86" s="79">
        <v>0.53226386671433679</v>
      </c>
      <c r="J86" s="42">
        <v>6.47457658480005</v>
      </c>
      <c r="K86">
        <v>3.4461831683637798</v>
      </c>
      <c r="L86" s="42"/>
      <c r="M86" s="82">
        <f t="shared" si="17"/>
        <v>1.6186441462000125</v>
      </c>
      <c r="N86" s="84">
        <f t="shared" si="17"/>
        <v>0.86154579209094495</v>
      </c>
      <c r="O86" s="12"/>
      <c r="P86" s="86">
        <f t="shared" si="18"/>
        <v>3.8743142719562455E-3</v>
      </c>
      <c r="Q86" s="87">
        <f t="shared" si="19"/>
        <v>3.5152556239454629E-4</v>
      </c>
      <c r="R86" s="42"/>
      <c r="S86" s="88">
        <f t="shared" si="21"/>
        <v>0.63216895652394034</v>
      </c>
      <c r="T86" s="89">
        <f t="shared" si="21"/>
        <v>0.9879474847032893</v>
      </c>
      <c r="U86" s="42"/>
      <c r="V86" s="71">
        <f t="shared" si="11"/>
        <v>0.51200000000000023</v>
      </c>
      <c r="W86" s="63">
        <f t="shared" si="12"/>
        <v>0.50625524945928213</v>
      </c>
      <c r="X86" s="63">
        <f t="shared" si="13"/>
        <v>0.51923129087224151</v>
      </c>
      <c r="Y86" s="63">
        <f t="shared" si="14"/>
        <v>0.96992545006111297</v>
      </c>
      <c r="Z86" s="63">
        <f t="shared" si="15"/>
        <v>0.51200000000000023</v>
      </c>
      <c r="AA86" s="104">
        <f t="shared" si="9"/>
        <v>1.1448136251527821E-2</v>
      </c>
      <c r="AB86" s="105">
        <f t="shared" si="10"/>
        <v>1.2199999999999997E-2</v>
      </c>
      <c r="AC86" s="43"/>
      <c r="AD86" s="1"/>
      <c r="AE86" s="1"/>
      <c r="AF86" s="1"/>
      <c r="AG86" s="1"/>
      <c r="AH86" s="1"/>
      <c r="AI86" s="1"/>
      <c r="AJ86" s="1"/>
    </row>
    <row r="87" spans="2:36" ht="16" thickBot="1">
      <c r="B87" s="40"/>
      <c r="C87" s="71">
        <f t="shared" si="20"/>
        <v>19.5</v>
      </c>
      <c r="D87" s="42">
        <v>11.031378288795599</v>
      </c>
      <c r="E87">
        <v>0.60869275790325705</v>
      </c>
      <c r="F87" s="42"/>
      <c r="G87" s="79">
        <f t="shared" si="16"/>
        <v>5.5178305191609364E-2</v>
      </c>
      <c r="H87" s="42"/>
      <c r="I87" s="79">
        <v>0.51245987645458213</v>
      </c>
      <c r="J87" s="42">
        <v>22.785600445190902</v>
      </c>
      <c r="K87">
        <v>11.676705989086001</v>
      </c>
      <c r="L87" s="42"/>
      <c r="M87" s="82">
        <f t="shared" si="17"/>
        <v>5.6964001112977254</v>
      </c>
      <c r="N87" s="84">
        <f t="shared" si="17"/>
        <v>2.9191764972715002</v>
      </c>
      <c r="O87" s="12"/>
      <c r="P87" s="86">
        <f t="shared" si="18"/>
        <v>1.3634648666777943E-2</v>
      </c>
      <c r="Q87" s="87">
        <f t="shared" si="19"/>
        <v>1.1910744261681492E-3</v>
      </c>
      <c r="R87" s="42"/>
      <c r="S87" s="88">
        <f t="shared" si="21"/>
        <v>0.64580360519071833</v>
      </c>
      <c r="T87" s="89">
        <f t="shared" si="21"/>
        <v>0.98913855912945747</v>
      </c>
      <c r="U87" s="42"/>
      <c r="V87" s="71">
        <f t="shared" si="11"/>
        <v>0.53700000000000025</v>
      </c>
      <c r="W87" s="63">
        <f t="shared" si="12"/>
        <v>0.53360929038405669</v>
      </c>
      <c r="X87" s="63">
        <f t="shared" si="13"/>
        <v>0.53917335979558956</v>
      </c>
      <c r="Y87" s="63">
        <f t="shared" si="14"/>
        <v>0.97512233279731608</v>
      </c>
      <c r="Z87" s="63">
        <f t="shared" si="15"/>
        <v>0.53700000000000025</v>
      </c>
      <c r="AA87" s="104">
        <f t="shared" si="9"/>
        <v>1.0953058319932898E-2</v>
      </c>
      <c r="AB87" s="105">
        <f t="shared" si="10"/>
        <v>1.1574999999999995E-2</v>
      </c>
      <c r="AC87" s="43"/>
      <c r="AD87" s="1"/>
      <c r="AE87" s="1"/>
      <c r="AF87" s="1"/>
      <c r="AG87" s="1"/>
      <c r="AH87" s="1"/>
      <c r="AI87" s="1"/>
      <c r="AJ87" s="1"/>
    </row>
    <row r="88" spans="2:36" ht="16" thickBot="1">
      <c r="B88" s="40"/>
      <c r="C88" s="71">
        <f t="shared" si="20"/>
        <v>19.75</v>
      </c>
      <c r="D88" s="42">
        <v>11.879280786331901</v>
      </c>
      <c r="E88">
        <v>2.7539562120433398</v>
      </c>
      <c r="F88" s="42"/>
      <c r="G88" s="79">
        <f t="shared" si="16"/>
        <v>0.2318285308326069</v>
      </c>
      <c r="H88" s="42"/>
      <c r="I88" s="79">
        <v>0.49961355036639227</v>
      </c>
      <c r="J88" s="42">
        <v>14.7237237894913</v>
      </c>
      <c r="K88">
        <v>7.35617191708186</v>
      </c>
      <c r="L88" s="42"/>
      <c r="M88" s="82">
        <f t="shared" si="17"/>
        <v>3.6809309473728251</v>
      </c>
      <c r="N88" s="84">
        <f t="shared" si="17"/>
        <v>1.839042979270465</v>
      </c>
      <c r="O88" s="12"/>
      <c r="P88" s="86">
        <f t="shared" si="18"/>
        <v>8.8105117712078927E-3</v>
      </c>
      <c r="Q88" s="87">
        <f t="shared" si="19"/>
        <v>7.5036129650964687E-4</v>
      </c>
      <c r="R88" s="42"/>
      <c r="S88" s="88">
        <f t="shared" si="21"/>
        <v>0.65461411696192617</v>
      </c>
      <c r="T88" s="89">
        <f t="shared" si="21"/>
        <v>0.9898889204259671</v>
      </c>
      <c r="U88" s="42"/>
      <c r="V88" s="71">
        <f t="shared" si="11"/>
        <v>0.56200000000000028</v>
      </c>
      <c r="W88" s="63">
        <f t="shared" si="12"/>
        <v>0.55792306431938865</v>
      </c>
      <c r="X88" s="63">
        <f t="shared" si="13"/>
        <v>0.57202742112798621</v>
      </c>
      <c r="Y88" s="63">
        <f t="shared" si="14"/>
        <v>0.97942034222589791</v>
      </c>
      <c r="Z88" s="63">
        <f t="shared" si="15"/>
        <v>0.56200000000000028</v>
      </c>
      <c r="AA88" s="104">
        <f t="shared" si="9"/>
        <v>1.0435508555647443E-2</v>
      </c>
      <c r="AB88" s="105">
        <f t="shared" si="10"/>
        <v>1.0949999999999994E-2</v>
      </c>
      <c r="AC88" s="43"/>
      <c r="AD88" s="1"/>
      <c r="AE88" s="1"/>
      <c r="AF88" s="1"/>
      <c r="AG88" s="1"/>
      <c r="AH88" s="1"/>
      <c r="AI88" s="1"/>
      <c r="AJ88" s="1"/>
    </row>
    <row r="89" spans="2:36" ht="16" thickBot="1">
      <c r="B89" s="40"/>
      <c r="C89" s="71">
        <f t="shared" si="20"/>
        <v>20</v>
      </c>
      <c r="D89" s="42">
        <v>10.689156867210301</v>
      </c>
      <c r="E89">
        <v>2.5122948431698102</v>
      </c>
      <c r="F89" s="42"/>
      <c r="G89" s="79">
        <f t="shared" si="16"/>
        <v>0.23503208666311576</v>
      </c>
      <c r="H89" s="42"/>
      <c r="I89" s="79">
        <v>0.48871753425321196</v>
      </c>
      <c r="J89" s="42">
        <v>9.6102837027945913</v>
      </c>
      <c r="K89">
        <v>4.6967141547036002</v>
      </c>
      <c r="L89" s="42"/>
      <c r="M89" s="82">
        <f t="shared" si="17"/>
        <v>2.4025709256986478</v>
      </c>
      <c r="N89" s="84">
        <f t="shared" si="17"/>
        <v>1.1741785386759001</v>
      </c>
      <c r="O89" s="12"/>
      <c r="P89" s="86">
        <f t="shared" si="18"/>
        <v>5.7506863683867366E-3</v>
      </c>
      <c r="Q89" s="87">
        <f t="shared" si="19"/>
        <v>4.7908512228689743E-4</v>
      </c>
      <c r="R89" s="42"/>
      <c r="S89" s="88">
        <f t="shared" si="21"/>
        <v>0.66036480333031289</v>
      </c>
      <c r="T89" s="89">
        <f t="shared" si="21"/>
        <v>0.99036800554825399</v>
      </c>
      <c r="U89" s="42"/>
      <c r="V89" s="71">
        <f t="shared" si="11"/>
        <v>0.5870000000000003</v>
      </c>
      <c r="W89" s="63">
        <f t="shared" si="12"/>
        <v>0.58179762682644631</v>
      </c>
      <c r="X89" s="63">
        <f t="shared" si="13"/>
        <v>0.58770074559561447</v>
      </c>
      <c r="Y89" s="63">
        <f t="shared" si="14"/>
        <v>0.98299796673376938</v>
      </c>
      <c r="Z89" s="63">
        <f t="shared" si="15"/>
        <v>0.5870000000000003</v>
      </c>
      <c r="AA89" s="104">
        <f t="shared" si="9"/>
        <v>9.8999491683442291E-3</v>
      </c>
      <c r="AB89" s="105">
        <f t="shared" si="10"/>
        <v>1.0324999999999994E-2</v>
      </c>
      <c r="AC89" s="43"/>
      <c r="AD89" s="1"/>
      <c r="AE89" s="1"/>
      <c r="AF89" s="1"/>
      <c r="AG89" s="1"/>
      <c r="AH89" s="1"/>
      <c r="AI89" s="1"/>
      <c r="AJ89" s="1"/>
    </row>
    <row r="90" spans="2:36" ht="16" thickBot="1">
      <c r="B90" s="40"/>
      <c r="C90" s="71">
        <f t="shared" si="20"/>
        <v>20.25</v>
      </c>
      <c r="D90" s="42">
        <v>15.4907913918468</v>
      </c>
      <c r="E90">
        <v>1.33362818611064</v>
      </c>
      <c r="F90" s="42"/>
      <c r="G90" s="79">
        <f t="shared" si="16"/>
        <v>8.6091675523599309E-2</v>
      </c>
      <c r="H90" s="42"/>
      <c r="I90" s="79">
        <v>0.48868666344630013</v>
      </c>
      <c r="J90" s="42">
        <v>19.9344003782161</v>
      </c>
      <c r="K90">
        <v>9.7416756086330896</v>
      </c>
      <c r="L90" s="42"/>
      <c r="M90" s="82">
        <f t="shared" si="17"/>
        <v>4.9836000945540251</v>
      </c>
      <c r="N90" s="84">
        <f t="shared" si="17"/>
        <v>2.4354189021582724</v>
      </c>
      <c r="O90" s="12"/>
      <c r="P90" s="86">
        <f t="shared" si="18"/>
        <v>1.1928522410179773E-2</v>
      </c>
      <c r="Q90" s="87">
        <f t="shared" si="19"/>
        <v>9.936929726854539E-4</v>
      </c>
      <c r="R90" s="42"/>
      <c r="S90" s="88">
        <f t="shared" si="21"/>
        <v>0.67229332574049261</v>
      </c>
      <c r="T90" s="89">
        <f t="shared" si="21"/>
        <v>0.99136169852093947</v>
      </c>
      <c r="U90" s="42"/>
      <c r="V90" s="71">
        <f t="shared" si="11"/>
        <v>0.61200000000000032</v>
      </c>
      <c r="W90" s="63">
        <f t="shared" si="12"/>
        <v>0.61115189528334801</v>
      </c>
      <c r="X90" s="63">
        <f t="shared" si="13"/>
        <v>0.61551392902842539</v>
      </c>
      <c r="Y90" s="63">
        <f t="shared" si="14"/>
        <v>0.98602517654227095</v>
      </c>
      <c r="Z90" s="63">
        <f t="shared" si="15"/>
        <v>0.61200000000000032</v>
      </c>
      <c r="AA90" s="104">
        <f t="shared" si="9"/>
        <v>9.3506294135567679E-3</v>
      </c>
      <c r="AB90" s="105">
        <f t="shared" si="10"/>
        <v>9.6999999999999933E-3</v>
      </c>
      <c r="AC90" s="43"/>
      <c r="AD90" s="1"/>
      <c r="AE90" s="1"/>
      <c r="AF90" s="1"/>
      <c r="AG90" s="1"/>
      <c r="AH90" s="1"/>
      <c r="AI90" s="1"/>
      <c r="AJ90" s="1"/>
    </row>
    <row r="91" spans="2:36" ht="16" thickBot="1">
      <c r="B91" s="40"/>
      <c r="C91" s="71">
        <f t="shared" si="20"/>
        <v>20.5</v>
      </c>
      <c r="D91" s="42">
        <v>14.7237237894913</v>
      </c>
      <c r="E91">
        <v>7.35617191708186</v>
      </c>
      <c r="F91" s="42"/>
      <c r="G91" s="79">
        <f t="shared" si="16"/>
        <v>0.49961355036639227</v>
      </c>
      <c r="H91" s="42"/>
      <c r="I91" s="79">
        <v>0.46186665635699858</v>
      </c>
      <c r="J91" s="42">
        <v>10.9433101458536</v>
      </c>
      <c r="K91">
        <v>5.0543500665430203</v>
      </c>
      <c r="L91" s="42"/>
      <c r="M91" s="82">
        <f t="shared" si="17"/>
        <v>2.7358275364633999</v>
      </c>
      <c r="N91" s="84">
        <f t="shared" si="17"/>
        <v>1.2635875166357551</v>
      </c>
      <c r="O91" s="12"/>
      <c r="P91" s="86">
        <f t="shared" si="18"/>
        <v>6.5483544947261638E-3</v>
      </c>
      <c r="Q91" s="87">
        <f t="shared" si="19"/>
        <v>5.155655294213588E-4</v>
      </c>
      <c r="R91" s="42"/>
      <c r="S91" s="88">
        <f t="shared" si="21"/>
        <v>0.67884168023521874</v>
      </c>
      <c r="T91" s="89">
        <f t="shared" si="21"/>
        <v>0.99187726405036081</v>
      </c>
      <c r="U91" s="42"/>
      <c r="V91" s="71">
        <f t="shared" si="11"/>
        <v>0.63700000000000034</v>
      </c>
      <c r="W91" s="63">
        <f t="shared" si="12"/>
        <v>0.63216895652394034</v>
      </c>
      <c r="X91" s="63">
        <f t="shared" si="13"/>
        <v>0.64580360519071833</v>
      </c>
      <c r="Y91" s="63">
        <f t="shared" si="14"/>
        <v>0.98836950748338936</v>
      </c>
      <c r="Z91" s="63">
        <f t="shared" si="15"/>
        <v>0.63700000000000034</v>
      </c>
      <c r="AA91" s="104">
        <f t="shared" si="9"/>
        <v>8.7842376870847279E-3</v>
      </c>
      <c r="AB91" s="105">
        <f t="shared" si="10"/>
        <v>9.0749999999999928E-3</v>
      </c>
      <c r="AC91" s="43"/>
      <c r="AD91" s="1"/>
      <c r="AE91" s="1"/>
      <c r="AF91" s="1"/>
      <c r="AG91" s="1"/>
      <c r="AH91" s="1"/>
      <c r="AI91" s="1"/>
      <c r="AJ91" s="1"/>
    </row>
    <row r="92" spans="2:36" ht="16" thickBot="1">
      <c r="B92" s="40"/>
      <c r="C92" s="71">
        <f t="shared" si="20"/>
        <v>20.75</v>
      </c>
      <c r="D92" s="42">
        <v>18.501484853964801</v>
      </c>
      <c r="E92">
        <v>30.766482023228299</v>
      </c>
      <c r="F92" s="42"/>
      <c r="G92" s="79">
        <f t="shared" si="16"/>
        <v>1.662919612456681</v>
      </c>
      <c r="H92" s="42"/>
      <c r="I92" s="79">
        <v>0.41715181073831542</v>
      </c>
      <c r="J92" s="42">
        <v>36.671302389957297</v>
      </c>
      <c r="K92">
        <v>15.297500194103</v>
      </c>
      <c r="L92" s="42"/>
      <c r="M92" s="82">
        <f t="shared" si="17"/>
        <v>9.1678255974893244</v>
      </c>
      <c r="N92" s="84">
        <f t="shared" si="17"/>
        <v>3.8243750485257499</v>
      </c>
      <c r="O92" s="12"/>
      <c r="P92" s="86">
        <f t="shared" si="18"/>
        <v>2.1943697531384188E-2</v>
      </c>
      <c r="Q92" s="87">
        <f t="shared" si="19"/>
        <v>1.5604110682009727E-3</v>
      </c>
      <c r="R92" s="42"/>
      <c r="S92" s="88">
        <f t="shared" ref="S92:T107" si="22">P92+S91</f>
        <v>0.70078537776660288</v>
      </c>
      <c r="T92" s="89">
        <f t="shared" si="22"/>
        <v>0.99343767511856174</v>
      </c>
      <c r="U92" s="42"/>
      <c r="V92" s="71">
        <f t="shared" si="11"/>
        <v>0.66200000000000037</v>
      </c>
      <c r="W92" s="63">
        <f t="shared" si="12"/>
        <v>0.66036480333031289</v>
      </c>
      <c r="X92" s="63">
        <f t="shared" si="13"/>
        <v>0.67229332574049261</v>
      </c>
      <c r="Y92" s="63">
        <f t="shared" si="14"/>
        <v>0.99050422388140147</v>
      </c>
      <c r="Z92" s="63">
        <f t="shared" si="15"/>
        <v>0.66200000000000037</v>
      </c>
      <c r="AA92" s="104">
        <f t="shared" si="9"/>
        <v>8.2126055970350286E-3</v>
      </c>
      <c r="AB92" s="105">
        <f t="shared" si="10"/>
        <v>8.4499999999999922E-3</v>
      </c>
      <c r="AC92" s="43"/>
      <c r="AD92" s="1"/>
      <c r="AE92" s="1"/>
      <c r="AF92" s="1"/>
      <c r="AG92" s="1"/>
      <c r="AH92" s="1"/>
      <c r="AI92" s="1"/>
      <c r="AJ92" s="1"/>
    </row>
    <row r="93" spans="2:36" ht="16" thickBot="1">
      <c r="B93" s="40"/>
      <c r="C93" s="71">
        <f t="shared" si="20"/>
        <v>21</v>
      </c>
      <c r="D93" s="42">
        <v>15.8065676548892</v>
      </c>
      <c r="E93">
        <v>11.268983466855801</v>
      </c>
      <c r="F93" s="42"/>
      <c r="G93" s="79">
        <f t="shared" si="16"/>
        <v>0.71293045478916106</v>
      </c>
      <c r="H93" s="42"/>
      <c r="I93" s="79">
        <v>0.37446361087171859</v>
      </c>
      <c r="J93" s="42">
        <v>8.6329164707151289</v>
      </c>
      <c r="K93">
        <v>3.2327130739779202</v>
      </c>
      <c r="L93" s="42"/>
      <c r="M93" s="82">
        <f t="shared" si="17"/>
        <v>2.1582291176787822</v>
      </c>
      <c r="N93" s="84">
        <f t="shared" si="17"/>
        <v>0.80817826849448005</v>
      </c>
      <c r="O93" s="12"/>
      <c r="P93" s="86">
        <f t="shared" si="18"/>
        <v>5.165840739241279E-3</v>
      </c>
      <c r="Q93" s="87">
        <f t="shared" si="19"/>
        <v>3.2975069108988645E-4</v>
      </c>
      <c r="R93" s="42"/>
      <c r="S93" s="88">
        <f t="shared" si="22"/>
        <v>0.70595121850584419</v>
      </c>
      <c r="T93" s="89">
        <f t="shared" si="22"/>
        <v>0.99376742580965161</v>
      </c>
      <c r="U93" s="42"/>
      <c r="V93" s="71">
        <f t="shared" si="11"/>
        <v>0.68700000000000039</v>
      </c>
      <c r="W93" s="63">
        <f t="shared" si="12"/>
        <v>0.67884168023521874</v>
      </c>
      <c r="X93" s="63">
        <f t="shared" si="13"/>
        <v>0.70078537776660288</v>
      </c>
      <c r="Y93" s="63">
        <f t="shared" si="14"/>
        <v>0.9924574002120391</v>
      </c>
      <c r="Z93" s="63">
        <f t="shared" si="15"/>
        <v>0.68700000000000039</v>
      </c>
      <c r="AA93" s="104">
        <f t="shared" si="9"/>
        <v>7.6364350053009693E-3</v>
      </c>
      <c r="AB93" s="105">
        <f t="shared" si="10"/>
        <v>7.8249999999999917E-3</v>
      </c>
      <c r="AC93" s="43"/>
      <c r="AD93" s="1"/>
      <c r="AE93" s="1"/>
      <c r="AF93" s="1"/>
      <c r="AG93" s="1"/>
      <c r="AH93" s="1"/>
      <c r="AI93" s="1"/>
      <c r="AJ93" s="1"/>
    </row>
    <row r="94" spans="2:36" ht="16" thickBot="1">
      <c r="B94" s="40"/>
      <c r="C94" s="71">
        <f t="shared" si="20"/>
        <v>21.25</v>
      </c>
      <c r="D94" s="42">
        <v>14.495676764747401</v>
      </c>
      <c r="E94">
        <v>140.586505753708</v>
      </c>
      <c r="F94" s="42"/>
      <c r="G94" s="79">
        <f t="shared" si="16"/>
        <v>9.6985127383362872</v>
      </c>
      <c r="H94" s="42"/>
      <c r="I94" s="79">
        <v>0.35350515046343384</v>
      </c>
      <c r="J94" s="42">
        <v>15.065620468742399</v>
      </c>
      <c r="K94">
        <v>5.3257744306277699</v>
      </c>
      <c r="L94" s="42"/>
      <c r="M94" s="82">
        <f t="shared" si="17"/>
        <v>3.7664051171855997</v>
      </c>
      <c r="N94" s="84">
        <f t="shared" si="17"/>
        <v>1.3314436076569425</v>
      </c>
      <c r="O94" s="12"/>
      <c r="P94" s="86">
        <f t="shared" si="18"/>
        <v>9.0150989232182181E-3</v>
      </c>
      <c r="Q94" s="87">
        <f t="shared" si="19"/>
        <v>5.432519864583406E-4</v>
      </c>
      <c r="R94" s="42"/>
      <c r="S94" s="88">
        <f t="shared" si="22"/>
        <v>0.71496631742906236</v>
      </c>
      <c r="T94" s="89">
        <f t="shared" si="22"/>
        <v>0.99431067779610993</v>
      </c>
      <c r="U94" s="42"/>
      <c r="V94" s="71">
        <f t="shared" si="11"/>
        <v>0.71200000000000041</v>
      </c>
      <c r="W94" s="63">
        <f t="shared" si="12"/>
        <v>0.70595121850584419</v>
      </c>
      <c r="X94" s="63">
        <f t="shared" si="13"/>
        <v>0.71496631742906236</v>
      </c>
      <c r="Y94" s="63">
        <f t="shared" si="14"/>
        <v>0.99413192680851359</v>
      </c>
      <c r="Z94" s="63">
        <f t="shared" si="15"/>
        <v>0.71200000000000041</v>
      </c>
      <c r="AA94" s="104">
        <f t="shared" si="9"/>
        <v>7.0532981702128312E-3</v>
      </c>
      <c r="AB94" s="105">
        <f t="shared" si="10"/>
        <v>7.1999999999999911E-3</v>
      </c>
      <c r="AC94" s="43"/>
      <c r="AD94" s="1"/>
      <c r="AE94" s="1"/>
      <c r="AF94" s="1"/>
      <c r="AG94" s="1"/>
      <c r="AH94" s="1"/>
      <c r="AI94" s="1"/>
      <c r="AJ94" s="1"/>
    </row>
    <row r="95" spans="2:36" ht="16" thickBot="1">
      <c r="B95" s="40"/>
      <c r="C95" s="71">
        <f t="shared" si="20"/>
        <v>21.5</v>
      </c>
      <c r="D95" s="42">
        <v>11.440911384091599</v>
      </c>
      <c r="E95">
        <v>6.4493646425603499</v>
      </c>
      <c r="F95" s="42"/>
      <c r="G95" s="79">
        <f t="shared" si="16"/>
        <v>0.56371074174458569</v>
      </c>
      <c r="H95" s="42"/>
      <c r="I95" s="79">
        <v>0.3113845886853861</v>
      </c>
      <c r="J95" s="42">
        <v>13.4580822352867</v>
      </c>
      <c r="K95">
        <v>4.1906394013288502</v>
      </c>
      <c r="L95" s="42"/>
      <c r="M95" s="82">
        <f t="shared" si="17"/>
        <v>3.3645205588216749</v>
      </c>
      <c r="N95" s="84">
        <f t="shared" si="17"/>
        <v>1.0476598503322125</v>
      </c>
      <c r="O95" s="12"/>
      <c r="P95" s="86">
        <f t="shared" si="18"/>
        <v>8.0531660093016415E-3</v>
      </c>
      <c r="Q95" s="87">
        <f t="shared" si="19"/>
        <v>4.2746331241710894E-4</v>
      </c>
      <c r="R95" s="42"/>
      <c r="S95" s="88">
        <f t="shared" si="22"/>
        <v>0.72301948343836397</v>
      </c>
      <c r="T95" s="89">
        <f t="shared" si="22"/>
        <v>0.99473814110852699</v>
      </c>
      <c r="U95" s="42"/>
      <c r="V95" s="71">
        <f t="shared" si="11"/>
        <v>0.73700000000000043</v>
      </c>
      <c r="W95" s="63">
        <f t="shared" si="12"/>
        <v>0.73652418431751399</v>
      </c>
      <c r="X95" s="63">
        <f t="shared" si="13"/>
        <v>0.7497731617195923</v>
      </c>
      <c r="Y95" s="63">
        <f t="shared" si="14"/>
        <v>0.99529405012449901</v>
      </c>
      <c r="Z95" s="63">
        <f t="shared" si="15"/>
        <v>0.73700000000000043</v>
      </c>
      <c r="AA95" s="104">
        <f t="shared" si="9"/>
        <v>6.4573512531124659E-3</v>
      </c>
      <c r="AB95" s="105">
        <f t="shared" si="10"/>
        <v>6.5749999999999906E-3</v>
      </c>
      <c r="AC95" s="43"/>
      <c r="AD95" s="1"/>
      <c r="AE95" s="1"/>
      <c r="AF95" s="1"/>
      <c r="AG95" s="1"/>
      <c r="AH95" s="1"/>
      <c r="AI95" s="1"/>
      <c r="AJ95" s="1"/>
    </row>
    <row r="96" spans="2:36" ht="16" thickBot="1">
      <c r="B96" s="40"/>
      <c r="C96" s="71">
        <f t="shared" si="20"/>
        <v>21.75</v>
      </c>
      <c r="D96" s="42">
        <v>12.677599604768799</v>
      </c>
      <c r="E96">
        <v>31.297633555256599</v>
      </c>
      <c r="F96" s="42"/>
      <c r="G96" s="79">
        <f t="shared" si="16"/>
        <v>2.4687349759400585</v>
      </c>
      <c r="H96" s="42"/>
      <c r="I96" s="79">
        <v>0.23503208666311576</v>
      </c>
      <c r="J96" s="42">
        <v>10.689156867210301</v>
      </c>
      <c r="K96">
        <v>2.5122948431698102</v>
      </c>
      <c r="L96" s="42"/>
      <c r="M96" s="82">
        <f t="shared" si="17"/>
        <v>2.6722892168025751</v>
      </c>
      <c r="N96" s="84">
        <f t="shared" si="17"/>
        <v>0.62807371079245256</v>
      </c>
      <c r="O96" s="12"/>
      <c r="P96" s="86">
        <f t="shared" si="18"/>
        <v>6.3962720130664591E-3</v>
      </c>
      <c r="Q96" s="87">
        <f t="shared" si="19"/>
        <v>2.5626492107367927E-4</v>
      </c>
      <c r="R96" s="42"/>
      <c r="S96" s="88">
        <f t="shared" si="22"/>
        <v>0.72941575545143045</v>
      </c>
      <c r="T96" s="89">
        <f t="shared" si="22"/>
        <v>0.99499440602960065</v>
      </c>
      <c r="U96" s="42"/>
      <c r="V96" s="71">
        <f t="shared" si="11"/>
        <v>0.76200000000000045</v>
      </c>
      <c r="W96" s="63">
        <f t="shared" si="12"/>
        <v>0.7497731617195923</v>
      </c>
      <c r="X96" s="63">
        <f t="shared" si="13"/>
        <v>0.76411214523895399</v>
      </c>
      <c r="Y96" s="63">
        <f t="shared" si="14"/>
        <v>0.99620494110309732</v>
      </c>
      <c r="Z96" s="63">
        <f t="shared" si="15"/>
        <v>0.76200000000000045</v>
      </c>
      <c r="AA96" s="104">
        <f t="shared" si="9"/>
        <v>5.855123527577423E-3</v>
      </c>
      <c r="AB96" s="105">
        <f t="shared" si="10"/>
        <v>5.94999999999999E-3</v>
      </c>
      <c r="AC96" s="43"/>
      <c r="AD96" s="1"/>
      <c r="AE96" s="1"/>
      <c r="AF96" s="1"/>
      <c r="AG96" s="1"/>
      <c r="AH96" s="1"/>
      <c r="AI96" s="1"/>
      <c r="AJ96" s="1"/>
    </row>
    <row r="97" spans="2:36" ht="16" thickBot="1">
      <c r="B97" s="40"/>
      <c r="C97" s="71">
        <f t="shared" si="20"/>
        <v>22</v>
      </c>
      <c r="D97" s="42">
        <v>13.647126686080799</v>
      </c>
      <c r="E97">
        <v>21.422628403907101</v>
      </c>
      <c r="F97" s="42"/>
      <c r="G97" s="79">
        <f t="shared" si="16"/>
        <v>1.5697537581853636</v>
      </c>
      <c r="H97" s="42"/>
      <c r="I97" s="79">
        <v>0.2318285308326069</v>
      </c>
      <c r="J97" s="42">
        <v>11.879280786331901</v>
      </c>
      <c r="K97">
        <v>2.7539562120433398</v>
      </c>
      <c r="L97" s="42"/>
      <c r="M97" s="82">
        <f t="shared" si="17"/>
        <v>2.9698201965829751</v>
      </c>
      <c r="N97" s="84">
        <f t="shared" si="17"/>
        <v>0.68848905301083496</v>
      </c>
      <c r="O97" s="12"/>
      <c r="P97" s="86">
        <f t="shared" si="18"/>
        <v>7.1084288660835451E-3</v>
      </c>
      <c r="Q97" s="87">
        <f t="shared" si="19"/>
        <v>2.8091542409457268E-4</v>
      </c>
      <c r="R97" s="42"/>
      <c r="S97" s="88">
        <f t="shared" si="22"/>
        <v>0.73652418431751399</v>
      </c>
      <c r="T97" s="89">
        <f t="shared" si="22"/>
        <v>0.99527532145369524</v>
      </c>
      <c r="U97" s="42"/>
      <c r="V97" s="71">
        <f t="shared" si="11"/>
        <v>0.78700000000000048</v>
      </c>
      <c r="W97" s="63">
        <f t="shared" si="12"/>
        <v>0.77877301404939658</v>
      </c>
      <c r="X97" s="63">
        <f t="shared" si="13"/>
        <v>0.79366267210724206</v>
      </c>
      <c r="Y97" s="63">
        <f t="shared" si="14"/>
        <v>0.99697339570716736</v>
      </c>
      <c r="Z97" s="63">
        <f t="shared" si="15"/>
        <v>0.78700000000000048</v>
      </c>
      <c r="AA97" s="104">
        <f t="shared" si="9"/>
        <v>5.2493348926791732E-3</v>
      </c>
      <c r="AB97" s="105">
        <f t="shared" si="10"/>
        <v>5.3249999999999895E-3</v>
      </c>
      <c r="AC97" s="43"/>
      <c r="AD97" s="1"/>
      <c r="AE97" s="1"/>
      <c r="AF97" s="1"/>
      <c r="AG97" s="1"/>
      <c r="AH97" s="1"/>
      <c r="AI97" s="1"/>
      <c r="AJ97" s="1"/>
    </row>
    <row r="98" spans="2:36" ht="16" thickBot="1">
      <c r="B98" s="40"/>
      <c r="C98" s="71">
        <f t="shared" si="20"/>
        <v>22.25</v>
      </c>
      <c r="D98" s="42">
        <v>19.990660124774802</v>
      </c>
      <c r="E98">
        <v>71.346197439838804</v>
      </c>
      <c r="F98" s="42"/>
      <c r="G98" s="79">
        <f t="shared" si="16"/>
        <v>3.5689765617803744</v>
      </c>
      <c r="H98" s="42"/>
      <c r="I98" s="79">
        <v>0.23090488635483158</v>
      </c>
      <c r="J98" s="42">
        <v>22.141084289666498</v>
      </c>
      <c r="K98">
        <v>5.1124845516781896</v>
      </c>
      <c r="L98" s="42"/>
      <c r="M98" s="82">
        <f t="shared" si="17"/>
        <v>5.5352710724166245</v>
      </c>
      <c r="N98" s="84">
        <f t="shared" si="17"/>
        <v>1.2781211379195474</v>
      </c>
      <c r="O98" s="12"/>
      <c r="P98" s="86">
        <f t="shared" si="18"/>
        <v>1.3248977402078295E-2</v>
      </c>
      <c r="Q98" s="87">
        <f t="shared" si="19"/>
        <v>5.2149549790627846E-4</v>
      </c>
      <c r="R98" s="42"/>
      <c r="S98" s="88">
        <f t="shared" si="22"/>
        <v>0.7497731617195923</v>
      </c>
      <c r="T98" s="89">
        <f t="shared" si="22"/>
        <v>0.99579681695160149</v>
      </c>
      <c r="U98" s="42"/>
      <c r="V98" s="71">
        <f t="shared" si="11"/>
        <v>0.8120000000000005</v>
      </c>
      <c r="W98" s="63">
        <f t="shared" si="12"/>
        <v>0.80593357477014005</v>
      </c>
      <c r="X98" s="63">
        <f t="shared" si="13"/>
        <v>0.81381817501107701</v>
      </c>
      <c r="Y98" s="63">
        <f t="shared" si="14"/>
        <v>0.99764220472569332</v>
      </c>
      <c r="Z98" s="63">
        <f t="shared" si="15"/>
        <v>0.8120000000000005</v>
      </c>
      <c r="AA98" s="104">
        <f t="shared" si="9"/>
        <v>4.6410551181423213E-3</v>
      </c>
      <c r="AB98" s="105">
        <f t="shared" si="10"/>
        <v>4.699999999999988E-3</v>
      </c>
      <c r="AC98" s="43"/>
      <c r="AD98" s="1"/>
      <c r="AE98" s="1"/>
      <c r="AF98" s="1"/>
      <c r="AG98" s="1"/>
      <c r="AH98" s="1"/>
      <c r="AI98" s="1"/>
      <c r="AJ98" s="1"/>
    </row>
    <row r="99" spans="2:36" ht="16" thickBot="1">
      <c r="B99" s="40"/>
      <c r="C99" s="71">
        <f t="shared" si="20"/>
        <v>22.5</v>
      </c>
      <c r="D99" s="42">
        <v>10.619775589660801</v>
      </c>
      <c r="E99">
        <v>19.733971591731301</v>
      </c>
      <c r="F99" s="42"/>
      <c r="G99" s="79">
        <f t="shared" si="16"/>
        <v>1.858228681493411</v>
      </c>
      <c r="H99" s="42"/>
      <c r="I99" s="79">
        <v>0.1958136879611011</v>
      </c>
      <c r="J99" s="42">
        <v>23.962652595401401</v>
      </c>
      <c r="K99">
        <v>4.6922153780361997</v>
      </c>
      <c r="L99" s="42"/>
      <c r="M99" s="82">
        <f t="shared" si="17"/>
        <v>5.9906631488503503</v>
      </c>
      <c r="N99" s="84">
        <f t="shared" si="17"/>
        <v>1.1730538445090499</v>
      </c>
      <c r="O99" s="12"/>
      <c r="P99" s="86">
        <f t="shared" si="18"/>
        <v>1.433898351936169E-2</v>
      </c>
      <c r="Q99" s="87">
        <f t="shared" si="19"/>
        <v>4.7862622764292925E-4</v>
      </c>
      <c r="R99" s="42"/>
      <c r="S99" s="88">
        <f t="shared" si="22"/>
        <v>0.76411214523895399</v>
      </c>
      <c r="T99" s="89">
        <f t="shared" si="22"/>
        <v>0.99627544317924444</v>
      </c>
      <c r="U99" s="42"/>
      <c r="V99" s="71">
        <f t="shared" si="11"/>
        <v>0.83700000000000052</v>
      </c>
      <c r="W99" s="63">
        <f t="shared" si="12"/>
        <v>0.82841375712969179</v>
      </c>
      <c r="X99" s="63">
        <f t="shared" si="13"/>
        <v>0.88325932033408228</v>
      </c>
      <c r="Y99" s="63">
        <f t="shared" si="14"/>
        <v>0.99818555518258145</v>
      </c>
      <c r="Z99" s="63">
        <f t="shared" si="15"/>
        <v>0.83700000000000052</v>
      </c>
      <c r="AA99" s="104">
        <f t="shared" si="9"/>
        <v>4.029638879564524E-3</v>
      </c>
      <c r="AB99" s="105">
        <f t="shared" si="10"/>
        <v>4.0749999999999875E-3</v>
      </c>
      <c r="AC99" s="43"/>
      <c r="AD99" s="1"/>
      <c r="AE99" s="1"/>
      <c r="AF99" s="1"/>
      <c r="AG99" s="1"/>
      <c r="AH99" s="1"/>
      <c r="AI99" s="1"/>
      <c r="AJ99" s="1"/>
    </row>
    <row r="100" spans="2:36" ht="16" thickBot="1">
      <c r="B100" s="40"/>
      <c r="C100" s="71">
        <f t="shared" si="20"/>
        <v>22.75</v>
      </c>
      <c r="D100" s="42">
        <v>23.962652595401401</v>
      </c>
      <c r="E100">
        <v>4.6922153780361997</v>
      </c>
      <c r="F100" s="42"/>
      <c r="G100" s="79">
        <f t="shared" si="16"/>
        <v>0.1958136879611011</v>
      </c>
      <c r="H100" s="42"/>
      <c r="I100" s="79">
        <v>0.19320609395972874</v>
      </c>
      <c r="J100" s="42">
        <v>12.930432284805802</v>
      </c>
      <c r="K100">
        <v>2.4982383149580998</v>
      </c>
      <c r="L100" s="42"/>
      <c r="M100" s="82">
        <f t="shared" si="17"/>
        <v>3.2326080712014504</v>
      </c>
      <c r="N100" s="84">
        <f t="shared" si="17"/>
        <v>0.62455957873952495</v>
      </c>
      <c r="O100" s="12"/>
      <c r="P100" s="86">
        <f t="shared" si="18"/>
        <v>7.7374261756661296E-3</v>
      </c>
      <c r="Q100" s="87">
        <f t="shared" si="19"/>
        <v>2.5483109450569614E-4</v>
      </c>
      <c r="R100" s="42"/>
      <c r="S100" s="88">
        <f t="shared" si="22"/>
        <v>0.77184957141462007</v>
      </c>
      <c r="T100" s="89">
        <f t="shared" si="22"/>
        <v>0.99653027427375018</v>
      </c>
      <c r="U100" s="42"/>
      <c r="V100" s="71">
        <f t="shared" si="11"/>
        <v>0.86200000000000054</v>
      </c>
      <c r="W100" s="63">
        <f t="shared" si="12"/>
        <v>0.82841375712969179</v>
      </c>
      <c r="X100" s="63">
        <f t="shared" si="13"/>
        <v>0.88325932033408228</v>
      </c>
      <c r="Y100" s="63">
        <f t="shared" si="14"/>
        <v>0.99871288489024757</v>
      </c>
      <c r="Z100" s="63">
        <f t="shared" si="15"/>
        <v>0.86200000000000054</v>
      </c>
      <c r="AA100" s="104">
        <f t="shared" si="9"/>
        <v>3.4178221222561762E-3</v>
      </c>
      <c r="AB100" s="105">
        <f t="shared" si="10"/>
        <v>3.4499999999999869E-3</v>
      </c>
      <c r="AC100" s="43"/>
      <c r="AD100" s="1"/>
      <c r="AE100" s="1"/>
      <c r="AF100" s="1"/>
      <c r="AG100" s="1"/>
      <c r="AH100" s="1"/>
      <c r="AI100" s="1"/>
      <c r="AJ100" s="1"/>
    </row>
    <row r="101" spans="2:36" ht="16" thickBot="1">
      <c r="B101" s="40"/>
      <c r="C101" s="71">
        <f t="shared" si="20"/>
        <v>23</v>
      </c>
      <c r="D101" s="42">
        <v>16.3275203309693</v>
      </c>
      <c r="E101">
        <v>12.691669844172001</v>
      </c>
      <c r="F101" s="42"/>
      <c r="G101" s="79">
        <f t="shared" si="16"/>
        <v>0.77731765674785391</v>
      </c>
      <c r="H101" s="42"/>
      <c r="I101" s="79">
        <v>0.17783396993443257</v>
      </c>
      <c r="J101" s="42">
        <v>11.570140268124501</v>
      </c>
      <c r="K101">
        <v>2.0575639765788201</v>
      </c>
      <c r="L101" s="42"/>
      <c r="M101" s="82">
        <f t="shared" si="17"/>
        <v>2.8925350670311252</v>
      </c>
      <c r="N101" s="84">
        <f t="shared" si="17"/>
        <v>0.51439099414470502</v>
      </c>
      <c r="O101" s="12"/>
      <c r="P101" s="86">
        <f t="shared" si="18"/>
        <v>6.9234426347765188E-3</v>
      </c>
      <c r="Q101" s="87">
        <f t="shared" si="19"/>
        <v>2.0988040933791669E-4</v>
      </c>
      <c r="R101" s="42"/>
      <c r="S101" s="88">
        <f t="shared" si="22"/>
        <v>0.77877301404939658</v>
      </c>
      <c r="T101" s="89">
        <f t="shared" si="22"/>
        <v>0.99674015468308808</v>
      </c>
      <c r="U101" s="42"/>
      <c r="V101" s="71">
        <f t="shared" si="11"/>
        <v>0.88700000000000057</v>
      </c>
      <c r="W101" s="63">
        <f t="shared" si="12"/>
        <v>0.88325932033408228</v>
      </c>
      <c r="X101" s="63">
        <f t="shared" si="13"/>
        <v>0.89252883678620443</v>
      </c>
      <c r="Y101" s="63">
        <f t="shared" si="14"/>
        <v>0.99921620850320891</v>
      </c>
      <c r="Z101" s="63">
        <f t="shared" si="15"/>
        <v>0.88700000000000057</v>
      </c>
      <c r="AA101" s="104">
        <f t="shared" si="9"/>
        <v>2.805405212580209E-3</v>
      </c>
      <c r="AB101" s="105">
        <f t="shared" si="10"/>
        <v>2.8249999999999864E-3</v>
      </c>
      <c r="AC101" s="43"/>
      <c r="AD101" s="1"/>
      <c r="AE101" s="1"/>
      <c r="AF101" s="1"/>
      <c r="AG101" s="1"/>
      <c r="AH101" s="1"/>
      <c r="AI101" s="1"/>
      <c r="AJ101" s="1"/>
    </row>
    <row r="102" spans="2:36" ht="16" thickBot="1">
      <c r="B102" s="40"/>
      <c r="C102" s="71">
        <f t="shared" si="20"/>
        <v>23.25</v>
      </c>
      <c r="D102" s="42">
        <v>15.019702639622402</v>
      </c>
      <c r="E102">
        <v>146.00382290077599</v>
      </c>
      <c r="F102" s="42"/>
      <c r="G102" s="79">
        <f t="shared" si="16"/>
        <v>9.7208198060868227</v>
      </c>
      <c r="H102" s="42"/>
      <c r="I102" s="79">
        <v>0.16631411273581079</v>
      </c>
      <c r="J102" s="42">
        <v>24.882914665652201</v>
      </c>
      <c r="K102">
        <v>4.1383798748988401</v>
      </c>
      <c r="L102" s="42"/>
      <c r="M102" s="82">
        <f t="shared" si="17"/>
        <v>6.2207286664130503</v>
      </c>
      <c r="N102" s="84">
        <f t="shared" si="17"/>
        <v>1.03459496872471</v>
      </c>
      <c r="O102" s="12"/>
      <c r="P102" s="86">
        <f t="shared" si="18"/>
        <v>1.4889658057845473E-2</v>
      </c>
      <c r="Q102" s="87">
        <f t="shared" si="19"/>
        <v>4.2213261508580486E-4</v>
      </c>
      <c r="R102" s="42"/>
      <c r="S102" s="88">
        <f t="shared" si="22"/>
        <v>0.79366267210724206</v>
      </c>
      <c r="T102" s="89">
        <f t="shared" si="22"/>
        <v>0.99716228729817391</v>
      </c>
      <c r="U102" s="42"/>
      <c r="V102" s="71">
        <f t="shared" si="11"/>
        <v>0.91200000000000059</v>
      </c>
      <c r="W102" s="63">
        <f t="shared" si="12"/>
        <v>0.90432031874670404</v>
      </c>
      <c r="X102" s="63">
        <f t="shared" si="13"/>
        <v>0.92126346900515299</v>
      </c>
      <c r="Y102" s="63">
        <f t="shared" si="14"/>
        <v>0.99949461774904746</v>
      </c>
      <c r="Z102" s="63">
        <f t="shared" si="15"/>
        <v>0.91200000000000059</v>
      </c>
      <c r="AA102" s="104">
        <f t="shared" si="9"/>
        <v>2.1873654437261723E-3</v>
      </c>
      <c r="AB102" s="105">
        <f t="shared" si="10"/>
        <v>2.1999999999999858E-3</v>
      </c>
      <c r="AC102" s="43"/>
      <c r="AD102" s="1"/>
      <c r="AE102" s="1"/>
      <c r="AF102" s="1"/>
      <c r="AG102" s="1"/>
      <c r="AH102" s="1"/>
      <c r="AI102" s="1"/>
      <c r="AJ102" s="1"/>
    </row>
    <row r="103" spans="2:36" ht="16" thickBot="1">
      <c r="B103" s="40"/>
      <c r="C103" s="71">
        <f t="shared" si="20"/>
        <v>23.5</v>
      </c>
      <c r="D103" s="42">
        <v>7.3760750995678706</v>
      </c>
      <c r="E103">
        <v>0.24837350515965101</v>
      </c>
      <c r="F103" s="42"/>
      <c r="G103" s="79">
        <f t="shared" si="16"/>
        <v>3.3672854710251263E-2</v>
      </c>
      <c r="H103" s="42"/>
      <c r="I103" s="79">
        <v>0.16621582562472406</v>
      </c>
      <c r="J103" s="42">
        <v>10.1149840608206</v>
      </c>
      <c r="K103">
        <v>1.6812704268502201</v>
      </c>
      <c r="L103" s="42"/>
      <c r="M103" s="82">
        <f t="shared" si="17"/>
        <v>2.52874601520515</v>
      </c>
      <c r="N103" s="84">
        <f t="shared" si="17"/>
        <v>0.42031760671255503</v>
      </c>
      <c r="O103" s="12"/>
      <c r="P103" s="86">
        <f t="shared" si="18"/>
        <v>6.0526934223695539E-3</v>
      </c>
      <c r="Q103" s="87">
        <f t="shared" si="19"/>
        <v>1.7149684258264459E-4</v>
      </c>
      <c r="R103" s="42"/>
      <c r="S103" s="88">
        <f t="shared" si="22"/>
        <v>0.79971536552961164</v>
      </c>
      <c r="T103" s="89">
        <f t="shared" si="22"/>
        <v>0.99733378414075657</v>
      </c>
      <c r="U103" s="42"/>
      <c r="V103" s="71">
        <f t="shared" si="11"/>
        <v>0.93700000000000061</v>
      </c>
      <c r="W103" s="63">
        <f t="shared" si="12"/>
        <v>0.92126346900515299</v>
      </c>
      <c r="X103" s="63">
        <f t="shared" si="13"/>
        <v>0.94202608162558232</v>
      </c>
      <c r="Y103" s="63">
        <f t="shared" si="14"/>
        <v>0.99968383244782466</v>
      </c>
      <c r="Z103" s="63">
        <f t="shared" si="15"/>
        <v>0.93700000000000061</v>
      </c>
      <c r="AA103" s="104">
        <f t="shared" si="9"/>
        <v>1.5670958111956015E-3</v>
      </c>
      <c r="AB103" s="105">
        <f t="shared" si="10"/>
        <v>1.574999999999985E-3</v>
      </c>
      <c r="AC103" s="43"/>
      <c r="AD103" s="1"/>
      <c r="AE103" s="1"/>
      <c r="AF103" s="1"/>
      <c r="AG103" s="1"/>
      <c r="AH103" s="1"/>
      <c r="AI103" s="1"/>
      <c r="AJ103" s="1"/>
    </row>
    <row r="104" spans="2:36" ht="16" thickBot="1">
      <c r="B104" s="40"/>
      <c r="C104" s="71">
        <f t="shared" si="20"/>
        <v>23.75</v>
      </c>
      <c r="D104" s="42">
        <v>10.835203314140001</v>
      </c>
      <c r="E104">
        <v>0.27885983634099698</v>
      </c>
      <c r="F104" s="42"/>
      <c r="G104" s="79">
        <f t="shared" si="16"/>
        <v>2.5736465505643381E-2</v>
      </c>
      <c r="H104" s="42"/>
      <c r="I104" s="79">
        <v>0.1598160659001239</v>
      </c>
      <c r="J104" s="42">
        <v>10.391586516233801</v>
      </c>
      <c r="K104">
        <v>1.66074247548526</v>
      </c>
      <c r="L104" s="42"/>
      <c r="M104" s="82">
        <f t="shared" si="17"/>
        <v>2.5978966290584502</v>
      </c>
      <c r="N104" s="84">
        <f t="shared" si="17"/>
        <v>0.415185618871315</v>
      </c>
      <c r="O104" s="12"/>
      <c r="P104" s="86">
        <f t="shared" si="18"/>
        <v>6.2182092405284328E-3</v>
      </c>
      <c r="Q104" s="87">
        <f t="shared" si="19"/>
        <v>1.6940290291204906E-4</v>
      </c>
      <c r="R104" s="42"/>
      <c r="S104" s="88">
        <f t="shared" si="22"/>
        <v>0.80593357477014005</v>
      </c>
      <c r="T104" s="89">
        <f t="shared" si="22"/>
        <v>0.99750318704366858</v>
      </c>
      <c r="U104" s="42"/>
      <c r="V104" s="71">
        <f t="shared" si="11"/>
        <v>0.96200000000000063</v>
      </c>
      <c r="W104" s="63">
        <f t="shared" si="12"/>
        <v>0.95659410637929754</v>
      </c>
      <c r="X104" s="63">
        <f t="shared" si="13"/>
        <v>0.96223589201989757</v>
      </c>
      <c r="Y104" s="63">
        <f t="shared" si="14"/>
        <v>0.99985394787677606</v>
      </c>
      <c r="Z104" s="63">
        <f t="shared" si="15"/>
        <v>0.96200000000000063</v>
      </c>
      <c r="AA104" s="104">
        <f t="shared" si="9"/>
        <v>9.4634869691938588E-4</v>
      </c>
      <c r="AB104" s="105">
        <f t="shared" si="10"/>
        <v>9.4999999999998439E-4</v>
      </c>
      <c r="AC104" s="43"/>
      <c r="AD104" s="1"/>
      <c r="AE104" s="1"/>
      <c r="AF104" s="1"/>
      <c r="AG104" s="1"/>
      <c r="AH104" s="1"/>
      <c r="AI104" s="1"/>
      <c r="AJ104" s="1"/>
    </row>
    <row r="105" spans="2:36" ht="16" thickBot="1">
      <c r="B105" s="40"/>
      <c r="C105" s="71">
        <f t="shared" si="20"/>
        <v>24</v>
      </c>
      <c r="D105" s="42">
        <v>8.3747404697609493</v>
      </c>
      <c r="E105">
        <v>26.067810610923601</v>
      </c>
      <c r="F105" s="42"/>
      <c r="G105" s="79">
        <f t="shared" si="16"/>
        <v>3.1126708588818737</v>
      </c>
      <c r="H105" s="42"/>
      <c r="I105" s="79">
        <v>0.13443183070786702</v>
      </c>
      <c r="J105" s="42">
        <v>13.1763828427639</v>
      </c>
      <c r="K105">
        <v>1.77132526766048</v>
      </c>
      <c r="L105" s="42"/>
      <c r="M105" s="82">
        <f t="shared" si="17"/>
        <v>3.294095710690975</v>
      </c>
      <c r="N105" s="84">
        <f t="shared" si="17"/>
        <v>0.44283131691512001</v>
      </c>
      <c r="O105" s="12"/>
      <c r="P105" s="86">
        <f t="shared" si="18"/>
        <v>7.8846002409370085E-3</v>
      </c>
      <c r="Q105" s="87">
        <f t="shared" si="19"/>
        <v>1.806828251655751E-4</v>
      </c>
      <c r="R105" s="42"/>
      <c r="S105" s="88">
        <f t="shared" si="22"/>
        <v>0.81381817501107701</v>
      </c>
      <c r="T105" s="89">
        <f t="shared" si="22"/>
        <v>0.99768386986883417</v>
      </c>
      <c r="U105" s="42"/>
      <c r="V105" s="73">
        <f t="shared" si="11"/>
        <v>0.98700000000000065</v>
      </c>
      <c r="W105" s="63">
        <f t="shared" si="12"/>
        <v>0.98457950319597654</v>
      </c>
      <c r="X105" s="63">
        <f t="shared" si="13"/>
        <v>0.99247058408796096</v>
      </c>
      <c r="Y105" s="63">
        <f t="shared" si="14"/>
        <v>0.99998001724377084</v>
      </c>
      <c r="Z105" s="64">
        <f t="shared" si="15"/>
        <v>0.98700000000000065</v>
      </c>
      <c r="AA105" s="106">
        <f t="shared" si="9"/>
        <v>3.2450043109425461E-4</v>
      </c>
      <c r="AB105" s="107">
        <f t="shared" si="10"/>
        <v>3.2499999999998372E-4</v>
      </c>
      <c r="AC105" s="43"/>
      <c r="AD105" s="1"/>
      <c r="AE105" s="1"/>
      <c r="AF105" s="1"/>
      <c r="AG105" s="1"/>
      <c r="AH105" s="1"/>
      <c r="AI105" s="1"/>
      <c r="AJ105" s="1"/>
    </row>
    <row r="106" spans="2:36" ht="16" thickBot="1">
      <c r="B106" s="40"/>
      <c r="C106" s="71">
        <f t="shared" si="20"/>
        <v>24.25</v>
      </c>
      <c r="D106" s="42">
        <v>8.5177005569934412</v>
      </c>
      <c r="E106">
        <v>8.1701478303745301</v>
      </c>
      <c r="F106" s="42"/>
      <c r="G106" s="79">
        <f t="shared" si="16"/>
        <v>0.95919641406816614</v>
      </c>
      <c r="H106" s="42"/>
      <c r="I106" s="79">
        <v>0.1336631264945064</v>
      </c>
      <c r="J106" s="42">
        <v>8.96055211646636</v>
      </c>
      <c r="K106">
        <v>1.19769541100386</v>
      </c>
      <c r="L106" s="42"/>
      <c r="M106" s="82">
        <f t="shared" si="17"/>
        <v>2.24013802911659</v>
      </c>
      <c r="N106" s="84">
        <f t="shared" si="17"/>
        <v>0.299423852750965</v>
      </c>
      <c r="O106" s="12"/>
      <c r="P106" s="86">
        <f t="shared" si="18"/>
        <v>5.3618942481789287E-3</v>
      </c>
      <c r="Q106" s="87">
        <f t="shared" si="19"/>
        <v>1.2217010308549454E-4</v>
      </c>
      <c r="R106" s="42"/>
      <c r="S106" s="88">
        <f t="shared" si="22"/>
        <v>0.81918006925925591</v>
      </c>
      <c r="T106" s="89">
        <f t="shared" si="22"/>
        <v>0.99780603997191963</v>
      </c>
      <c r="U106" s="42"/>
      <c r="V106" s="42"/>
      <c r="W106" s="42"/>
      <c r="X106" s="42"/>
      <c r="Y106" s="42"/>
      <c r="Z106" s="42"/>
      <c r="AA106" s="43"/>
      <c r="AC106" s="1"/>
      <c r="AD106" s="1"/>
      <c r="AE106" s="1"/>
      <c r="AF106" s="1"/>
      <c r="AG106" s="1"/>
      <c r="AH106" s="1"/>
    </row>
    <row r="107" spans="2:36" ht="16" thickBot="1">
      <c r="B107" s="40"/>
      <c r="C107" s="71">
        <f t="shared" si="20"/>
        <v>24.5</v>
      </c>
      <c r="D107" s="42">
        <v>6.47457658480005</v>
      </c>
      <c r="E107">
        <v>3.4461831683637798</v>
      </c>
      <c r="F107" s="42"/>
      <c r="G107" s="79">
        <f t="shared" si="16"/>
        <v>0.53226386671433679</v>
      </c>
      <c r="H107" s="42"/>
      <c r="I107" s="79">
        <v>0.12604920006831147</v>
      </c>
      <c r="J107" s="42">
        <v>15.4309163069235</v>
      </c>
      <c r="K107">
        <v>1.9450546568087701</v>
      </c>
      <c r="L107" s="42"/>
      <c r="M107" s="82">
        <f t="shared" si="17"/>
        <v>3.857729076730875</v>
      </c>
      <c r="N107" s="84">
        <f t="shared" si="17"/>
        <v>0.48626366420219252</v>
      </c>
      <c r="O107" s="12"/>
      <c r="P107" s="86">
        <f t="shared" si="18"/>
        <v>9.2336878704358319E-3</v>
      </c>
      <c r="Q107" s="87">
        <f t="shared" si="19"/>
        <v>1.9840397295175309E-4</v>
      </c>
      <c r="R107" s="42"/>
      <c r="S107" s="88">
        <f t="shared" si="22"/>
        <v>0.82841375712969179</v>
      </c>
      <c r="T107" s="89">
        <f t="shared" si="22"/>
        <v>0.99800444394487142</v>
      </c>
      <c r="U107" s="42"/>
      <c r="V107" s="42"/>
      <c r="W107" s="42"/>
      <c r="X107" s="42"/>
      <c r="Y107" s="42"/>
      <c r="Z107" s="42"/>
      <c r="AA107" s="43"/>
      <c r="AC107" s="1"/>
      <c r="AD107" s="1"/>
      <c r="AE107" s="1"/>
      <c r="AF107" s="1"/>
      <c r="AG107" s="1"/>
      <c r="AH107" s="1"/>
    </row>
    <row r="108" spans="2:36" ht="16" thickBot="1">
      <c r="B108" s="40"/>
      <c r="C108" s="71">
        <f t="shared" si="20"/>
        <v>24.75</v>
      </c>
      <c r="D108" s="42">
        <v>16.540626866191499</v>
      </c>
      <c r="E108">
        <v>432.246598551555</v>
      </c>
      <c r="F108" s="42"/>
      <c r="G108" s="79">
        <f t="shared" si="16"/>
        <v>26.132419408786308</v>
      </c>
      <c r="H108" s="42"/>
      <c r="I108" s="79">
        <v>0.12373915589278522</v>
      </c>
      <c r="J108" s="42">
        <v>91.655393542459692</v>
      </c>
      <c r="K108">
        <v>11.341361029965</v>
      </c>
      <c r="L108" s="42"/>
      <c r="M108" s="82">
        <f t="shared" si="17"/>
        <v>22.913848385614923</v>
      </c>
      <c r="N108" s="84">
        <f t="shared" si="17"/>
        <v>2.8353402574912501</v>
      </c>
      <c r="O108" s="12"/>
      <c r="P108" s="86">
        <f t="shared" si="18"/>
        <v>5.4845563204390491E-2</v>
      </c>
      <c r="Q108" s="87">
        <f t="shared" si="19"/>
        <v>1.1568677924542611E-3</v>
      </c>
      <c r="R108" s="42"/>
      <c r="S108" s="88">
        <f t="shared" ref="S108:T114" si="23">P108+S107</f>
        <v>0.88325932033408228</v>
      </c>
      <c r="T108" s="89">
        <f t="shared" si="23"/>
        <v>0.9991613117373257</v>
      </c>
      <c r="U108" s="42"/>
      <c r="V108" s="42"/>
      <c r="W108" s="42"/>
      <c r="X108" s="42"/>
      <c r="Y108" s="42"/>
      <c r="Z108" s="42"/>
      <c r="AA108" s="43"/>
      <c r="AC108" s="1"/>
      <c r="AD108" s="1"/>
      <c r="AE108" s="1"/>
      <c r="AF108" s="1"/>
      <c r="AG108" s="1"/>
      <c r="AH108" s="1"/>
    </row>
    <row r="109" spans="2:36" ht="16" thickBot="1">
      <c r="B109" s="40"/>
      <c r="C109" s="71">
        <f t="shared" si="20"/>
        <v>25</v>
      </c>
      <c r="D109" s="42">
        <v>13.7767124966047</v>
      </c>
      <c r="E109">
        <v>292.95879504470702</v>
      </c>
      <c r="F109" s="42"/>
      <c r="G109" s="79">
        <f t="shared" si="16"/>
        <v>21.264782517375412</v>
      </c>
      <c r="H109" s="42"/>
      <c r="I109" s="79">
        <v>8.6091675523599309E-2</v>
      </c>
      <c r="J109" s="42">
        <v>15.4907913918468</v>
      </c>
      <c r="K109">
        <v>1.33362818611064</v>
      </c>
      <c r="L109" s="42"/>
      <c r="M109" s="82">
        <f t="shared" si="17"/>
        <v>3.8726978479617</v>
      </c>
      <c r="N109" s="84">
        <f t="shared" si="17"/>
        <v>0.33340704652766001</v>
      </c>
      <c r="O109" s="12"/>
      <c r="P109" s="86">
        <f t="shared" si="18"/>
        <v>9.2695164521221663E-3</v>
      </c>
      <c r="Q109" s="87">
        <f t="shared" si="19"/>
        <v>1.3603583304898619E-4</v>
      </c>
      <c r="R109" s="42"/>
      <c r="S109" s="88">
        <f t="shared" si="23"/>
        <v>0.89252883678620443</v>
      </c>
      <c r="T109" s="89">
        <f t="shared" si="23"/>
        <v>0.99929734757037469</v>
      </c>
      <c r="U109" s="42"/>
      <c r="V109" s="42"/>
      <c r="W109" s="42"/>
      <c r="X109" s="42"/>
      <c r="Y109" s="42"/>
      <c r="Z109" s="42"/>
      <c r="AA109" s="43"/>
      <c r="AC109" s="1"/>
      <c r="AD109" s="1"/>
      <c r="AE109" s="1"/>
      <c r="AF109" s="1"/>
      <c r="AG109" s="1"/>
      <c r="AH109" s="1"/>
    </row>
    <row r="110" spans="2:36" ht="16" thickBot="1">
      <c r="B110" s="40"/>
      <c r="C110" s="71">
        <f t="shared" si="20"/>
        <v>25.25</v>
      </c>
      <c r="D110" s="42">
        <v>21.684966163914503</v>
      </c>
      <c r="E110">
        <v>27.046203414841901</v>
      </c>
      <c r="F110" s="42"/>
      <c r="G110" s="79">
        <f t="shared" si="16"/>
        <v>1.2472329082924243</v>
      </c>
      <c r="H110" s="42"/>
      <c r="I110" s="79">
        <v>8.5042674519965111E-2</v>
      </c>
      <c r="J110" s="42">
        <v>8.6740063657627395</v>
      </c>
      <c r="K110">
        <v>0.73766070014766605</v>
      </c>
      <c r="L110" s="42"/>
      <c r="M110" s="82">
        <f t="shared" si="17"/>
        <v>2.1685015914406849</v>
      </c>
      <c r="N110" s="84">
        <f t="shared" si="17"/>
        <v>0.18441517503691651</v>
      </c>
      <c r="O110" s="12"/>
      <c r="P110" s="86">
        <f t="shared" si="18"/>
        <v>5.1904284732391861E-3</v>
      </c>
      <c r="Q110" s="87">
        <f t="shared" si="19"/>
        <v>7.5244576334832424E-5</v>
      </c>
      <c r="R110" s="42"/>
      <c r="S110" s="88">
        <f t="shared" si="23"/>
        <v>0.89771926525944357</v>
      </c>
      <c r="T110" s="89">
        <f t="shared" si="23"/>
        <v>0.99937259214670948</v>
      </c>
      <c r="U110" s="42"/>
      <c r="V110" s="42"/>
      <c r="W110" s="42"/>
      <c r="X110" s="42"/>
      <c r="Y110" s="42"/>
      <c r="Z110" s="42"/>
      <c r="AA110" s="43"/>
      <c r="AC110" s="1"/>
      <c r="AD110" s="1"/>
      <c r="AE110" s="1"/>
      <c r="AF110" s="1"/>
      <c r="AG110" s="1"/>
      <c r="AH110" s="1"/>
    </row>
    <row r="111" spans="2:36" ht="16" thickBot="1">
      <c r="B111" s="40"/>
      <c r="C111" s="71">
        <f t="shared" si="20"/>
        <v>25.5</v>
      </c>
      <c r="D111" s="42">
        <v>22.785600445190902</v>
      </c>
      <c r="E111">
        <v>11.676705989086001</v>
      </c>
      <c r="F111" s="42"/>
      <c r="G111" s="79">
        <f t="shared" si="16"/>
        <v>0.51245987645458213</v>
      </c>
      <c r="H111" s="42"/>
      <c r="I111" s="79">
        <v>5.5178305191609364E-2</v>
      </c>
      <c r="J111" s="42">
        <v>11.031378288795599</v>
      </c>
      <c r="K111">
        <v>0.60869275790325705</v>
      </c>
      <c r="L111" s="42"/>
      <c r="M111" s="82">
        <f t="shared" si="17"/>
        <v>2.7578445721988998</v>
      </c>
      <c r="N111" s="84">
        <f t="shared" si="17"/>
        <v>0.15217318947581426</v>
      </c>
      <c r="O111" s="12"/>
      <c r="P111" s="86">
        <f t="shared" si="18"/>
        <v>6.6010534872604238E-3</v>
      </c>
      <c r="Q111" s="87">
        <f t="shared" si="19"/>
        <v>6.208928939462657E-5</v>
      </c>
      <c r="R111" s="42"/>
      <c r="S111" s="88">
        <f t="shared" si="23"/>
        <v>0.90432031874670404</v>
      </c>
      <c r="T111" s="89">
        <f t="shared" si="23"/>
        <v>0.99943468143610414</v>
      </c>
      <c r="U111" s="42"/>
      <c r="V111" s="42"/>
      <c r="W111" s="42"/>
      <c r="X111" s="42"/>
      <c r="Y111" s="42"/>
      <c r="Z111" s="42"/>
      <c r="AA111" s="43"/>
      <c r="AC111" s="1"/>
      <c r="AD111" s="1"/>
      <c r="AE111" s="1"/>
      <c r="AF111" s="1"/>
      <c r="AG111" s="1"/>
      <c r="AH111" s="1"/>
    </row>
    <row r="112" spans="2:36" ht="16" thickBot="1">
      <c r="B112" s="40"/>
      <c r="C112" s="71">
        <f t="shared" si="20"/>
        <v>25.75</v>
      </c>
      <c r="D112" s="42">
        <v>12.077494130482901</v>
      </c>
      <c r="E112">
        <v>67.267228082387305</v>
      </c>
      <c r="F112" s="42"/>
      <c r="G112" s="79">
        <f t="shared" si="16"/>
        <v>5.5696345082552092</v>
      </c>
      <c r="H112" s="42"/>
      <c r="I112" s="79">
        <v>4.5783790711664898E-2</v>
      </c>
      <c r="J112" s="42">
        <v>28.314616790421699</v>
      </c>
      <c r="K112">
        <v>1.2963504892136599</v>
      </c>
      <c r="L112" s="42"/>
      <c r="M112" s="82">
        <f t="shared" si="17"/>
        <v>7.0786541976054247</v>
      </c>
      <c r="N112" s="84">
        <f t="shared" si="17"/>
        <v>0.32408762230341498</v>
      </c>
      <c r="O112" s="12"/>
      <c r="P112" s="86">
        <f t="shared" si="18"/>
        <v>1.6943150258448988E-2</v>
      </c>
      <c r="Q112" s="87">
        <f t="shared" si="19"/>
        <v>1.3223334701551568E-4</v>
      </c>
      <c r="R112" s="42"/>
      <c r="S112" s="88">
        <f t="shared" si="23"/>
        <v>0.92126346900515299</v>
      </c>
      <c r="T112" s="89">
        <f t="shared" si="23"/>
        <v>0.99956691478311965</v>
      </c>
      <c r="U112" s="42"/>
      <c r="V112" s="42"/>
      <c r="W112" s="42"/>
      <c r="X112" s="42"/>
      <c r="Y112" s="42"/>
      <c r="Z112" s="42"/>
      <c r="AA112" s="43"/>
      <c r="AC112" s="1"/>
      <c r="AD112" s="1"/>
      <c r="AE112" s="1"/>
      <c r="AF112" s="1"/>
      <c r="AG112" s="1"/>
      <c r="AH112" s="1"/>
    </row>
    <row r="113" spans="2:34" ht="16" thickBot="1">
      <c r="B113" s="40"/>
      <c r="C113" s="71">
        <f t="shared" si="20"/>
        <v>26</v>
      </c>
      <c r="D113" s="42">
        <v>22.245401980216801</v>
      </c>
      <c r="E113">
        <v>28.041740357920801</v>
      </c>
      <c r="F113" s="42"/>
      <c r="G113" s="79">
        <f t="shared" si="16"/>
        <v>1.2605634361140687</v>
      </c>
      <c r="H113" s="42"/>
      <c r="I113" s="79">
        <v>4.3584899616576911E-2</v>
      </c>
      <c r="J113" s="42">
        <v>34.6975273752454</v>
      </c>
      <c r="K113">
        <v>1.5122882475935</v>
      </c>
      <c r="L113" s="42"/>
      <c r="M113" s="82">
        <f t="shared" si="17"/>
        <v>8.67438184381135</v>
      </c>
      <c r="N113" s="84">
        <f t="shared" si="17"/>
        <v>0.378072061898375</v>
      </c>
      <c r="O113" s="12"/>
      <c r="P113" s="86">
        <f t="shared" si="18"/>
        <v>2.0762612620429336E-2</v>
      </c>
      <c r="Q113" s="87">
        <f t="shared" si="19"/>
        <v>1.5425993070193397E-4</v>
      </c>
      <c r="R113" s="42"/>
      <c r="S113" s="88">
        <f t="shared" si="23"/>
        <v>0.94202608162558232</v>
      </c>
      <c r="T113" s="89">
        <f t="shared" si="23"/>
        <v>0.9997211747138216</v>
      </c>
      <c r="U113" s="42"/>
      <c r="V113" s="42"/>
      <c r="W113" s="42"/>
      <c r="X113" s="42"/>
      <c r="Y113" s="42"/>
      <c r="Z113" s="42"/>
      <c r="AA113" s="43"/>
      <c r="AC113" s="1"/>
      <c r="AD113" s="1"/>
      <c r="AE113" s="1"/>
      <c r="AF113" s="1"/>
      <c r="AG113" s="1"/>
      <c r="AH113" s="1"/>
    </row>
    <row r="114" spans="2:34" ht="16" thickBot="1">
      <c r="B114" s="40"/>
      <c r="C114" s="73">
        <f>C113+0.25</f>
        <v>26.25</v>
      </c>
      <c r="D114" s="42">
        <v>19.1283413449836</v>
      </c>
      <c r="E114">
        <v>0.64957453020733202</v>
      </c>
      <c r="F114" s="42"/>
      <c r="G114" s="80">
        <f t="shared" si="16"/>
        <v>3.3958748356280391E-2</v>
      </c>
      <c r="H114" s="42"/>
      <c r="I114" s="80">
        <v>4.1144740499734607E-2</v>
      </c>
      <c r="J114" s="42">
        <v>9.3743797247660101</v>
      </c>
      <c r="K114">
        <v>0.38570642112147102</v>
      </c>
      <c r="L114" s="42"/>
      <c r="M114" s="83">
        <f t="shared" si="17"/>
        <v>2.3435949311915025</v>
      </c>
      <c r="N114" s="85">
        <f t="shared" si="17"/>
        <v>9.6426605280367755E-2</v>
      </c>
      <c r="O114" s="12"/>
      <c r="P114" s="86">
        <f t="shared" si="18"/>
        <v>5.6095240642705033E-3</v>
      </c>
      <c r="Q114" s="87">
        <f t="shared" si="19"/>
        <v>3.9343720278306562E-5</v>
      </c>
      <c r="R114" s="42"/>
      <c r="S114" s="90">
        <f t="shared" si="23"/>
        <v>0.94763560568985283</v>
      </c>
      <c r="T114" s="91">
        <f t="shared" si="23"/>
        <v>0.99976051843409997</v>
      </c>
      <c r="U114" s="42"/>
      <c r="V114" s="42"/>
      <c r="W114" s="42"/>
      <c r="X114" s="42"/>
      <c r="Y114" s="42"/>
      <c r="Z114" s="42"/>
      <c r="AA114" s="43"/>
      <c r="AC114" s="1"/>
      <c r="AD114" s="1"/>
      <c r="AE114" s="1"/>
      <c r="AF114" s="1"/>
      <c r="AG114" s="1"/>
      <c r="AH114" s="1"/>
    </row>
    <row r="115" spans="2:34" ht="16" thickBot="1">
      <c r="B115" s="40"/>
      <c r="C115" s="71">
        <f t="shared" si="20"/>
        <v>26.5</v>
      </c>
      <c r="D115" s="42">
        <v>10.874537588098999</v>
      </c>
      <c r="E115">
        <v>77.698048635923598</v>
      </c>
      <c r="F115" s="42"/>
      <c r="G115" s="80">
        <f t="shared" si="16"/>
        <v>7.1449519583210304</v>
      </c>
      <c r="H115" s="42"/>
      <c r="I115" s="80">
        <v>3.91269945674491E-2</v>
      </c>
      <c r="J115" s="42">
        <v>14.971036092409401</v>
      </c>
      <c r="K115">
        <v>0.58577164785678704</v>
      </c>
      <c r="L115" s="42"/>
      <c r="M115" s="83">
        <f t="shared" ref="M115:M121" si="24">J115*0.25</f>
        <v>3.7427590231023502</v>
      </c>
      <c r="N115" s="85">
        <f t="shared" ref="N115:N121" si="25">K115*0.25</f>
        <v>0.14644291196419676</v>
      </c>
      <c r="O115" s="42"/>
      <c r="P115" s="86">
        <f t="shared" si="18"/>
        <v>8.9585006894447074E-3</v>
      </c>
      <c r="Q115" s="87">
        <f t="shared" si="19"/>
        <v>5.9751237205828314E-5</v>
      </c>
      <c r="R115" s="42"/>
      <c r="S115" s="90">
        <f t="shared" ref="S115:S121" si="26">P115+S114</f>
        <v>0.95659410637929754</v>
      </c>
      <c r="T115" s="91">
        <f t="shared" ref="T115:T121" si="27">Q115+T114</f>
        <v>0.99982026967130577</v>
      </c>
      <c r="U115" s="42"/>
      <c r="V115" s="42"/>
      <c r="W115" s="42"/>
      <c r="X115" s="42"/>
      <c r="Y115" s="42"/>
      <c r="Z115" s="42"/>
      <c r="AA115" s="43"/>
      <c r="AC115" s="1"/>
      <c r="AD115" s="1"/>
      <c r="AE115" s="1"/>
      <c r="AF115" s="1"/>
      <c r="AG115" s="1"/>
      <c r="AH115" s="1"/>
    </row>
    <row r="116" spans="2:34" ht="16" thickBot="1">
      <c r="B116" s="54"/>
      <c r="C116" s="73">
        <f t="shared" si="20"/>
        <v>26.75</v>
      </c>
      <c r="D116" s="42">
        <v>10.0963327322336</v>
      </c>
      <c r="E116">
        <v>222.57677697877901</v>
      </c>
      <c r="F116" s="55"/>
      <c r="G116" s="80">
        <f t="shared" si="16"/>
        <v>22.045309210955313</v>
      </c>
      <c r="H116" s="55"/>
      <c r="I116" s="80">
        <v>3.6546548363112885E-2</v>
      </c>
      <c r="J116" s="42">
        <v>9.4282937936901199</v>
      </c>
      <c r="K116">
        <v>0.344571595112733</v>
      </c>
      <c r="L116" s="55"/>
      <c r="M116" s="83">
        <f t="shared" si="24"/>
        <v>2.35707344842253</v>
      </c>
      <c r="N116" s="85">
        <f t="shared" si="25"/>
        <v>8.6142898778183249E-2</v>
      </c>
      <c r="O116" s="55"/>
      <c r="P116" s="86">
        <f t="shared" si="18"/>
        <v>5.6417856406000329E-3</v>
      </c>
      <c r="Q116" s="87">
        <f t="shared" si="19"/>
        <v>3.5147790421917386E-5</v>
      </c>
      <c r="R116" s="55"/>
      <c r="S116" s="90">
        <f t="shared" si="26"/>
        <v>0.96223589201989757</v>
      </c>
      <c r="T116" s="91">
        <f t="shared" si="27"/>
        <v>0.99985541746172768</v>
      </c>
      <c r="U116" s="55"/>
      <c r="V116" s="55"/>
      <c r="W116" s="55"/>
      <c r="X116" s="55"/>
      <c r="Y116" s="55"/>
      <c r="Z116" s="55"/>
      <c r="AA116" s="56"/>
      <c r="AC116" s="1"/>
      <c r="AD116" s="1"/>
      <c r="AE116" s="1"/>
      <c r="AF116" s="1"/>
      <c r="AG116" s="1"/>
      <c r="AH116" s="1"/>
    </row>
    <row r="117" spans="2:34" ht="16" thickBot="1">
      <c r="B117" s="1"/>
      <c r="C117" s="71">
        <f t="shared" si="20"/>
        <v>27</v>
      </c>
      <c r="D117" s="42">
        <v>36.671302389957297</v>
      </c>
      <c r="E117">
        <v>15.297500194103</v>
      </c>
      <c r="F117" s="1"/>
      <c r="G117" s="80">
        <f t="shared" si="16"/>
        <v>0.41715181073831542</v>
      </c>
      <c r="H117" s="1"/>
      <c r="I117" s="80">
        <v>3.3958748356280391E-2</v>
      </c>
      <c r="J117" s="42">
        <v>19.1283413449836</v>
      </c>
      <c r="K117">
        <v>0.64957453020733202</v>
      </c>
      <c r="L117" s="1"/>
      <c r="M117" s="83">
        <f t="shared" si="24"/>
        <v>4.7820853362458999</v>
      </c>
      <c r="N117" s="85">
        <f t="shared" si="25"/>
        <v>0.16239363255183301</v>
      </c>
      <c r="O117" s="1"/>
      <c r="P117" s="86">
        <f t="shared" si="18"/>
        <v>1.1446185692775978E-2</v>
      </c>
      <c r="Q117" s="87">
        <f t="shared" si="19"/>
        <v>6.6259406680556842E-5</v>
      </c>
      <c r="R117" s="1"/>
      <c r="S117" s="90">
        <f t="shared" si="26"/>
        <v>0.97368207771267357</v>
      </c>
      <c r="T117" s="91">
        <f t="shared" si="27"/>
        <v>0.99992167686840827</v>
      </c>
      <c r="U117" s="1"/>
      <c r="V117" s="1"/>
      <c r="W117" s="1"/>
      <c r="X117" s="1"/>
      <c r="Y117" s="1"/>
      <c r="Z117" s="1"/>
      <c r="AA117" s="1"/>
      <c r="AC117" s="1"/>
      <c r="AD117" s="1"/>
      <c r="AE117" s="1"/>
      <c r="AF117" s="1"/>
      <c r="AG117" s="1"/>
      <c r="AH117" s="1"/>
    </row>
    <row r="118" spans="2:34" ht="16" thickBot="1">
      <c r="B118" s="1"/>
      <c r="C118" s="73">
        <f t="shared" si="20"/>
        <v>27.25</v>
      </c>
      <c r="D118" s="42">
        <v>13.342760257993</v>
      </c>
      <c r="E118">
        <v>21.8574935674452</v>
      </c>
      <c r="F118" s="1"/>
      <c r="G118" s="80">
        <f t="shared" si="16"/>
        <v>1.6381538111165144</v>
      </c>
      <c r="H118" s="1"/>
      <c r="I118" s="80">
        <v>3.3672854710251263E-2</v>
      </c>
      <c r="J118" s="42">
        <v>7.3760750995678706</v>
      </c>
      <c r="K118">
        <v>0.24837350515965101</v>
      </c>
      <c r="L118" s="1"/>
      <c r="M118" s="83">
        <f t="shared" si="24"/>
        <v>1.8440187748919676</v>
      </c>
      <c r="N118" s="85">
        <f t="shared" si="25"/>
        <v>6.2093376289912752E-2</v>
      </c>
      <c r="O118" s="1"/>
      <c r="P118" s="86">
        <f t="shared" si="18"/>
        <v>4.4137609085304255E-3</v>
      </c>
      <c r="Q118" s="87">
        <f t="shared" si="19"/>
        <v>2.5335169902360407E-5</v>
      </c>
      <c r="R118" s="1"/>
      <c r="S118" s="90">
        <f t="shared" si="26"/>
        <v>0.97809583862120397</v>
      </c>
      <c r="T118" s="91">
        <f t="shared" si="27"/>
        <v>0.9999470120383106</v>
      </c>
      <c r="U118" s="1"/>
      <c r="V118" s="1"/>
      <c r="W118" s="1"/>
      <c r="X118" s="1"/>
      <c r="Y118" s="1"/>
      <c r="Z118" s="1"/>
      <c r="AA118" s="1"/>
      <c r="AC118" s="1"/>
      <c r="AD118" s="1"/>
      <c r="AE118" s="1"/>
      <c r="AF118" s="1"/>
      <c r="AG118" s="1"/>
      <c r="AH118" s="1"/>
    </row>
    <row r="119" spans="2:34" ht="16" thickBot="1">
      <c r="B119" s="1"/>
      <c r="C119" s="71">
        <f t="shared" si="20"/>
        <v>27.5</v>
      </c>
      <c r="D119" s="42">
        <v>9.9685739815089693</v>
      </c>
      <c r="E119">
        <v>167.20075491700101</v>
      </c>
      <c r="F119" s="1"/>
      <c r="G119" s="80">
        <f t="shared" si="16"/>
        <v>16.772785678989504</v>
      </c>
      <c r="H119" s="1"/>
      <c r="I119" s="80">
        <v>2.5736465505643381E-2</v>
      </c>
      <c r="J119" s="42">
        <v>10.835203314140001</v>
      </c>
      <c r="K119">
        <v>0.27885983634099698</v>
      </c>
      <c r="L119" s="1"/>
      <c r="M119" s="83">
        <f t="shared" si="24"/>
        <v>2.7088008285350003</v>
      </c>
      <c r="N119" s="85">
        <f t="shared" si="25"/>
        <v>6.9714959085249245E-2</v>
      </c>
      <c r="O119" s="1"/>
      <c r="P119" s="86">
        <f t="shared" si="18"/>
        <v>6.4836645747725951E-3</v>
      </c>
      <c r="Q119" s="87">
        <f t="shared" si="19"/>
        <v>2.8444907310473061E-5</v>
      </c>
      <c r="R119" s="1"/>
      <c r="S119" s="90">
        <f t="shared" si="26"/>
        <v>0.98457950319597654</v>
      </c>
      <c r="T119" s="91">
        <f t="shared" si="27"/>
        <v>0.99997545694562107</v>
      </c>
      <c r="U119" s="1"/>
      <c r="V119" s="1"/>
      <c r="W119" s="1"/>
      <c r="X119" s="1"/>
      <c r="Y119" s="1"/>
      <c r="Z119" s="1"/>
      <c r="AA119" s="1"/>
      <c r="AC119" s="1"/>
      <c r="AD119" s="1"/>
      <c r="AE119" s="1"/>
      <c r="AF119" s="1"/>
      <c r="AG119" s="1"/>
      <c r="AH119" s="1"/>
    </row>
    <row r="120" spans="2:34" ht="16" thickBot="1">
      <c r="B120" s="1"/>
      <c r="C120" s="73">
        <f t="shared" si="20"/>
        <v>27.75</v>
      </c>
      <c r="D120" s="42">
        <v>9.8650217502493796</v>
      </c>
      <c r="E120">
        <v>7.6591191976530197</v>
      </c>
      <c r="F120" s="1"/>
      <c r="G120" s="80">
        <f t="shared" si="16"/>
        <v>0.7763915165680606</v>
      </c>
      <c r="H120" s="1"/>
      <c r="I120" s="80">
        <v>1.1052324902512548E-2</v>
      </c>
      <c r="J120" s="42">
        <v>13.187213010009099</v>
      </c>
      <c r="K120">
        <v>0.14574936274526101</v>
      </c>
      <c r="L120" s="1"/>
      <c r="M120" s="83">
        <f t="shared" si="24"/>
        <v>3.2968032525022748</v>
      </c>
      <c r="N120" s="85">
        <f t="shared" si="25"/>
        <v>3.6437340686315253E-2</v>
      </c>
      <c r="O120" s="1"/>
      <c r="P120" s="86">
        <f t="shared" si="18"/>
        <v>7.8910808919844064E-3</v>
      </c>
      <c r="Q120" s="87">
        <f t="shared" si="19"/>
        <v>1.486706428666135E-5</v>
      </c>
      <c r="R120" s="1"/>
      <c r="S120" s="90">
        <f t="shared" si="26"/>
        <v>0.99247058408796096</v>
      </c>
      <c r="T120" s="91">
        <f t="shared" si="27"/>
        <v>0.99999032400990773</v>
      </c>
      <c r="U120" s="1"/>
      <c r="V120" s="1"/>
      <c r="W120" s="1"/>
      <c r="X120" s="1"/>
      <c r="Y120" s="1"/>
      <c r="Z120" s="1"/>
      <c r="AA120" s="1"/>
      <c r="AC120" s="1"/>
      <c r="AD120" s="1"/>
      <c r="AE120" s="1"/>
      <c r="AF120" s="1"/>
      <c r="AG120" s="1"/>
      <c r="AH120" s="1"/>
    </row>
    <row r="121" spans="2:34" ht="16" thickBot="1">
      <c r="B121" s="1"/>
      <c r="C121" s="71">
        <f t="shared" si="20"/>
        <v>28</v>
      </c>
      <c r="D121" s="42">
        <v>11.3129886768753</v>
      </c>
      <c r="E121">
        <v>42.817474011034598</v>
      </c>
      <c r="F121" s="1"/>
      <c r="G121" s="80">
        <f t="shared" si="16"/>
        <v>3.7848065824159374</v>
      </c>
      <c r="H121" s="1"/>
      <c r="I121" s="80">
        <v>7.5387448849393544E-3</v>
      </c>
      <c r="J121" s="42">
        <v>12.5828150581836</v>
      </c>
      <c r="K121">
        <v>9.4858632658019498E-2</v>
      </c>
      <c r="L121" s="1"/>
      <c r="M121" s="83">
        <f t="shared" si="24"/>
        <v>3.1457037645459001</v>
      </c>
      <c r="N121" s="85">
        <f t="shared" si="25"/>
        <v>2.3714658164504875E-2</v>
      </c>
      <c r="O121" s="1"/>
      <c r="P121" s="86">
        <f t="shared" si="18"/>
        <v>7.5294159120387E-3</v>
      </c>
      <c r="Q121" s="87">
        <f t="shared" si="19"/>
        <v>9.6759900922271728E-6</v>
      </c>
      <c r="R121" s="1"/>
      <c r="S121" s="90">
        <f t="shared" si="26"/>
        <v>0.99999999999999967</v>
      </c>
      <c r="T121" s="91">
        <f t="shared" si="27"/>
        <v>1</v>
      </c>
      <c r="U121" s="1"/>
      <c r="V121" s="1"/>
      <c r="W121" s="1"/>
      <c r="X121" s="1"/>
      <c r="Y121" s="1"/>
      <c r="Z121" s="1"/>
      <c r="AA121" s="1"/>
      <c r="AC121" s="1"/>
      <c r="AD121" s="1"/>
      <c r="AE121" s="1"/>
      <c r="AF121" s="1"/>
      <c r="AG121" s="1"/>
      <c r="AH121" s="1"/>
    </row>
    <row r="122" spans="2:34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C122" s="1"/>
      <c r="AD122" s="1"/>
      <c r="AE122" s="1"/>
      <c r="AF122" s="1"/>
      <c r="AG122" s="1"/>
      <c r="AH122" s="1"/>
    </row>
    <row r="123" spans="2:34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C123" s="1"/>
      <c r="AD123" s="1"/>
      <c r="AE123" s="1"/>
      <c r="AF123" s="1"/>
      <c r="AG123" s="1"/>
      <c r="AH123" s="1"/>
    </row>
    <row r="124" spans="2:34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C124" s="1"/>
      <c r="AD124" s="1"/>
      <c r="AE124" s="1"/>
      <c r="AF124" s="1"/>
      <c r="AG124" s="1"/>
      <c r="AH124" s="1"/>
    </row>
    <row r="125" spans="2:34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C125" s="1"/>
      <c r="AD125" s="1"/>
      <c r="AE125" s="1"/>
      <c r="AF125" s="1"/>
      <c r="AG125" s="1"/>
      <c r="AH125" s="1"/>
    </row>
    <row r="126" spans="2:34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C126" s="1"/>
      <c r="AD126" s="1"/>
      <c r="AE126" s="1"/>
      <c r="AF126" s="1"/>
      <c r="AG126" s="1"/>
      <c r="AH126" s="1"/>
    </row>
    <row r="127" spans="2:34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C127" s="1"/>
      <c r="AD127" s="1"/>
      <c r="AE127" s="1"/>
      <c r="AF127" s="1"/>
      <c r="AG127" s="1"/>
      <c r="AH127" s="1"/>
    </row>
    <row r="128" spans="2:34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C128" s="1"/>
      <c r="AD128" s="1"/>
      <c r="AE128" s="1"/>
      <c r="AF128" s="1"/>
      <c r="AG128" s="1"/>
      <c r="AH128" s="1"/>
    </row>
    <row r="129" spans="2:34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C129" s="1"/>
      <c r="AD129" s="1"/>
      <c r="AE129" s="1"/>
      <c r="AF129" s="1"/>
      <c r="AG129" s="1"/>
      <c r="AH129" s="1"/>
    </row>
    <row r="130" spans="2:34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C130" s="1"/>
      <c r="AD130" s="1"/>
      <c r="AE130" s="1"/>
      <c r="AF130" s="1"/>
      <c r="AG130" s="1"/>
      <c r="AH130" s="1"/>
    </row>
    <row r="131" spans="2:34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C131" s="1"/>
      <c r="AD131" s="1"/>
      <c r="AE131" s="1"/>
      <c r="AF131" s="1"/>
      <c r="AG131" s="1"/>
      <c r="AH131" s="1"/>
    </row>
    <row r="132" spans="2:34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C132" s="1"/>
      <c r="AD132" s="1"/>
      <c r="AE132" s="1"/>
      <c r="AF132" s="1"/>
      <c r="AG132" s="1"/>
      <c r="AH132" s="1"/>
    </row>
    <row r="133" spans="2:34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C133" s="1"/>
      <c r="AD133" s="1"/>
      <c r="AE133" s="1"/>
      <c r="AF133" s="1"/>
      <c r="AG133" s="1"/>
      <c r="AH133" s="1"/>
    </row>
    <row r="134" spans="2:34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C134" s="1"/>
      <c r="AD134" s="1"/>
      <c r="AE134" s="1"/>
      <c r="AF134" s="1"/>
      <c r="AG134" s="1"/>
      <c r="AH134" s="1"/>
    </row>
  </sheetData>
  <sortState xmlns:xlrd2="http://schemas.microsoft.com/office/spreadsheetml/2017/richdata2" ref="I10:K121">
    <sortCondition descending="1" ref="I10:I121"/>
  </sortState>
  <mergeCells count="6">
    <mergeCell ref="V8:Y8"/>
    <mergeCell ref="C8:E8"/>
    <mergeCell ref="I8:K8"/>
    <mergeCell ref="M8:N8"/>
    <mergeCell ref="P8:Q8"/>
    <mergeCell ref="S8:T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46"/>
  <sheetViews>
    <sheetView zoomScale="89" zoomScaleNormal="60" workbookViewId="0">
      <selection activeCell="C15" sqref="C15:C120"/>
    </sheetView>
  </sheetViews>
  <sheetFormatPr baseColWidth="10" defaultColWidth="8.83203125" defaultRowHeight="15"/>
  <cols>
    <col min="1" max="1" width="9.1640625" style="1"/>
    <col min="2" max="3" width="9.1640625" style="9"/>
    <col min="4" max="5" width="9.5" style="9" bestFit="1" customWidth="1"/>
    <col min="6" max="7" width="9.1640625" style="9"/>
    <col min="8" max="8" width="11.6640625" style="9" customWidth="1"/>
    <col min="9" max="9" width="12.1640625" style="9" customWidth="1"/>
    <col min="10" max="10" width="9.1640625" style="9"/>
    <col min="12" max="12" width="9.1640625" style="9"/>
    <col min="14" max="14" width="14.5" style="9" customWidth="1"/>
    <col min="15" max="15" width="16" customWidth="1"/>
    <col min="16" max="20" width="11.83203125" customWidth="1"/>
    <col min="21" max="29" width="9.1640625" style="9"/>
    <col min="30" max="30" width="12.6640625" style="9" customWidth="1"/>
    <col min="31" max="31" width="9.1640625" style="9"/>
    <col min="44" max="44" width="15.1640625" customWidth="1"/>
    <col min="45" max="46" width="9.1640625" style="1"/>
  </cols>
  <sheetData>
    <row r="1" spans="1:46" s="1" customFormat="1" ht="16" thickBot="1"/>
    <row r="2" spans="1:46" s="1" customFormat="1"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9"/>
    </row>
    <row r="3" spans="1:46" s="1" customFormat="1" ht="21">
      <c r="B3" s="40"/>
      <c r="C3" s="61" t="s">
        <v>28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3"/>
    </row>
    <row r="4" spans="1:46" s="9" customFormat="1">
      <c r="A4" s="1"/>
      <c r="B4" s="40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3"/>
      <c r="AS4" s="1"/>
      <c r="AT4" s="1"/>
    </row>
    <row r="5" spans="1:46" s="9" customFormat="1" ht="16">
      <c r="A5" s="1"/>
      <c r="B5" s="40"/>
      <c r="C5" s="42"/>
      <c r="D5" s="42"/>
      <c r="E5" s="42"/>
      <c r="F5" s="42"/>
      <c r="G5" s="42"/>
      <c r="H5" s="42"/>
      <c r="I5" s="42"/>
      <c r="J5" s="141" t="s">
        <v>7</v>
      </c>
      <c r="K5" s="142"/>
      <c r="L5" s="141" t="s">
        <v>8</v>
      </c>
      <c r="M5" s="142"/>
      <c r="N5" s="42"/>
      <c r="O5" s="42"/>
      <c r="P5" s="42"/>
      <c r="Q5" s="58" t="s">
        <v>42</v>
      </c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3"/>
      <c r="AS5" s="1"/>
      <c r="AT5" s="1"/>
    </row>
    <row r="6" spans="1:46" s="9" customFormat="1" ht="16" thickBot="1">
      <c r="A6" s="1"/>
      <c r="B6" s="40"/>
      <c r="C6" s="42"/>
      <c r="D6" s="42"/>
      <c r="E6" s="42"/>
      <c r="F6" s="139" t="s">
        <v>17</v>
      </c>
      <c r="G6" s="140"/>
      <c r="H6" s="139" t="s">
        <v>36</v>
      </c>
      <c r="I6" s="140"/>
      <c r="J6" s="139" t="s">
        <v>3</v>
      </c>
      <c r="K6" s="140"/>
      <c r="L6" s="139" t="s">
        <v>6</v>
      </c>
      <c r="M6" s="140"/>
      <c r="N6" s="139" t="s">
        <v>11</v>
      </c>
      <c r="O6" s="140"/>
      <c r="P6" s="44"/>
      <c r="Q6" s="44"/>
      <c r="R6" s="44"/>
      <c r="S6" s="44"/>
      <c r="T6" s="44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6"/>
      <c r="AS6" s="36"/>
      <c r="AT6" s="36"/>
    </row>
    <row r="7" spans="1:46" ht="16">
      <c r="B7" s="40"/>
      <c r="C7" s="42"/>
      <c r="D7" s="42"/>
      <c r="E7" s="42"/>
      <c r="F7" s="47" t="s">
        <v>13</v>
      </c>
      <c r="G7" s="10">
        <f>MIN(F16:F120)</f>
        <v>0.35790785905071931</v>
      </c>
      <c r="H7" s="47" t="s">
        <v>13</v>
      </c>
      <c r="I7" s="10">
        <f>MIN(H16:H120)</f>
        <v>0</v>
      </c>
      <c r="J7" s="47" t="s">
        <v>1</v>
      </c>
      <c r="K7" s="2">
        <v>0</v>
      </c>
      <c r="L7" s="47" t="s">
        <v>1</v>
      </c>
      <c r="M7" s="5">
        <v>5</v>
      </c>
      <c r="N7" s="47" t="s">
        <v>1</v>
      </c>
      <c r="O7" s="7">
        <f ca="1">AVERAGE(N16:N120)</f>
        <v>11.653376450055843</v>
      </c>
      <c r="P7" s="12"/>
      <c r="Q7" s="58" t="s">
        <v>43</v>
      </c>
      <c r="R7" s="12"/>
      <c r="S7" s="12"/>
      <c r="T7" s="1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6"/>
      <c r="AS7" s="36"/>
      <c r="AT7" s="36"/>
    </row>
    <row r="8" spans="1:46" ht="17" thickBot="1">
      <c r="B8" s="40"/>
      <c r="C8" s="42"/>
      <c r="D8" s="42"/>
      <c r="E8" s="42"/>
      <c r="F8" s="47" t="s">
        <v>14</v>
      </c>
      <c r="G8" s="11">
        <f>MAX(F16:F120)</f>
        <v>0.69854345469434143</v>
      </c>
      <c r="H8" s="47" t="s">
        <v>14</v>
      </c>
      <c r="I8" s="11">
        <f>MAX(H16:H120)</f>
        <v>1</v>
      </c>
      <c r="J8" s="47" t="s">
        <v>2</v>
      </c>
      <c r="K8" s="3">
        <v>1</v>
      </c>
      <c r="L8" s="47" t="s">
        <v>2</v>
      </c>
      <c r="M8" s="6">
        <v>0.5</v>
      </c>
      <c r="N8" s="47" t="s">
        <v>2</v>
      </c>
      <c r="O8" s="8">
        <f ca="1">STDEV(N16:N120)</f>
        <v>3.0627274604277974</v>
      </c>
      <c r="P8" s="12"/>
      <c r="Q8" s="59" t="s">
        <v>38</v>
      </c>
      <c r="R8" s="12"/>
      <c r="S8" s="12"/>
      <c r="T8" s="1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6"/>
      <c r="AS8" s="36"/>
      <c r="AT8" s="36"/>
    </row>
    <row r="9" spans="1:46" ht="17" thickBot="1">
      <c r="B9" s="40"/>
      <c r="C9" s="42"/>
      <c r="D9" s="42"/>
      <c r="E9" s="42"/>
      <c r="F9" s="139" t="s">
        <v>18</v>
      </c>
      <c r="G9" s="140"/>
      <c r="H9" s="139" t="s">
        <v>37</v>
      </c>
      <c r="I9" s="140"/>
      <c r="J9" s="139" t="s">
        <v>4</v>
      </c>
      <c r="K9" s="140"/>
      <c r="L9" s="139" t="s">
        <v>5</v>
      </c>
      <c r="M9" s="140"/>
      <c r="N9" s="139" t="s">
        <v>12</v>
      </c>
      <c r="O9" s="140"/>
      <c r="P9" s="44"/>
      <c r="Q9" s="60" t="s">
        <v>39</v>
      </c>
      <c r="R9" s="44"/>
      <c r="S9" s="44"/>
      <c r="T9" s="44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6"/>
      <c r="AS9" s="36"/>
      <c r="AT9" s="36"/>
    </row>
    <row r="10" spans="1:46" ht="16">
      <c r="B10" s="40"/>
      <c r="C10" s="42"/>
      <c r="D10" s="42"/>
      <c r="E10" s="42"/>
      <c r="F10" s="47" t="s">
        <v>13</v>
      </c>
      <c r="G10" s="10">
        <f>MIN(G16:G120)</f>
        <v>0.32460314368273324</v>
      </c>
      <c r="H10" s="47" t="s">
        <v>13</v>
      </c>
      <c r="I10" s="10">
        <f>MIN(I16:I120)</f>
        <v>0</v>
      </c>
      <c r="J10" s="47" t="s">
        <v>1</v>
      </c>
      <c r="K10" s="2">
        <v>0</v>
      </c>
      <c r="L10" s="47" t="s">
        <v>1</v>
      </c>
      <c r="M10" s="5">
        <v>12</v>
      </c>
      <c r="N10" s="47" t="s">
        <v>1</v>
      </c>
      <c r="O10" s="7">
        <f ca="1">AVERAGE(O16:O120)</f>
        <v>153.75617320136556</v>
      </c>
      <c r="P10" s="12"/>
      <c r="Q10" s="59" t="s">
        <v>40</v>
      </c>
      <c r="R10" s="12"/>
      <c r="S10" s="12"/>
      <c r="T10" s="1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6"/>
      <c r="AS10" s="36"/>
      <c r="AT10" s="36"/>
    </row>
    <row r="11" spans="1:46" ht="16" thickBot="1">
      <c r="B11" s="40"/>
      <c r="C11" s="42"/>
      <c r="D11" s="42"/>
      <c r="E11" s="42"/>
      <c r="F11" s="47" t="s">
        <v>14</v>
      </c>
      <c r="G11" s="11">
        <f>MAX(G16:G120)</f>
        <v>0.7162729599289146</v>
      </c>
      <c r="H11" s="47" t="s">
        <v>14</v>
      </c>
      <c r="I11" s="11">
        <f>MAX(I16:I120)</f>
        <v>1</v>
      </c>
      <c r="J11" s="47" t="s">
        <v>2</v>
      </c>
      <c r="K11" s="3">
        <v>1</v>
      </c>
      <c r="L11" s="47" t="s">
        <v>2</v>
      </c>
      <c r="M11" s="6">
        <v>3.5</v>
      </c>
      <c r="N11" s="47" t="s">
        <v>2</v>
      </c>
      <c r="O11" s="8">
        <f ca="1">STDEV(O16:O120)</f>
        <v>81.478299397107975</v>
      </c>
      <c r="P11" s="12"/>
      <c r="Q11" s="12"/>
      <c r="R11" s="12"/>
      <c r="S11" s="12"/>
      <c r="T11" s="1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6"/>
      <c r="AS11" s="36"/>
      <c r="AT11" s="36"/>
    </row>
    <row r="12" spans="1:46" ht="16" thickBot="1">
      <c r="B12" s="40"/>
      <c r="C12" s="42"/>
      <c r="D12" s="42"/>
      <c r="E12" s="42"/>
      <c r="F12" s="42"/>
      <c r="G12" s="42"/>
      <c r="H12" s="42"/>
      <c r="I12" s="42"/>
      <c r="J12" s="47" t="s">
        <v>10</v>
      </c>
      <c r="K12" s="4">
        <v>0.6</v>
      </c>
      <c r="L12" s="42"/>
      <c r="M12" s="48"/>
      <c r="N12" s="42"/>
      <c r="O12" s="48">
        <f ca="1">LN(O10)</f>
        <v>5.035368056783792</v>
      </c>
      <c r="P12" s="42"/>
      <c r="Q12" s="42" t="s">
        <v>44</v>
      </c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6"/>
      <c r="AS12" s="36"/>
      <c r="AT12" s="36"/>
    </row>
    <row r="13" spans="1:46" s="9" customFormat="1">
      <c r="A13" s="1"/>
      <c r="B13" s="40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6"/>
      <c r="AS13" s="36"/>
      <c r="AT13" s="36"/>
    </row>
    <row r="14" spans="1:46" s="9" customFormat="1" ht="76.5" customHeight="1" thickBot="1">
      <c r="A14" s="1"/>
      <c r="B14" s="40"/>
      <c r="C14" s="42"/>
      <c r="D14" s="136" t="s">
        <v>31</v>
      </c>
      <c r="E14" s="137"/>
      <c r="F14" s="136" t="s">
        <v>30</v>
      </c>
      <c r="G14" s="137"/>
      <c r="H14" s="136" t="s">
        <v>29</v>
      </c>
      <c r="I14" s="137"/>
      <c r="J14" s="136" t="s">
        <v>32</v>
      </c>
      <c r="K14" s="137"/>
      <c r="L14" s="136" t="s">
        <v>33</v>
      </c>
      <c r="M14" s="137"/>
      <c r="N14" s="49" t="s">
        <v>34</v>
      </c>
      <c r="O14" s="49" t="s">
        <v>35</v>
      </c>
      <c r="P14" s="50"/>
      <c r="Q14" s="50"/>
      <c r="R14" s="50"/>
      <c r="S14" s="50"/>
      <c r="T14" s="50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3"/>
      <c r="AS14" s="1"/>
      <c r="AT14" s="1"/>
    </row>
    <row r="15" spans="1:46" s="9" customFormat="1">
      <c r="A15" s="1"/>
      <c r="B15" s="40"/>
      <c r="C15" s="62" t="s">
        <v>23</v>
      </c>
      <c r="D15" s="62" t="s">
        <v>15</v>
      </c>
      <c r="E15" s="62" t="s">
        <v>16</v>
      </c>
      <c r="F15" s="62" t="s">
        <v>21</v>
      </c>
      <c r="G15" s="62" t="s">
        <v>20</v>
      </c>
      <c r="H15" s="62" t="s">
        <v>19</v>
      </c>
      <c r="I15" s="62" t="s">
        <v>22</v>
      </c>
      <c r="J15" s="62" t="s">
        <v>3</v>
      </c>
      <c r="K15" s="62" t="s">
        <v>4</v>
      </c>
      <c r="L15" s="62" t="s">
        <v>6</v>
      </c>
      <c r="M15" s="62" t="s">
        <v>5</v>
      </c>
      <c r="N15" s="62" t="s">
        <v>0</v>
      </c>
      <c r="O15" s="62" t="s">
        <v>9</v>
      </c>
      <c r="P15" s="50"/>
      <c r="Q15" s="50"/>
      <c r="R15" s="50"/>
      <c r="S15" s="50"/>
      <c r="T15" s="50"/>
      <c r="U15" s="42"/>
      <c r="V15" s="42"/>
      <c r="W15" s="42"/>
      <c r="X15" s="42"/>
      <c r="Y15" s="42"/>
      <c r="Z15" s="42"/>
      <c r="AA15" s="42"/>
      <c r="AB15" s="51" t="s">
        <v>25</v>
      </c>
      <c r="AC15" s="42"/>
      <c r="AD15" s="42"/>
      <c r="AE15" s="134" t="s">
        <v>26</v>
      </c>
      <c r="AF15" s="16">
        <f ca="1">AC17</f>
        <v>4.33876163569147</v>
      </c>
      <c r="AG15" s="17">
        <f t="shared" ref="AG15:AO15" ca="1" si="0">AF15+($AC$18-$AC$17)/10</f>
        <v>5.819822654485006</v>
      </c>
      <c r="AH15" s="17">
        <f t="shared" ca="1" si="0"/>
        <v>7.300883673278542</v>
      </c>
      <c r="AI15" s="17">
        <f t="shared" ca="1" si="0"/>
        <v>8.7819446920720772</v>
      </c>
      <c r="AJ15" s="17">
        <f t="shared" ca="1" si="0"/>
        <v>10.263005710865613</v>
      </c>
      <c r="AK15" s="17">
        <f t="shared" ca="1" si="0"/>
        <v>11.744066729659149</v>
      </c>
      <c r="AL15" s="17">
        <f t="shared" ca="1" si="0"/>
        <v>13.225127748452685</v>
      </c>
      <c r="AM15" s="17">
        <f t="shared" ca="1" si="0"/>
        <v>14.706188767246221</v>
      </c>
      <c r="AN15" s="17">
        <f t="shared" ca="1" si="0"/>
        <v>16.187249786039757</v>
      </c>
      <c r="AO15" s="18">
        <f t="shared" ca="1" si="0"/>
        <v>17.668310804833293</v>
      </c>
      <c r="AP15" s="42"/>
      <c r="AQ15" s="42"/>
      <c r="AR15" s="43"/>
      <c r="AS15" s="1"/>
      <c r="AT15" s="1"/>
    </row>
    <row r="16" spans="1:46" s="9" customFormat="1" ht="16" thickBot="1">
      <c r="A16" s="1"/>
      <c r="B16" s="40"/>
      <c r="C16" s="52">
        <v>0.25</v>
      </c>
      <c r="D16" s="52">
        <v>0.39072650334348147</v>
      </c>
      <c r="E16" s="52">
        <v>0.86078463124370719</v>
      </c>
      <c r="F16" s="52">
        <f>AVERAGE(D16:D20)</f>
        <v>0.62221247550496395</v>
      </c>
      <c r="G16" s="52">
        <f>AVERAGE(E16:E20)</f>
        <v>0.61793154299764441</v>
      </c>
      <c r="H16" s="52">
        <f>(F16-$G$7)/($G$8-$G$7)</f>
        <v>0.77591602238411972</v>
      </c>
      <c r="I16" s="52">
        <f>(G16-$G$10)/($G$11-$G$10)</f>
        <v>0.74891755031371021</v>
      </c>
      <c r="J16" s="52">
        <f ca="1">_xlfn.NORM.INV(RAND(),$K$7,$K$8)</f>
        <v>-1.1390967038505935</v>
      </c>
      <c r="K16" s="52">
        <f t="shared" ref="K16:K47" ca="1" si="1">_xlfn.NORM.INV(RAND(),$K$10+$K$12*($K$11/$K$8)*(J16-$K$7),SQRT($K$12*$K$8*$K$11))</f>
        <v>-0.7817609225368658</v>
      </c>
      <c r="L16" s="12">
        <f ca="1">J16*$M$8+$M$7</f>
        <v>4.4304516480747029</v>
      </c>
      <c r="M16" s="12">
        <f ca="1">K16*$M$11+$M$10</f>
        <v>9.2638367711209693</v>
      </c>
      <c r="N16" s="12">
        <f ca="1">IF(M16&lt;0,0,M16)</f>
        <v>9.2638367711209693</v>
      </c>
      <c r="O16" s="12">
        <f ca="1">EXP(L16)</f>
        <v>83.969332934828657</v>
      </c>
      <c r="P16" s="12"/>
      <c r="Q16" s="12"/>
      <c r="R16" s="12"/>
      <c r="S16" s="12"/>
      <c r="T16" s="1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138"/>
      <c r="AF16" s="19">
        <f t="shared" ref="AF16:AO16" ca="1" si="2">AF15+($AC$18-$AC$17)/10</f>
        <v>5.819822654485006</v>
      </c>
      <c r="AG16" s="20">
        <f t="shared" ca="1" si="2"/>
        <v>7.300883673278542</v>
      </c>
      <c r="AH16" s="20">
        <f t="shared" ca="1" si="2"/>
        <v>8.7819446920720772</v>
      </c>
      <c r="AI16" s="20">
        <f t="shared" ca="1" si="2"/>
        <v>10.263005710865613</v>
      </c>
      <c r="AJ16" s="20">
        <f t="shared" ca="1" si="2"/>
        <v>11.744066729659149</v>
      </c>
      <c r="AK16" s="20">
        <f t="shared" ca="1" si="2"/>
        <v>13.225127748452685</v>
      </c>
      <c r="AL16" s="20">
        <f t="shared" ca="1" si="2"/>
        <v>14.706188767246221</v>
      </c>
      <c r="AM16" s="20">
        <f t="shared" ca="1" si="2"/>
        <v>16.187249786039757</v>
      </c>
      <c r="AN16" s="20">
        <f t="shared" ca="1" si="2"/>
        <v>17.668310804833293</v>
      </c>
      <c r="AO16" s="21">
        <f t="shared" ca="1" si="2"/>
        <v>19.149371823626829</v>
      </c>
      <c r="AP16" s="42"/>
      <c r="AQ16" s="42"/>
      <c r="AR16" s="43"/>
      <c r="AS16" s="1"/>
      <c r="AT16" s="1"/>
    </row>
    <row r="17" spans="1:46" s="9" customFormat="1">
      <c r="A17" s="1"/>
      <c r="B17" s="40"/>
      <c r="C17" s="52">
        <f>C16+0.25</f>
        <v>0.5</v>
      </c>
      <c r="D17" s="52">
        <v>0.14073501787558729</v>
      </c>
      <c r="E17" s="52">
        <v>0.53765553076353778</v>
      </c>
      <c r="F17" s="52">
        <f>AVERAGE(D16:D21)</f>
        <v>0.55316751535472741</v>
      </c>
      <c r="G17" s="52">
        <f>AVERAGE(E16:E21)</f>
        <v>0.67500770666820797</v>
      </c>
      <c r="H17" s="52">
        <f t="shared" ref="H17:H80" si="3">(F17-$G$7)/($G$8-$G$7)</f>
        <v>0.57322152705465224</v>
      </c>
      <c r="I17" s="52">
        <f t="shared" ref="I17:I80" si="4">(G17-$G$10)/($G$11-$G$10)</f>
        <v>0.89464275379655589</v>
      </c>
      <c r="J17" s="52">
        <f t="shared" ref="J17:J80" ca="1" si="5">_xlfn.NORM.INV(RAND(),$K$7,$K$8)</f>
        <v>-0.53112439768528508</v>
      </c>
      <c r="K17" s="52">
        <f t="shared" ca="1" si="1"/>
        <v>-1.2438096529322118</v>
      </c>
      <c r="L17" s="12">
        <f t="shared" ref="L17:L80" ca="1" si="6">J17*$M$8+$M$7</f>
        <v>4.7344378011573571</v>
      </c>
      <c r="M17" s="12">
        <f t="shared" ref="M17:M80" ca="1" si="7">K17*$M$11+$M$10</f>
        <v>7.6466662147372588</v>
      </c>
      <c r="N17" s="12">
        <f t="shared" ref="N17:N80" ca="1" si="8">IF(M17&lt;0,0,M17)</f>
        <v>7.6466662147372588</v>
      </c>
      <c r="O17" s="12">
        <f t="shared" ref="O17:O47" ca="1" si="9">EXP(L17)</f>
        <v>113.79946280439933</v>
      </c>
      <c r="P17" s="12"/>
      <c r="Q17" s="12"/>
      <c r="R17" s="12"/>
      <c r="S17" s="12"/>
      <c r="T17" s="12"/>
      <c r="U17" s="42"/>
      <c r="V17" s="42"/>
      <c r="W17" s="42"/>
      <c r="X17" s="42"/>
      <c r="Y17" s="42"/>
      <c r="Z17" s="42"/>
      <c r="AA17" s="42"/>
      <c r="AB17" s="26" t="s">
        <v>13</v>
      </c>
      <c r="AC17" s="22">
        <f ca="1">MIN(N16:N120)</f>
        <v>4.33876163569147</v>
      </c>
      <c r="AD17" s="47" t="s">
        <v>0</v>
      </c>
      <c r="AE17" s="34">
        <f ca="1">MIN(N16:N120)</f>
        <v>4.33876163569147</v>
      </c>
      <c r="AF17" s="17">
        <f ca="1">$AC$17+($AC$18-$AC$17)/20</f>
        <v>5.079292145088238</v>
      </c>
      <c r="AG17" s="17">
        <f t="shared" ref="AG17:AO17" ca="1" si="10">AF17+($AC$18-$AC$17)/10</f>
        <v>6.560353163881774</v>
      </c>
      <c r="AH17" s="17">
        <f t="shared" ca="1" si="10"/>
        <v>8.0414141826753109</v>
      </c>
      <c r="AI17" s="17">
        <f t="shared" ca="1" si="10"/>
        <v>9.522475201468847</v>
      </c>
      <c r="AJ17" s="17">
        <f t="shared" ca="1" si="10"/>
        <v>11.003536220262383</v>
      </c>
      <c r="AK17" s="17">
        <f t="shared" ca="1" si="10"/>
        <v>12.484597239055919</v>
      </c>
      <c r="AL17" s="17">
        <f t="shared" ca="1" si="10"/>
        <v>13.965658257849455</v>
      </c>
      <c r="AM17" s="17">
        <f t="shared" ca="1" si="10"/>
        <v>15.446719276642991</v>
      </c>
      <c r="AN17" s="17">
        <f t="shared" ca="1" si="10"/>
        <v>16.927780295436527</v>
      </c>
      <c r="AO17" s="17">
        <f t="shared" ca="1" si="10"/>
        <v>18.408841314230063</v>
      </c>
      <c r="AP17" s="24">
        <f ca="1">AC18</f>
        <v>19.149371823626829</v>
      </c>
      <c r="AQ17" s="42"/>
      <c r="AR17" s="43"/>
      <c r="AS17" s="1"/>
      <c r="AT17" s="1"/>
    </row>
    <row r="18" spans="1:46" s="9" customFormat="1" ht="16" thickBot="1">
      <c r="A18" s="1"/>
      <c r="B18" s="40"/>
      <c r="C18" s="52">
        <f t="shared" ref="C18:C81" si="11">C17+0.25</f>
        <v>0.75</v>
      </c>
      <c r="D18" s="52">
        <v>0.94461871739603664</v>
      </c>
      <c r="E18" s="52">
        <v>0.96440269808982293</v>
      </c>
      <c r="F18" s="52">
        <f>AVERAGE(D16:D22)</f>
        <v>0.58691554256352585</v>
      </c>
      <c r="G18" s="52">
        <f>AVERAGE(E16:E22)</f>
        <v>0.66425513528502156</v>
      </c>
      <c r="H18" s="52">
        <f t="shared" si="3"/>
        <v>0.67229522234780681</v>
      </c>
      <c r="I18" s="52">
        <f t="shared" si="4"/>
        <v>0.86718960081622021</v>
      </c>
      <c r="J18" s="52">
        <f t="shared" ca="1" si="5"/>
        <v>-0.25760558051822258</v>
      </c>
      <c r="K18" s="52">
        <f t="shared" ca="1" si="1"/>
        <v>-0.2405371669624759</v>
      </c>
      <c r="L18" s="12">
        <f t="shared" ca="1" si="6"/>
        <v>4.8711972097408891</v>
      </c>
      <c r="M18" s="12">
        <f t="shared" ca="1" si="7"/>
        <v>11.158119915631334</v>
      </c>
      <c r="N18" s="12">
        <f t="shared" ca="1" si="8"/>
        <v>11.158119915631334</v>
      </c>
      <c r="O18" s="12">
        <f t="shared" ca="1" si="9"/>
        <v>130.47703180010376</v>
      </c>
      <c r="P18" s="12"/>
      <c r="Q18" s="12"/>
      <c r="R18" s="12"/>
      <c r="S18" s="12"/>
      <c r="T18" s="12"/>
      <c r="U18" s="42"/>
      <c r="V18" s="42"/>
      <c r="W18" s="42"/>
      <c r="X18" s="42"/>
      <c r="Y18" s="42"/>
      <c r="Z18" s="42"/>
      <c r="AA18" s="42"/>
      <c r="AB18" s="27" t="s">
        <v>14</v>
      </c>
      <c r="AC18" s="23">
        <f ca="1">MAX(N16:N120)</f>
        <v>19.149371823626829</v>
      </c>
      <c r="AD18" s="47" t="s">
        <v>24</v>
      </c>
      <c r="AE18" s="35">
        <v>0</v>
      </c>
      <c r="AF18" s="20">
        <f ca="1">COUNTIF($N$16:$N$120,"&lt;"&amp;AF16)/COUNT($N$16:$N$120)</f>
        <v>2.8571428571428571E-2</v>
      </c>
      <c r="AG18" s="20">
        <f ca="1">(COUNTIF($N$16:$N$120,"&lt;"&amp;AG16)-AF18)/COUNT(N16:N120)</f>
        <v>7.591836734693877E-2</v>
      </c>
      <c r="AH18" s="20">
        <f ca="1">(COUNTIF($N$16:$N$120,"&lt;"&amp;AH16)/COUNT($N$16:$N$120))-SUM($AF$18:AG18)</f>
        <v>0.10503401360544219</v>
      </c>
      <c r="AI18" s="20">
        <f ca="1">(COUNTIF($N$16:$N$120,"&lt;"&amp;AI16)/COUNT($N$16:$N$120))-SUM($AF$18:AH18)</f>
        <v>0.10476190476190475</v>
      </c>
      <c r="AJ18" s="20">
        <f ca="1">(COUNTIF($N$16:$N$120,"&lt;"&amp;AJ16)/COUNT($N$16:$N$120))-SUM($AF$18:AI18)</f>
        <v>0.18095238095238098</v>
      </c>
      <c r="AK18" s="20">
        <f ca="1">(COUNTIF($N$16:$N$120,"&lt;"&amp;AK16)/COUNT($N$16:$N$120))-SUM($AF$18:AJ18)</f>
        <v>0.16190476190476188</v>
      </c>
      <c r="AL18" s="20">
        <f ca="1">(COUNTIF($N$16:$N$120,"&lt;"&amp;AL16)/COUNT($N$16:$N$120))-SUM($AF$18:AK18)</f>
        <v>0.17142857142857149</v>
      </c>
      <c r="AM18" s="20">
        <f ca="1">(COUNTIF($N$16:$N$120,"&lt;"&amp;AM16)/COUNT($N$16:$N$120))-SUM($AF$18:AL18)</f>
        <v>0.1333333333333333</v>
      </c>
      <c r="AN18" s="20">
        <f ca="1">(COUNTIF($N$16:$N$120,"&lt;"&amp;AN16)/COUNT($N$16:$N$120))-SUM($AF$18:AM18)</f>
        <v>9.52380952380949E-3</v>
      </c>
      <c r="AO18" s="20">
        <f ca="1">(COUNTIF($N$16:$N$120,"&lt;"&amp;AO16)/COUNT($N$16:$N$120))-SUM($AF$18:AN18)</f>
        <v>1.9047619047619091E-2</v>
      </c>
      <c r="AP18" s="25">
        <v>0</v>
      </c>
      <c r="AQ18" s="42"/>
      <c r="AR18" s="43"/>
      <c r="AS18" s="1"/>
      <c r="AT18" s="1"/>
    </row>
    <row r="19" spans="1:46" s="9" customFormat="1" ht="16" thickBot="1">
      <c r="A19" s="1"/>
      <c r="B19" s="40"/>
      <c r="C19" s="52">
        <f t="shared" si="11"/>
        <v>1</v>
      </c>
      <c r="D19" s="52">
        <v>0.89327094862242729</v>
      </c>
      <c r="E19" s="52">
        <v>4.3732906092854074E-2</v>
      </c>
      <c r="F19" s="52">
        <f>AVERAGE(D16:D23)</f>
        <v>0.63340511840518743</v>
      </c>
      <c r="G19" s="52">
        <f>AVERAGE(E16:E23)</f>
        <v>0.68364522997944233</v>
      </c>
      <c r="H19" s="52">
        <f t="shared" si="3"/>
        <v>0.80877413540391518</v>
      </c>
      <c r="I19" s="52">
        <f t="shared" si="4"/>
        <v>0.91669582746462053</v>
      </c>
      <c r="J19" s="52">
        <f t="shared" ca="1" si="5"/>
        <v>-2.4812593600100055</v>
      </c>
      <c r="K19" s="52">
        <f t="shared" ca="1" si="1"/>
        <v>-0.52654460560007366</v>
      </c>
      <c r="L19" s="12">
        <f t="shared" ca="1" si="6"/>
        <v>3.7593703199949973</v>
      </c>
      <c r="M19" s="12">
        <f t="shared" ca="1" si="7"/>
        <v>10.157093880399742</v>
      </c>
      <c r="N19" s="12">
        <f t="shared" ca="1" si="8"/>
        <v>10.157093880399742</v>
      </c>
      <c r="O19" s="12">
        <f t="shared" ca="1" si="9"/>
        <v>42.921390726350076</v>
      </c>
      <c r="P19" s="12"/>
      <c r="Q19" s="12"/>
      <c r="R19" s="12"/>
      <c r="S19" s="12"/>
      <c r="T19" s="12"/>
      <c r="U19" s="42"/>
      <c r="V19" s="42"/>
      <c r="W19" s="42"/>
      <c r="X19" s="42"/>
      <c r="Y19" s="42"/>
      <c r="Z19" s="42"/>
      <c r="AA19" s="42"/>
      <c r="AB19" s="42"/>
      <c r="AC19" s="42"/>
      <c r="AD19" s="47" t="s">
        <v>41</v>
      </c>
      <c r="AE19" s="28">
        <f>AE18</f>
        <v>0</v>
      </c>
      <c r="AF19" s="29">
        <f ca="1">AF18+AE19</f>
        <v>2.8571428571428571E-2</v>
      </c>
      <c r="AG19" s="29">
        <f t="shared" ref="AG19:AP19" ca="1" si="12">AG18+AF19</f>
        <v>0.10448979591836734</v>
      </c>
      <c r="AH19" s="29">
        <f t="shared" ca="1" si="12"/>
        <v>0.20952380952380953</v>
      </c>
      <c r="AI19" s="29">
        <f t="shared" ca="1" si="12"/>
        <v>0.31428571428571428</v>
      </c>
      <c r="AJ19" s="29">
        <f t="shared" ca="1" si="12"/>
        <v>0.49523809523809526</v>
      </c>
      <c r="AK19" s="29">
        <f t="shared" ca="1" si="12"/>
        <v>0.65714285714285714</v>
      </c>
      <c r="AL19" s="29">
        <f t="shared" ca="1" si="12"/>
        <v>0.82857142857142863</v>
      </c>
      <c r="AM19" s="29">
        <f t="shared" ca="1" si="12"/>
        <v>0.96190476190476193</v>
      </c>
      <c r="AN19" s="29">
        <f t="shared" ca="1" si="12"/>
        <v>0.97142857142857142</v>
      </c>
      <c r="AO19" s="29">
        <f t="shared" ca="1" si="12"/>
        <v>0.99047619047619051</v>
      </c>
      <c r="AP19" s="30">
        <f t="shared" ca="1" si="12"/>
        <v>0.99047619047619051</v>
      </c>
      <c r="AQ19" s="42"/>
      <c r="AR19" s="43"/>
      <c r="AS19" s="1"/>
      <c r="AT19" s="1"/>
    </row>
    <row r="20" spans="1:46" s="9" customFormat="1">
      <c r="A20" s="1"/>
      <c r="B20" s="40"/>
      <c r="C20" s="52">
        <f t="shared" si="11"/>
        <v>1.25</v>
      </c>
      <c r="D20" s="52">
        <v>0.74171119028728694</v>
      </c>
      <c r="E20" s="52">
        <v>0.68308194879829998</v>
      </c>
      <c r="F20" s="52">
        <f>AVERAGE(D16:D24)</f>
        <v>0.67140764321379776</v>
      </c>
      <c r="G20" s="52">
        <f>AVERAGE(E16:E24)</f>
        <v>0.7162729599289146</v>
      </c>
      <c r="H20" s="52">
        <f t="shared" si="3"/>
        <v>0.92033771036385303</v>
      </c>
      <c r="I20" s="52">
        <f t="shared" si="4"/>
        <v>1</v>
      </c>
      <c r="J20" s="52">
        <f t="shared" ca="1" si="5"/>
        <v>1.5747104594992871</v>
      </c>
      <c r="K20" s="52">
        <f t="shared" ca="1" si="1"/>
        <v>0.93136622106156364</v>
      </c>
      <c r="L20" s="12">
        <f t="shared" ca="1" si="6"/>
        <v>5.7873552297496431</v>
      </c>
      <c r="M20" s="12">
        <f t="shared" ca="1" si="7"/>
        <v>15.259781773715472</v>
      </c>
      <c r="N20" s="12">
        <f t="shared" ca="1" si="8"/>
        <v>15.259781773715472</v>
      </c>
      <c r="O20" s="12">
        <f t="shared" ca="1" si="9"/>
        <v>326.14929274695038</v>
      </c>
      <c r="P20" s="12"/>
      <c r="Q20" s="12"/>
      <c r="R20" s="12"/>
      <c r="S20" s="12"/>
      <c r="T20" s="1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53"/>
      <c r="AN20" s="42"/>
      <c r="AO20" s="42"/>
      <c r="AP20" s="42"/>
      <c r="AQ20" s="42"/>
      <c r="AR20" s="43"/>
      <c r="AS20" s="1"/>
      <c r="AT20" s="1"/>
    </row>
    <row r="21" spans="1:46" s="9" customFormat="1">
      <c r="A21" s="1"/>
      <c r="B21" s="40"/>
      <c r="C21" s="52">
        <f t="shared" si="11"/>
        <v>1.5</v>
      </c>
      <c r="D21" s="52">
        <v>0.2079427146035443</v>
      </c>
      <c r="E21" s="52">
        <v>0.96038852502102601</v>
      </c>
      <c r="F21" s="52">
        <f t="shared" ref="F21:G21" si="13">AVERAGE(D17:D25)</f>
        <v>0.68296542788798187</v>
      </c>
      <c r="G21" s="52">
        <f t="shared" si="13"/>
        <v>0.67603653456821378</v>
      </c>
      <c r="H21" s="52">
        <f t="shared" si="3"/>
        <v>0.95426776588945361</v>
      </c>
      <c r="I21" s="52">
        <f t="shared" si="4"/>
        <v>0.89726952731172294</v>
      </c>
      <c r="J21" s="52">
        <f t="shared" ca="1" si="5"/>
        <v>0.72986489325341031</v>
      </c>
      <c r="K21" s="52">
        <f t="shared" ca="1" si="1"/>
        <v>0.65657730993442009</v>
      </c>
      <c r="L21" s="12">
        <f t="shared" ca="1" si="6"/>
        <v>5.364932446626705</v>
      </c>
      <c r="M21" s="12">
        <f t="shared" ca="1" si="7"/>
        <v>14.29802058477047</v>
      </c>
      <c r="N21" s="12">
        <f t="shared" ca="1" si="8"/>
        <v>14.29802058477047</v>
      </c>
      <c r="O21" s="12">
        <f t="shared" ca="1" si="9"/>
        <v>213.77679284965919</v>
      </c>
      <c r="P21" s="12"/>
      <c r="Q21" s="12"/>
      <c r="R21" s="12"/>
      <c r="S21" s="12"/>
      <c r="T21" s="1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3"/>
      <c r="AS21" s="1"/>
      <c r="AT21" s="1"/>
    </row>
    <row r="22" spans="1:46" s="9" customFormat="1">
      <c r="A22" s="1"/>
      <c r="B22" s="40"/>
      <c r="C22" s="52">
        <f t="shared" si="11"/>
        <v>1.75</v>
      </c>
      <c r="D22" s="52">
        <v>0.78940370581631647</v>
      </c>
      <c r="E22" s="52">
        <v>0.59973970698590295</v>
      </c>
      <c r="F22" s="52">
        <f t="shared" ref="F22:G22" si="14">AVERAGE(D18:D26)</f>
        <v>0.67198024332651896</v>
      </c>
      <c r="G22" s="52">
        <f t="shared" si="14"/>
        <v>0.69523746262815178</v>
      </c>
      <c r="H22" s="52">
        <f t="shared" si="3"/>
        <v>0.92201868592848624</v>
      </c>
      <c r="I22" s="52">
        <f t="shared" si="4"/>
        <v>0.94629277920272237</v>
      </c>
      <c r="J22" s="52">
        <f t="shared" ca="1" si="5"/>
        <v>0.29931424708760451</v>
      </c>
      <c r="K22" s="52">
        <f t="shared" ca="1" si="1"/>
        <v>-1.4646244068996086</v>
      </c>
      <c r="L22" s="12">
        <f t="shared" ca="1" si="6"/>
        <v>5.1496571235438022</v>
      </c>
      <c r="M22" s="12">
        <f t="shared" ca="1" si="7"/>
        <v>6.8738145758513696</v>
      </c>
      <c r="N22" s="12">
        <f t="shared" ca="1" si="8"/>
        <v>6.8738145758513696</v>
      </c>
      <c r="O22" s="12">
        <f t="shared" ca="1" si="9"/>
        <v>172.37237775324982</v>
      </c>
      <c r="P22" s="12"/>
      <c r="Q22" s="12"/>
      <c r="R22" s="12"/>
      <c r="S22" s="12"/>
      <c r="T22" s="1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3"/>
      <c r="AS22" s="1"/>
      <c r="AT22" s="1"/>
    </row>
    <row r="23" spans="1:46" s="9" customFormat="1">
      <c r="A23" s="1"/>
      <c r="B23" s="40"/>
      <c r="C23" s="52">
        <f t="shared" si="11"/>
        <v>2</v>
      </c>
      <c r="D23" s="52">
        <v>0.95883214929681893</v>
      </c>
      <c r="E23" s="52">
        <v>0.81937589284038725</v>
      </c>
      <c r="F23" s="52">
        <f t="shared" ref="F23:G23" si="15">AVERAGE(D19:D27)</f>
        <v>0.57916619705619377</v>
      </c>
      <c r="G23" s="52">
        <f t="shared" si="15"/>
        <v>0.58816063435683141</v>
      </c>
      <c r="H23" s="52">
        <f t="shared" si="3"/>
        <v>0.6495455578780972</v>
      </c>
      <c r="I23" s="52">
        <f t="shared" si="4"/>
        <v>0.67290733097605082</v>
      </c>
      <c r="J23" s="52">
        <f t="shared" ca="1" si="5"/>
        <v>-0.77097306441419189</v>
      </c>
      <c r="K23" s="52">
        <f t="shared" ca="1" si="1"/>
        <v>-0.1819168414526961</v>
      </c>
      <c r="L23" s="12">
        <f t="shared" ca="1" si="6"/>
        <v>4.6145134677929036</v>
      </c>
      <c r="M23" s="12">
        <f t="shared" ca="1" si="7"/>
        <v>11.363291054915564</v>
      </c>
      <c r="N23" s="12">
        <f t="shared" ca="1" si="8"/>
        <v>11.363291054915564</v>
      </c>
      <c r="O23" s="12">
        <f t="shared" ca="1" si="9"/>
        <v>100.93870665203259</v>
      </c>
      <c r="P23" s="12"/>
      <c r="Q23" s="12"/>
      <c r="R23" s="12"/>
      <c r="S23" s="12"/>
      <c r="T23" s="1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3"/>
      <c r="AS23" s="1"/>
      <c r="AT23" s="1"/>
    </row>
    <row r="24" spans="1:46" s="9" customFormat="1">
      <c r="A24" s="1"/>
      <c r="B24" s="40"/>
      <c r="C24" s="52">
        <f t="shared" si="11"/>
        <v>2.25</v>
      </c>
      <c r="D24" s="52">
        <v>0.9754278416826806</v>
      </c>
      <c r="E24" s="52">
        <v>0.97729479952469245</v>
      </c>
      <c r="F24" s="52">
        <f t="shared" ref="F24:G24" si="16">AVERAGE(D20:D28)</f>
        <v>0.53796252440478753</v>
      </c>
      <c r="G24" s="52">
        <f t="shared" si="16"/>
        <v>0.60554621882695592</v>
      </c>
      <c r="H24" s="52">
        <f t="shared" si="3"/>
        <v>0.52858441001698486</v>
      </c>
      <c r="I24" s="52">
        <f t="shared" si="4"/>
        <v>0.71729570033458445</v>
      </c>
      <c r="J24" s="52">
        <f t="shared" ca="1" si="5"/>
        <v>-1.0497547372170013</v>
      </c>
      <c r="K24" s="52">
        <f t="shared" ca="1" si="1"/>
        <v>-1.2670312987046604</v>
      </c>
      <c r="L24" s="12">
        <f t="shared" ca="1" si="6"/>
        <v>4.4751226313914998</v>
      </c>
      <c r="M24" s="12">
        <f t="shared" ca="1" si="7"/>
        <v>7.5653904545336887</v>
      </c>
      <c r="N24" s="12">
        <f t="shared" ca="1" si="8"/>
        <v>7.5653904545336887</v>
      </c>
      <c r="O24" s="12">
        <f t="shared" ca="1" si="9"/>
        <v>87.805367443943922</v>
      </c>
      <c r="P24" s="12"/>
      <c r="Q24" s="12"/>
      <c r="R24" s="12"/>
      <c r="S24" s="12"/>
      <c r="T24" s="1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3"/>
      <c r="AS24" s="1"/>
      <c r="AT24" s="1"/>
    </row>
    <row r="25" spans="1:46" s="9" customFormat="1">
      <c r="A25" s="1"/>
      <c r="B25" s="40"/>
      <c r="C25" s="52">
        <f t="shared" si="11"/>
        <v>2.5</v>
      </c>
      <c r="D25" s="52">
        <v>0.49474656541113882</v>
      </c>
      <c r="E25" s="52">
        <v>0.49865680299740034</v>
      </c>
      <c r="F25" s="52">
        <f t="shared" ref="F25:G25" si="17">AVERAGE(D21:D29)</f>
        <v>0.55249773803699431</v>
      </c>
      <c r="G25" s="52">
        <f t="shared" si="17"/>
        <v>0.54384085725316378</v>
      </c>
      <c r="H25" s="52">
        <f t="shared" si="3"/>
        <v>0.57125526948703786</v>
      </c>
      <c r="I25" s="52">
        <f t="shared" si="4"/>
        <v>0.55975136320596675</v>
      </c>
      <c r="J25" s="52">
        <f t="shared" ca="1" si="5"/>
        <v>-1.2436597195955137</v>
      </c>
      <c r="K25" s="52">
        <f t="shared" ca="1" si="1"/>
        <v>0.24068299688321237</v>
      </c>
      <c r="L25" s="12">
        <f t="shared" ca="1" si="6"/>
        <v>4.3781701402022435</v>
      </c>
      <c r="M25" s="12">
        <f t="shared" ca="1" si="7"/>
        <v>12.842390489091244</v>
      </c>
      <c r="N25" s="12">
        <f t="shared" ca="1" si="8"/>
        <v>12.842390489091244</v>
      </c>
      <c r="O25" s="12">
        <f t="shared" ca="1" si="9"/>
        <v>79.692074580244679</v>
      </c>
      <c r="P25" s="12"/>
      <c r="Q25" s="12"/>
      <c r="R25" s="12"/>
      <c r="S25" s="12"/>
      <c r="T25" s="1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3"/>
      <c r="AS25" s="1"/>
      <c r="AT25" s="1"/>
    </row>
    <row r="26" spans="1:46" s="9" customFormat="1">
      <c r="A26" s="1"/>
      <c r="B26" s="40"/>
      <c r="C26" s="52">
        <f t="shared" si="11"/>
        <v>2.75</v>
      </c>
      <c r="D26" s="52">
        <v>4.1868356822420627E-2</v>
      </c>
      <c r="E26" s="52">
        <v>0.71046388330297916</v>
      </c>
      <c r="F26" s="52">
        <f t="shared" ref="F26:G26" si="18">AVERAGE(D22:D30)</f>
        <v>0.59757012023679756</v>
      </c>
      <c r="G26" s="52">
        <f t="shared" si="18"/>
        <v>0.51216018317577505</v>
      </c>
      <c r="H26" s="52">
        <f t="shared" si="3"/>
        <v>0.70357374346988788</v>
      </c>
      <c r="I26" s="52">
        <f t="shared" si="4"/>
        <v>0.47886518621887914</v>
      </c>
      <c r="J26" s="52">
        <f t="shared" ca="1" si="5"/>
        <v>0.93906288760049172</v>
      </c>
      <c r="K26" s="52">
        <f t="shared" ca="1" si="1"/>
        <v>-1.1826784074033261</v>
      </c>
      <c r="L26" s="12">
        <f t="shared" ca="1" si="6"/>
        <v>5.4695314438002463</v>
      </c>
      <c r="M26" s="12">
        <f t="shared" ca="1" si="7"/>
        <v>7.8606255740883588</v>
      </c>
      <c r="N26" s="12">
        <f t="shared" ca="1" si="8"/>
        <v>7.8606255740883588</v>
      </c>
      <c r="O26" s="12">
        <f t="shared" ca="1" si="9"/>
        <v>237.34895537817167</v>
      </c>
      <c r="P26" s="12"/>
      <c r="Q26" s="12"/>
      <c r="R26" s="12"/>
      <c r="S26" s="12"/>
      <c r="T26" s="1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3"/>
      <c r="AS26" s="1"/>
      <c r="AT26" s="1"/>
    </row>
    <row r="27" spans="1:46" s="9" customFormat="1">
      <c r="A27" s="1"/>
      <c r="B27" s="40"/>
      <c r="C27" s="52">
        <f t="shared" si="11"/>
        <v>3</v>
      </c>
      <c r="D27" s="52">
        <v>0.10929230096310982</v>
      </c>
      <c r="E27" s="52">
        <v>7.1124364793972994E-4</v>
      </c>
      <c r="F27" s="52">
        <f t="shared" ref="F27:G27" si="19">AVERAGE(D23:D31)</f>
        <v>0.56182986608865315</v>
      </c>
      <c r="G27" s="52">
        <f t="shared" si="19"/>
        <v>0.47196682489160591</v>
      </c>
      <c r="H27" s="52">
        <f t="shared" si="3"/>
        <v>0.5986514904663105</v>
      </c>
      <c r="I27" s="52">
        <f t="shared" si="4"/>
        <v>0.3762446711396526</v>
      </c>
      <c r="J27" s="52">
        <f t="shared" ca="1" si="5"/>
        <v>-0.55386042218457343</v>
      </c>
      <c r="K27" s="52">
        <f t="shared" ca="1" si="1"/>
        <v>-0.92532558166254564</v>
      </c>
      <c r="L27" s="12">
        <f t="shared" ca="1" si="6"/>
        <v>4.7230697889077131</v>
      </c>
      <c r="M27" s="12">
        <f t="shared" ca="1" si="7"/>
        <v>8.7613604641810898</v>
      </c>
      <c r="N27" s="12">
        <f t="shared" ca="1" si="8"/>
        <v>8.7613604641810898</v>
      </c>
      <c r="O27" s="12">
        <f t="shared" ca="1" si="9"/>
        <v>112.51311458146489</v>
      </c>
      <c r="P27" s="12"/>
      <c r="Q27" s="12"/>
      <c r="R27" s="12"/>
      <c r="S27" s="12"/>
      <c r="T27" s="1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3"/>
      <c r="AS27" s="1"/>
      <c r="AT27" s="1"/>
    </row>
    <row r="28" spans="1:46" s="9" customFormat="1">
      <c r="A28" s="1"/>
      <c r="B28" s="40"/>
      <c r="C28" s="52">
        <f t="shared" si="11"/>
        <v>3.25</v>
      </c>
      <c r="D28" s="52">
        <v>0.52243789475977143</v>
      </c>
      <c r="E28" s="52">
        <v>0.20020316632397495</v>
      </c>
      <c r="F28" s="52">
        <f t="shared" ref="F28:G28" si="20">AVERAGE(D24:D32)</f>
        <v>0.49148418383260506</v>
      </c>
      <c r="G28" s="52">
        <f t="shared" si="20"/>
        <v>0.48987053400674907</v>
      </c>
      <c r="H28" s="52">
        <f t="shared" si="3"/>
        <v>0.39213848021225367</v>
      </c>
      <c r="I28" s="52">
        <f t="shared" si="4"/>
        <v>0.42195590129451832</v>
      </c>
      <c r="J28" s="52">
        <f t="shared" ca="1" si="5"/>
        <v>1.471812348463662</v>
      </c>
      <c r="K28" s="52">
        <f t="shared" ca="1" si="1"/>
        <v>0.81205795386993429</v>
      </c>
      <c r="L28" s="12">
        <f t="shared" ca="1" si="6"/>
        <v>5.7359061742318307</v>
      </c>
      <c r="M28" s="12">
        <f t="shared" ca="1" si="7"/>
        <v>14.84220283854477</v>
      </c>
      <c r="N28" s="12">
        <f t="shared" ca="1" si="8"/>
        <v>14.84220283854477</v>
      </c>
      <c r="O28" s="12">
        <f t="shared" ca="1" si="9"/>
        <v>309.79357055467733</v>
      </c>
      <c r="P28" s="12"/>
      <c r="Q28" s="12"/>
      <c r="R28" s="12"/>
      <c r="S28" s="12"/>
      <c r="T28" s="1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3"/>
      <c r="AS28" s="1"/>
      <c r="AT28" s="1"/>
    </row>
    <row r="29" spans="1:46" s="9" customFormat="1">
      <c r="A29" s="1"/>
      <c r="B29" s="40"/>
      <c r="C29" s="52">
        <f t="shared" si="11"/>
        <v>3.5</v>
      </c>
      <c r="D29" s="52">
        <v>0.87252811297714727</v>
      </c>
      <c r="E29" s="52">
        <v>0.1277336946341705</v>
      </c>
      <c r="F29" s="52">
        <f t="shared" ref="F29:G29" si="21">AVERAGE(D25:D33)</f>
        <v>0.45176821751323953</v>
      </c>
      <c r="G29" s="52">
        <f t="shared" si="21"/>
        <v>0.44537274703375729</v>
      </c>
      <c r="H29" s="52">
        <f t="shared" si="3"/>
        <v>0.27554477471790201</v>
      </c>
      <c r="I29" s="52">
        <f t="shared" si="4"/>
        <v>0.30834544389582258</v>
      </c>
      <c r="J29" s="52">
        <f t="shared" ca="1" si="5"/>
        <v>-0.29136630777407718</v>
      </c>
      <c r="K29" s="52">
        <f t="shared" ca="1" si="1"/>
        <v>0.35328526366422125</v>
      </c>
      <c r="L29" s="12">
        <f t="shared" ca="1" si="6"/>
        <v>4.8543168461129618</v>
      </c>
      <c r="M29" s="12">
        <f t="shared" ca="1" si="7"/>
        <v>13.236498422824774</v>
      </c>
      <c r="N29" s="12">
        <f t="shared" ca="1" si="8"/>
        <v>13.236498422824774</v>
      </c>
      <c r="O29" s="12">
        <f t="shared" ca="1" si="9"/>
        <v>128.29301739726048</v>
      </c>
      <c r="P29" s="12"/>
      <c r="Q29" s="12"/>
      <c r="R29" s="12"/>
      <c r="S29" s="12"/>
      <c r="T29" s="1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3"/>
      <c r="AS29" s="1"/>
      <c r="AT29" s="1"/>
    </row>
    <row r="30" spans="1:46" s="9" customFormat="1">
      <c r="A30" s="1"/>
      <c r="B30" s="40"/>
      <c r="C30" s="52">
        <f t="shared" si="11"/>
        <v>3.75</v>
      </c>
      <c r="D30" s="52">
        <v>0.61359415440177389</v>
      </c>
      <c r="E30" s="52">
        <v>0.67526245832452747</v>
      </c>
      <c r="F30" s="52">
        <f t="shared" ref="F30:G30" si="22">AVERAGE(D26:D34)</f>
        <v>0.46754096804509904</v>
      </c>
      <c r="G30" s="52">
        <f t="shared" si="22"/>
        <v>0.44253708217010668</v>
      </c>
      <c r="H30" s="52">
        <f t="shared" si="3"/>
        <v>0.32184865702960613</v>
      </c>
      <c r="I30" s="52">
        <f t="shared" si="4"/>
        <v>0.30110550671907499</v>
      </c>
      <c r="J30" s="52">
        <f t="shared" ca="1" si="5"/>
        <v>-0.21791588713388788</v>
      </c>
      <c r="K30" s="52">
        <f t="shared" ca="1" si="1"/>
        <v>0.73702495991103778</v>
      </c>
      <c r="L30" s="12">
        <f t="shared" ca="1" si="6"/>
        <v>4.8910420564330561</v>
      </c>
      <c r="M30" s="12">
        <f t="shared" ca="1" si="7"/>
        <v>14.579587359688633</v>
      </c>
      <c r="N30" s="12">
        <f t="shared" ca="1" si="8"/>
        <v>14.579587359688633</v>
      </c>
      <c r="O30" s="12">
        <f t="shared" ca="1" si="9"/>
        <v>133.09219138942169</v>
      </c>
      <c r="P30" s="12"/>
      <c r="Q30" s="12"/>
      <c r="R30" s="12"/>
      <c r="S30" s="12"/>
      <c r="T30" s="1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3"/>
      <c r="AS30" s="1"/>
      <c r="AT30" s="1"/>
    </row>
    <row r="31" spans="1:46" s="9" customFormat="1">
      <c r="A31" s="1"/>
      <c r="B31" s="40"/>
      <c r="C31" s="52">
        <f t="shared" si="11"/>
        <v>4</v>
      </c>
      <c r="D31" s="52">
        <v>0.46774141848301842</v>
      </c>
      <c r="E31" s="52">
        <v>0.23799948242837998</v>
      </c>
      <c r="F31" s="52">
        <f t="shared" ref="F31:G31" si="23">AVERAGE(D27:D35)</f>
        <v>0.46837629463996561</v>
      </c>
      <c r="G31" s="52">
        <f t="shared" si="23"/>
        <v>0.41258521326639419</v>
      </c>
      <c r="H31" s="52">
        <f t="shared" si="3"/>
        <v>0.32430091570588521</v>
      </c>
      <c r="I31" s="52">
        <f t="shared" si="4"/>
        <v>0.22463326489361241</v>
      </c>
      <c r="J31" s="52">
        <f t="shared" ca="1" si="5"/>
        <v>-1.3234065723314603</v>
      </c>
      <c r="K31" s="52">
        <f t="shared" ca="1" si="1"/>
        <v>-0.28419475996783017</v>
      </c>
      <c r="L31" s="12">
        <f t="shared" ca="1" si="6"/>
        <v>4.3382967138342696</v>
      </c>
      <c r="M31" s="12">
        <f t="shared" ca="1" si="7"/>
        <v>11.005318340112595</v>
      </c>
      <c r="N31" s="12">
        <f t="shared" ca="1" si="8"/>
        <v>11.005318340112595</v>
      </c>
      <c r="O31" s="12">
        <f t="shared" ca="1" si="9"/>
        <v>76.576995655918495</v>
      </c>
      <c r="P31" s="12"/>
      <c r="Q31" s="12"/>
      <c r="R31" s="12"/>
      <c r="S31" s="12"/>
      <c r="T31" s="1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3"/>
      <c r="AS31" s="1"/>
      <c r="AT31" s="1"/>
    </row>
    <row r="32" spans="1:46" s="9" customFormat="1">
      <c r="A32" s="1"/>
      <c r="B32" s="40"/>
      <c r="C32" s="52">
        <f t="shared" si="11"/>
        <v>4.25</v>
      </c>
      <c r="D32" s="52">
        <v>0.32572100899238421</v>
      </c>
      <c r="E32" s="52">
        <v>0.98050927487667594</v>
      </c>
      <c r="F32" s="52">
        <f t="shared" ref="F32:G32" si="24">AVERAGE(D28:D36)</f>
        <v>0.51594112195569253</v>
      </c>
      <c r="G32" s="52">
        <f t="shared" si="24"/>
        <v>0.49883496733655086</v>
      </c>
      <c r="H32" s="52">
        <f t="shared" si="3"/>
        <v>0.46393643214642166</v>
      </c>
      <c r="I32" s="52">
        <f t="shared" si="4"/>
        <v>0.44484363212789779</v>
      </c>
      <c r="J32" s="52">
        <f t="shared" ca="1" si="5"/>
        <v>0.75880480536310801</v>
      </c>
      <c r="K32" s="52">
        <f t="shared" ca="1" si="1"/>
        <v>0.68474913289161987</v>
      </c>
      <c r="L32" s="12">
        <f t="shared" ca="1" si="6"/>
        <v>5.3794024026815537</v>
      </c>
      <c r="M32" s="12">
        <f t="shared" ca="1" si="7"/>
        <v>14.396621965120669</v>
      </c>
      <c r="N32" s="12">
        <f t="shared" ca="1" si="8"/>
        <v>14.396621965120669</v>
      </c>
      <c r="O32" s="12">
        <f t="shared" ca="1" si="9"/>
        <v>216.892622239167</v>
      </c>
      <c r="P32" s="12"/>
      <c r="Q32" s="12"/>
      <c r="R32" s="12"/>
      <c r="S32" s="12"/>
      <c r="T32" s="1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3"/>
      <c r="AS32" s="1"/>
      <c r="AT32" s="1"/>
    </row>
    <row r="33" spans="1:46" s="9" customFormat="1">
      <c r="A33" s="1"/>
      <c r="B33" s="40"/>
      <c r="C33" s="52">
        <f t="shared" si="11"/>
        <v>4.5</v>
      </c>
      <c r="D33" s="52">
        <v>0.61798414480839081</v>
      </c>
      <c r="E33" s="52">
        <v>0.57681471676776774</v>
      </c>
      <c r="F33" s="52">
        <f t="shared" ref="F33:G33" si="25">AVERAGE(D29:D37)</f>
        <v>0.53217760973053507</v>
      </c>
      <c r="G33" s="52">
        <f t="shared" si="25"/>
        <v>0.55257320193037407</v>
      </c>
      <c r="H33" s="52">
        <f t="shared" si="3"/>
        <v>0.51160170254825421</v>
      </c>
      <c r="I33" s="52">
        <f t="shared" si="4"/>
        <v>0.58204653203184753</v>
      </c>
      <c r="J33" s="52">
        <f t="shared" ca="1" si="5"/>
        <v>-0.93123135920496181</v>
      </c>
      <c r="K33" s="52">
        <f t="shared" ca="1" si="1"/>
        <v>-1.4453354105874785</v>
      </c>
      <c r="L33" s="12">
        <f t="shared" ca="1" si="6"/>
        <v>4.5343843203975194</v>
      </c>
      <c r="M33" s="12">
        <f t="shared" ca="1" si="7"/>
        <v>6.9413260629438254</v>
      </c>
      <c r="N33" s="12">
        <f t="shared" ca="1" si="8"/>
        <v>6.9413260629438254</v>
      </c>
      <c r="O33" s="12">
        <f t="shared" ca="1" si="9"/>
        <v>93.1661371526707</v>
      </c>
      <c r="P33" s="12"/>
      <c r="Q33" s="12"/>
      <c r="R33" s="12"/>
      <c r="S33" s="12"/>
      <c r="T33" s="1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3"/>
      <c r="AS33" s="1"/>
      <c r="AT33" s="1"/>
    </row>
    <row r="34" spans="1:46" s="9" customFormat="1">
      <c r="A34" s="1"/>
      <c r="B34" s="40"/>
      <c r="C34" s="52">
        <f t="shared" si="11"/>
        <v>4.75</v>
      </c>
      <c r="D34" s="52">
        <v>0.63670132019787429</v>
      </c>
      <c r="E34" s="52">
        <v>0.4731358192245454</v>
      </c>
      <c r="F34" s="52">
        <f t="shared" ref="F34:G34" si="26">AVERAGE(D30:D38)</f>
        <v>0.4890487330762443</v>
      </c>
      <c r="G34" s="52">
        <f t="shared" si="26"/>
        <v>0.63623487207725082</v>
      </c>
      <c r="H34" s="52">
        <f t="shared" si="3"/>
        <v>0.38498875544036354</v>
      </c>
      <c r="I34" s="52">
        <f t="shared" si="4"/>
        <v>0.79564907855611633</v>
      </c>
      <c r="J34" s="52">
        <f t="shared" ca="1" si="5"/>
        <v>-1.1686576664859101</v>
      </c>
      <c r="K34" s="52">
        <f t="shared" ca="1" si="1"/>
        <v>-0.58502779818135697</v>
      </c>
      <c r="L34" s="12">
        <f t="shared" ca="1" si="6"/>
        <v>4.4156711667570452</v>
      </c>
      <c r="M34" s="12">
        <f t="shared" ca="1" si="7"/>
        <v>9.95240270636525</v>
      </c>
      <c r="N34" s="12">
        <f t="shared" ca="1" si="8"/>
        <v>9.95240270636525</v>
      </c>
      <c r="O34" s="12">
        <f t="shared" ca="1" si="9"/>
        <v>82.737352835932811</v>
      </c>
      <c r="P34" s="12"/>
      <c r="Q34" s="12"/>
      <c r="R34" s="12"/>
      <c r="S34" s="12"/>
      <c r="T34" s="1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3"/>
      <c r="AS34" s="1"/>
      <c r="AT34" s="1"/>
    </row>
    <row r="35" spans="1:46" s="9" customFormat="1">
      <c r="A35" s="1"/>
      <c r="B35" s="40"/>
      <c r="C35" s="52">
        <f t="shared" si="11"/>
        <v>5</v>
      </c>
      <c r="D35" s="52">
        <v>4.9386296176220146E-2</v>
      </c>
      <c r="E35" s="52">
        <v>0.44089706316956656</v>
      </c>
      <c r="F35" s="52">
        <f t="shared" ref="F35:G35" si="27">AVERAGE(D31:D39)</f>
        <v>0.43915536702445968</v>
      </c>
      <c r="G35" s="52">
        <f t="shared" si="27"/>
        <v>0.60220110213482358</v>
      </c>
      <c r="H35" s="52">
        <f t="shared" si="3"/>
        <v>0.23851737461619449</v>
      </c>
      <c r="I35" s="52">
        <f t="shared" si="4"/>
        <v>0.70875504554481183</v>
      </c>
      <c r="J35" s="52">
        <f t="shared" ca="1" si="5"/>
        <v>0.68138340963264621</v>
      </c>
      <c r="K35" s="52">
        <f t="shared" ca="1" si="1"/>
        <v>-0.89168605885906849</v>
      </c>
      <c r="L35" s="12">
        <f t="shared" ca="1" si="6"/>
        <v>5.3406917048163232</v>
      </c>
      <c r="M35" s="12">
        <f t="shared" ca="1" si="7"/>
        <v>8.8790987939932613</v>
      </c>
      <c r="N35" s="12">
        <f t="shared" ca="1" si="8"/>
        <v>8.8790987939932613</v>
      </c>
      <c r="O35" s="12">
        <f t="shared" ca="1" si="9"/>
        <v>208.65698942860311</v>
      </c>
      <c r="P35" s="12"/>
      <c r="Q35" s="12"/>
      <c r="R35" s="12"/>
      <c r="S35" s="12"/>
      <c r="T35" s="1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3"/>
      <c r="AS35" s="1"/>
      <c r="AT35" s="1"/>
    </row>
    <row r="36" spans="1:46" s="9" customFormat="1" ht="16" thickBot="1">
      <c r="A36" s="1"/>
      <c r="B36" s="40"/>
      <c r="C36" s="52">
        <f t="shared" si="11"/>
        <v>5.25</v>
      </c>
      <c r="D36" s="52">
        <v>0.53737574680465239</v>
      </c>
      <c r="E36" s="52">
        <v>0.77695903027934987</v>
      </c>
      <c r="F36" s="52">
        <f t="shared" ref="F36:G36" si="28">AVERAGE(D32:D40)</f>
        <v>0.39779558378736146</v>
      </c>
      <c r="G36" s="52">
        <f t="shared" si="28"/>
        <v>0.61924396394574488</v>
      </c>
      <c r="H36" s="52">
        <f t="shared" si="3"/>
        <v>0.11709793470431452</v>
      </c>
      <c r="I36" s="52">
        <f t="shared" si="4"/>
        <v>0.75226838536318863</v>
      </c>
      <c r="J36" s="52">
        <f t="shared" ca="1" si="5"/>
        <v>0.44968301238613057</v>
      </c>
      <c r="K36" s="52">
        <f t="shared" ca="1" si="1"/>
        <v>0.4204435438198964</v>
      </c>
      <c r="L36" s="12">
        <f t="shared" ca="1" si="6"/>
        <v>5.2248415061930649</v>
      </c>
      <c r="M36" s="12">
        <f t="shared" ca="1" si="7"/>
        <v>13.471552403369637</v>
      </c>
      <c r="N36" s="12">
        <f t="shared" ca="1" si="8"/>
        <v>13.471552403369637</v>
      </c>
      <c r="O36" s="12">
        <f t="shared" ca="1" si="9"/>
        <v>185.8317150157956</v>
      </c>
      <c r="P36" s="12"/>
      <c r="Q36" s="12"/>
      <c r="R36" s="12"/>
      <c r="S36" s="12"/>
      <c r="T36" s="1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3"/>
      <c r="AS36" s="1"/>
      <c r="AT36" s="1"/>
    </row>
    <row r="37" spans="1:46" s="9" customFormat="1">
      <c r="A37" s="1"/>
      <c r="B37" s="40"/>
      <c r="C37" s="52">
        <f t="shared" si="11"/>
        <v>5.5</v>
      </c>
      <c r="D37" s="52">
        <v>0.66856628473335422</v>
      </c>
      <c r="E37" s="52">
        <v>0.68384727766838371</v>
      </c>
      <c r="F37" s="52">
        <f t="shared" ref="F37:G37" si="29">AVERAGE(D33:D41)</f>
        <v>0.38122502480603571</v>
      </c>
      <c r="G37" s="52">
        <f t="shared" si="29"/>
        <v>0.53296026443243816</v>
      </c>
      <c r="H37" s="52">
        <f t="shared" si="3"/>
        <v>6.845193530423388E-2</v>
      </c>
      <c r="I37" s="52">
        <f t="shared" si="4"/>
        <v>0.53197134960929304</v>
      </c>
      <c r="J37" s="52">
        <f t="shared" ca="1" si="5"/>
        <v>-1.9728486007401329</v>
      </c>
      <c r="K37" s="52">
        <f t="shared" ca="1" si="1"/>
        <v>-1.2950558084845021</v>
      </c>
      <c r="L37" s="12">
        <f t="shared" ca="1" si="6"/>
        <v>4.0135756996299339</v>
      </c>
      <c r="M37" s="12">
        <f t="shared" ca="1" si="7"/>
        <v>7.4673046703042427</v>
      </c>
      <c r="N37" s="12">
        <f t="shared" ca="1" si="8"/>
        <v>7.4673046703042427</v>
      </c>
      <c r="O37" s="12">
        <f t="shared" ca="1" si="9"/>
        <v>55.344412172384146</v>
      </c>
      <c r="P37" s="12"/>
      <c r="Q37" s="12"/>
      <c r="R37" s="12"/>
      <c r="S37" s="12"/>
      <c r="T37" s="12"/>
      <c r="U37" s="42"/>
      <c r="V37" s="42"/>
      <c r="W37" s="42"/>
      <c r="X37" s="42"/>
      <c r="Y37" s="42"/>
      <c r="Z37" s="42"/>
      <c r="AA37" s="42"/>
      <c r="AB37" s="51" t="s">
        <v>27</v>
      </c>
      <c r="AC37" s="42"/>
      <c r="AD37" s="42"/>
      <c r="AE37" s="134" t="s">
        <v>26</v>
      </c>
      <c r="AF37" s="16">
        <f ca="1">AC39</f>
        <v>39.148661936110216</v>
      </c>
      <c r="AG37" s="17">
        <f ca="1">AF37+($AC$40-$AC$39)/10</f>
        <v>85.245321673590027</v>
      </c>
      <c r="AH37" s="17">
        <f t="shared" ref="AH37:AO37" ca="1" si="30">AG37+($AC$40-$AC$39)/10</f>
        <v>131.34198141106984</v>
      </c>
      <c r="AI37" s="17">
        <f t="shared" ca="1" si="30"/>
        <v>177.43864114854966</v>
      </c>
      <c r="AJ37" s="17">
        <f t="shared" ca="1" si="30"/>
        <v>223.53530088602946</v>
      </c>
      <c r="AK37" s="17">
        <f t="shared" ca="1" si="30"/>
        <v>269.63196062350926</v>
      </c>
      <c r="AL37" s="17">
        <f t="shared" ca="1" si="30"/>
        <v>315.72862036098905</v>
      </c>
      <c r="AM37" s="17">
        <f t="shared" ca="1" si="30"/>
        <v>361.82528009846885</v>
      </c>
      <c r="AN37" s="17">
        <f t="shared" ca="1" si="30"/>
        <v>407.92193983594865</v>
      </c>
      <c r="AO37" s="17">
        <f t="shared" ca="1" si="30"/>
        <v>454.01859957342845</v>
      </c>
      <c r="AP37" s="42"/>
      <c r="AQ37" s="42"/>
      <c r="AR37" s="43"/>
      <c r="AS37" s="1"/>
      <c r="AT37" s="1"/>
    </row>
    <row r="38" spans="1:46" s="9" customFormat="1" ht="16" thickBot="1">
      <c r="A38" s="1"/>
      <c r="B38" s="40"/>
      <c r="C38" s="52">
        <f t="shared" si="11"/>
        <v>5.75</v>
      </c>
      <c r="D38" s="52">
        <v>0.48436822308853045</v>
      </c>
      <c r="E38" s="52">
        <v>0.88068872595606118</v>
      </c>
      <c r="F38" s="52">
        <f t="shared" ref="F38:G38" si="31">AVERAGE(D34:D42)</f>
        <v>0.36117570968893054</v>
      </c>
      <c r="G38" s="52">
        <f t="shared" si="31"/>
        <v>0.57394219373420496</v>
      </c>
      <c r="H38" s="52">
        <f t="shared" si="3"/>
        <v>9.5933915304321146E-3</v>
      </c>
      <c r="I38" s="52">
        <f t="shared" si="4"/>
        <v>0.63660522130904107</v>
      </c>
      <c r="J38" s="52">
        <f t="shared" ca="1" si="5"/>
        <v>-0.27458959933411281</v>
      </c>
      <c r="K38" s="52">
        <f t="shared" ca="1" si="1"/>
        <v>-0.5957563837925105</v>
      </c>
      <c r="L38" s="12">
        <f t="shared" ca="1" si="6"/>
        <v>4.8627052003329432</v>
      </c>
      <c r="M38" s="12">
        <f t="shared" ca="1" si="7"/>
        <v>9.9148526567262127</v>
      </c>
      <c r="N38" s="12">
        <f t="shared" ca="1" si="8"/>
        <v>9.9148526567262127</v>
      </c>
      <c r="O38" s="12">
        <f t="shared" ca="1" si="9"/>
        <v>129.37371095445627</v>
      </c>
      <c r="P38" s="12"/>
      <c r="Q38" s="12"/>
      <c r="R38" s="12"/>
      <c r="S38" s="12"/>
      <c r="T38" s="1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135"/>
      <c r="AF38" s="19">
        <f ca="1">AF37+($AC$40-$AC$39)/10</f>
        <v>85.245321673590027</v>
      </c>
      <c r="AG38" s="20">
        <f ca="1">AG37+($AC$40-$AC$39)/10</f>
        <v>131.34198141106984</v>
      </c>
      <c r="AH38" s="20">
        <f t="shared" ref="AH38:AO38" ca="1" si="32">AH37+($AC$40-$AC$39)/10</f>
        <v>177.43864114854966</v>
      </c>
      <c r="AI38" s="20">
        <f t="shared" ca="1" si="32"/>
        <v>223.53530088602946</v>
      </c>
      <c r="AJ38" s="20">
        <f t="shared" ca="1" si="32"/>
        <v>269.63196062350926</v>
      </c>
      <c r="AK38" s="20">
        <f t="shared" ca="1" si="32"/>
        <v>315.72862036098905</v>
      </c>
      <c r="AL38" s="20">
        <f t="shared" ca="1" si="32"/>
        <v>361.82528009846885</v>
      </c>
      <c r="AM38" s="20">
        <f t="shared" ca="1" si="32"/>
        <v>407.92193983594865</v>
      </c>
      <c r="AN38" s="20">
        <f t="shared" ca="1" si="32"/>
        <v>454.01859957342845</v>
      </c>
      <c r="AO38" s="20">
        <f t="shared" ca="1" si="32"/>
        <v>500.11525931090824</v>
      </c>
      <c r="AP38" s="42"/>
      <c r="AQ38" s="42"/>
      <c r="AR38" s="43"/>
      <c r="AS38" s="1"/>
      <c r="AT38" s="1"/>
    </row>
    <row r="39" spans="1:46" s="9" customFormat="1">
      <c r="A39" s="1"/>
      <c r="B39" s="40"/>
      <c r="C39" s="52">
        <f t="shared" si="11"/>
        <v>6</v>
      </c>
      <c r="D39" s="52">
        <v>0.16455385993571203</v>
      </c>
      <c r="E39" s="52">
        <v>0.36895852884268088</v>
      </c>
      <c r="F39" s="52">
        <f t="shared" ref="F39:G39" si="33">AVERAGE(D35:D43)</f>
        <v>0.3944164603966463</v>
      </c>
      <c r="G39" s="52">
        <f t="shared" si="33"/>
        <v>0.52907844413412808</v>
      </c>
      <c r="H39" s="52">
        <f t="shared" si="3"/>
        <v>0.10717788103426164</v>
      </c>
      <c r="I39" s="52">
        <f t="shared" si="4"/>
        <v>0.52206039875912547</v>
      </c>
      <c r="J39" s="52">
        <f t="shared" ca="1" si="5"/>
        <v>-0.26040709824341934</v>
      </c>
      <c r="K39" s="52">
        <f t="shared" ca="1" si="1"/>
        <v>0.67556980064756234</v>
      </c>
      <c r="L39" s="12">
        <f t="shared" ca="1" si="6"/>
        <v>4.8697964508782903</v>
      </c>
      <c r="M39" s="12">
        <f t="shared" ca="1" si="7"/>
        <v>14.364494302266468</v>
      </c>
      <c r="N39" s="12">
        <f t="shared" ca="1" si="8"/>
        <v>14.364494302266468</v>
      </c>
      <c r="O39" s="12">
        <f t="shared" ca="1" si="9"/>
        <v>130.29439288784505</v>
      </c>
      <c r="P39" s="12"/>
      <c r="Q39" s="12"/>
      <c r="R39" s="12"/>
      <c r="S39" s="12"/>
      <c r="T39" s="12"/>
      <c r="U39" s="42"/>
      <c r="V39" s="42"/>
      <c r="W39" s="42"/>
      <c r="X39" s="42"/>
      <c r="Y39" s="42"/>
      <c r="Z39" s="42"/>
      <c r="AA39" s="42"/>
      <c r="AB39" s="26" t="s">
        <v>13</v>
      </c>
      <c r="AC39" s="22">
        <f ca="1">MIN(O16:O120)</f>
        <v>39.148661936110216</v>
      </c>
      <c r="AD39" s="47" t="s">
        <v>0</v>
      </c>
      <c r="AE39" s="34">
        <f ca="1">MIN(O16:O120)</f>
        <v>39.148661936110216</v>
      </c>
      <c r="AF39" s="17">
        <f ca="1">AVERAGE(AF37:AF38)</f>
        <v>62.196991804850121</v>
      </c>
      <c r="AG39" s="17">
        <f t="shared" ref="AG39:AO39" ca="1" si="34">AVERAGE(AG37:AG38)</f>
        <v>108.29365154232994</v>
      </c>
      <c r="AH39" s="17">
        <f t="shared" ca="1" si="34"/>
        <v>154.39031127980974</v>
      </c>
      <c r="AI39" s="17">
        <f t="shared" ca="1" si="34"/>
        <v>200.48697101728956</v>
      </c>
      <c r="AJ39" s="17">
        <f t="shared" ca="1" si="34"/>
        <v>246.58363075476936</v>
      </c>
      <c r="AK39" s="17">
        <f t="shared" ca="1" si="34"/>
        <v>292.68029049224913</v>
      </c>
      <c r="AL39" s="17">
        <f t="shared" ca="1" si="34"/>
        <v>338.77695022972898</v>
      </c>
      <c r="AM39" s="17">
        <f t="shared" ca="1" si="34"/>
        <v>384.87360996720872</v>
      </c>
      <c r="AN39" s="17">
        <f t="shared" ca="1" si="34"/>
        <v>430.97026970468858</v>
      </c>
      <c r="AO39" s="17">
        <f t="shared" ca="1" si="34"/>
        <v>477.06692944216832</v>
      </c>
      <c r="AP39" s="24">
        <f ca="1">AC40</f>
        <v>500.11525931090836</v>
      </c>
      <c r="AQ39" s="42"/>
      <c r="AR39" s="43"/>
      <c r="AS39" s="1"/>
      <c r="AT39" s="1"/>
    </row>
    <row r="40" spans="1:46" s="9" customFormat="1" ht="16" thickBot="1">
      <c r="A40" s="1"/>
      <c r="B40" s="40"/>
      <c r="C40" s="52">
        <f t="shared" si="11"/>
        <v>6.25</v>
      </c>
      <c r="D40" s="52">
        <v>9.5503369349134171E-2</v>
      </c>
      <c r="E40" s="52">
        <v>0.39138523872667208</v>
      </c>
      <c r="F40" s="52">
        <f t="shared" ref="F40:G40" si="35">AVERAGE(D36:D44)</f>
        <v>0.46895363187869182</v>
      </c>
      <c r="G40" s="52">
        <f t="shared" si="35"/>
        <v>0.5578487361275779</v>
      </c>
      <c r="H40" s="52">
        <f t="shared" si="3"/>
        <v>0.32599579799684297</v>
      </c>
      <c r="I40" s="52">
        <f t="shared" si="4"/>
        <v>0.59551587273255635</v>
      </c>
      <c r="J40" s="52">
        <f t="shared" ca="1" si="5"/>
        <v>-1.5086288640993746</v>
      </c>
      <c r="K40" s="52">
        <f t="shared" ca="1" si="1"/>
        <v>-1.2569882803398971</v>
      </c>
      <c r="L40" s="12">
        <f t="shared" ca="1" si="6"/>
        <v>4.2456855679503125</v>
      </c>
      <c r="M40" s="12">
        <f t="shared" ca="1" si="7"/>
        <v>7.6005410188103601</v>
      </c>
      <c r="N40" s="12">
        <f t="shared" ca="1" si="8"/>
        <v>7.6005410188103601</v>
      </c>
      <c r="O40" s="12">
        <f t="shared" ca="1" si="9"/>
        <v>69.803598853876991</v>
      </c>
      <c r="P40" s="12"/>
      <c r="Q40" s="12"/>
      <c r="R40" s="12"/>
      <c r="S40" s="12"/>
      <c r="T40" s="12"/>
      <c r="U40" s="42"/>
      <c r="V40" s="42"/>
      <c r="W40" s="42"/>
      <c r="X40" s="42"/>
      <c r="Y40" s="42"/>
      <c r="Z40" s="42"/>
      <c r="AA40" s="42"/>
      <c r="AB40" s="27" t="s">
        <v>14</v>
      </c>
      <c r="AC40" s="23">
        <f ca="1">MAX(O16:O120)</f>
        <v>500.11525931090836</v>
      </c>
      <c r="AD40" s="47" t="s">
        <v>24</v>
      </c>
      <c r="AE40" s="35">
        <v>0</v>
      </c>
      <c r="AF40" s="20">
        <f ca="1">COUNTIF($O$16:$O$120,"&lt;"&amp;AF38)/COUNT($O$16:$O$120)</f>
        <v>0.18095238095238095</v>
      </c>
      <c r="AG40" s="20">
        <f ca="1">(COUNTIF($O$16:$O$120,"&lt;"&amp;AG38)-AF40)/COUNT(O16:O120)</f>
        <v>0.52208616780045347</v>
      </c>
      <c r="AH40" s="20">
        <f ca="1">(COUNTIF($O$16:$O$120,"&lt;"&amp;AH38)/COUNT($O$16:$O$120))-SUM($AF$40:AG40)</f>
        <v>2.0770975056689345E-2</v>
      </c>
      <c r="AI40" s="20">
        <f ca="1">(COUNTIF($O$16:$O$120,"&lt;"&amp;AI38)/COUNT($O$16:$O$120))-SUM($AF$40:AH40)</f>
        <v>0.12380952380952381</v>
      </c>
      <c r="AJ40" s="20">
        <f ca="1">(COUNTIF($O$16:$O$120,"&lt;"&amp;AJ38)/COUNT($O$16:$O$120))-SUM($AF$40:AI40)</f>
        <v>6.6666666666666652E-2</v>
      </c>
      <c r="AK40" s="20">
        <f ca="1">(COUNTIF($O$16:$O$120,"&lt;"&amp;AK38)/COUNT($O$16:$O$120))-SUM($AF$40:AJ40)</f>
        <v>1.9047619047619091E-2</v>
      </c>
      <c r="AL40" s="20">
        <f ca="1">(COUNTIF($O$16:$O$120,"&lt;"&amp;AL38)/COUNT($O$16:$O$120))-SUM($AF$40:AK40)</f>
        <v>3.8095238095238071E-2</v>
      </c>
      <c r="AM40" s="20">
        <f ca="1">(COUNTIF($O$16:$O$120,"&lt;"&amp;AM38)/COUNT($O$16:$O$120))-SUM($AF$40:AL40)</f>
        <v>1.9047619047619091E-2</v>
      </c>
      <c r="AN40" s="20">
        <f ca="1">(COUNTIF($O$16:$O$120,"&lt;"&amp;AN38)/COUNT($O$16:$O$120))-SUM($AF$40:AM40)</f>
        <v>0</v>
      </c>
      <c r="AO40" s="20">
        <f ca="1">(COUNTIF($O$16:$O$120,"&lt;"&amp;AO38)/COUNT($O$16:$O$120))-SUM($AF$40:AN40)</f>
        <v>0</v>
      </c>
      <c r="AP40" s="25">
        <v>0</v>
      </c>
      <c r="AQ40" s="42"/>
      <c r="AR40" s="43"/>
      <c r="AS40" s="1"/>
      <c r="AT40" s="1"/>
    </row>
    <row r="41" spans="1:46" s="9" customFormat="1" ht="16" thickBot="1">
      <c r="A41" s="1"/>
      <c r="B41" s="40"/>
      <c r="C41" s="52">
        <f t="shared" si="11"/>
        <v>6.5</v>
      </c>
      <c r="D41" s="52">
        <v>0.17658597816045229</v>
      </c>
      <c r="E41" s="52">
        <v>0.20395597925691522</v>
      </c>
      <c r="F41" s="52">
        <f t="shared" ref="F41:G41" si="36">AVERAGE(D37:D45)</f>
        <v>0.4154631806624457</v>
      </c>
      <c r="G41" s="52">
        <f t="shared" si="36"/>
        <v>0.48446282470088714</v>
      </c>
      <c r="H41" s="52">
        <f t="shared" si="3"/>
        <v>0.16896449563052005</v>
      </c>
      <c r="I41" s="52">
        <f t="shared" si="4"/>
        <v>0.40814909494500135</v>
      </c>
      <c r="J41" s="52">
        <f t="shared" ca="1" si="5"/>
        <v>0.35519092824645793</v>
      </c>
      <c r="K41" s="52">
        <f t="shared" ca="1" si="1"/>
        <v>0.80741307286699193</v>
      </c>
      <c r="L41" s="12">
        <f t="shared" ca="1" si="6"/>
        <v>5.1775954641232289</v>
      </c>
      <c r="M41" s="12">
        <f t="shared" ca="1" si="7"/>
        <v>14.825945755034471</v>
      </c>
      <c r="N41" s="12">
        <f t="shared" ca="1" si="8"/>
        <v>14.825945755034471</v>
      </c>
      <c r="O41" s="12">
        <f t="shared" ca="1" si="9"/>
        <v>177.25607955078311</v>
      </c>
      <c r="P41" s="12"/>
      <c r="Q41" s="12"/>
      <c r="R41" s="12"/>
      <c r="S41" s="12"/>
      <c r="T41" s="12"/>
      <c r="U41" s="42"/>
      <c r="V41" s="42"/>
      <c r="W41" s="42"/>
      <c r="X41" s="42"/>
      <c r="Y41" s="42"/>
      <c r="Z41" s="42"/>
      <c r="AA41" s="42"/>
      <c r="AB41" s="42"/>
      <c r="AC41" s="42"/>
      <c r="AD41" s="47" t="s">
        <v>41</v>
      </c>
      <c r="AE41" s="31">
        <f>AE40</f>
        <v>0</v>
      </c>
      <c r="AF41" s="32">
        <f ca="1">AF40+AE41</f>
        <v>0.18095238095238095</v>
      </c>
      <c r="AG41" s="32">
        <f t="shared" ref="AG41:AP41" ca="1" si="37">AG40+AF41</f>
        <v>0.70303854875283445</v>
      </c>
      <c r="AH41" s="32">
        <f t="shared" ca="1" si="37"/>
        <v>0.72380952380952379</v>
      </c>
      <c r="AI41" s="32">
        <f t="shared" ca="1" si="37"/>
        <v>0.84761904761904761</v>
      </c>
      <c r="AJ41" s="32">
        <f t="shared" ca="1" si="37"/>
        <v>0.91428571428571426</v>
      </c>
      <c r="AK41" s="32">
        <f t="shared" ca="1" si="37"/>
        <v>0.93333333333333335</v>
      </c>
      <c r="AL41" s="32">
        <f t="shared" ca="1" si="37"/>
        <v>0.97142857142857142</v>
      </c>
      <c r="AM41" s="32">
        <f t="shared" ca="1" si="37"/>
        <v>0.99047619047619051</v>
      </c>
      <c r="AN41" s="32">
        <f t="shared" ca="1" si="37"/>
        <v>0.99047619047619051</v>
      </c>
      <c r="AO41" s="32">
        <f t="shared" ca="1" si="37"/>
        <v>0.99047619047619051</v>
      </c>
      <c r="AP41" s="33">
        <f t="shared" ca="1" si="37"/>
        <v>0.99047619047619051</v>
      </c>
      <c r="AQ41" s="42"/>
      <c r="AR41" s="43"/>
      <c r="AS41" s="1"/>
      <c r="AT41" s="1"/>
    </row>
    <row r="42" spans="1:46" s="9" customFormat="1">
      <c r="A42" s="1"/>
      <c r="B42" s="40"/>
      <c r="C42" s="52">
        <f t="shared" si="11"/>
        <v>6.75</v>
      </c>
      <c r="D42" s="52">
        <v>0.43754030875444438</v>
      </c>
      <c r="E42" s="52">
        <v>0.94565208048367044</v>
      </c>
      <c r="F42" s="52">
        <f t="shared" ref="F42:G42" si="38">AVERAGE(D38:D46)</f>
        <v>0.40800137314374219</v>
      </c>
      <c r="G42" s="52">
        <f t="shared" si="38"/>
        <v>0.47000863836070284</v>
      </c>
      <c r="H42" s="52">
        <f t="shared" si="3"/>
        <v>0.14705895312664691</v>
      </c>
      <c r="I42" s="52">
        <f t="shared" si="4"/>
        <v>0.37124508615842883</v>
      </c>
      <c r="J42" s="52">
        <f t="shared" ca="1" si="5"/>
        <v>-1.1301746900022971</v>
      </c>
      <c r="K42" s="52">
        <f t="shared" ca="1" si="1"/>
        <v>2.2221764178940395E-2</v>
      </c>
      <c r="L42" s="12">
        <f t="shared" ca="1" si="6"/>
        <v>4.4349126549988513</v>
      </c>
      <c r="M42" s="12">
        <f t="shared" ca="1" si="7"/>
        <v>12.077776174626292</v>
      </c>
      <c r="N42" s="12">
        <f t="shared" ca="1" si="8"/>
        <v>12.077776174626292</v>
      </c>
      <c r="O42" s="12">
        <f t="shared" ca="1" si="9"/>
        <v>84.344757473603494</v>
      </c>
      <c r="P42" s="12"/>
      <c r="Q42" s="12"/>
      <c r="R42" s="12"/>
      <c r="S42" s="12"/>
      <c r="T42" s="1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3"/>
      <c r="AS42" s="1"/>
      <c r="AT42" s="1"/>
    </row>
    <row r="43" spans="1:46" s="9" customFormat="1">
      <c r="A43" s="1"/>
      <c r="B43" s="40"/>
      <c r="C43" s="52">
        <f t="shared" si="11"/>
        <v>7</v>
      </c>
      <c r="D43" s="52">
        <v>0.93586807656731641</v>
      </c>
      <c r="E43" s="52">
        <v>6.936207282385265E-2</v>
      </c>
      <c r="F43" s="52">
        <f t="shared" ref="F43:G43" si="39">AVERAGE(D39:D47)</f>
        <v>0.40848884230875482</v>
      </c>
      <c r="G43" s="52">
        <f t="shared" si="39"/>
        <v>0.372365387361627</v>
      </c>
      <c r="H43" s="52">
        <f t="shared" si="3"/>
        <v>0.14849001074730328</v>
      </c>
      <c r="I43" s="52">
        <f t="shared" si="4"/>
        <v>0.12194517345414518</v>
      </c>
      <c r="J43" s="52">
        <f t="shared" ca="1" si="5"/>
        <v>-4.7930926494668909E-2</v>
      </c>
      <c r="K43" s="52">
        <f t="shared" ca="1" si="1"/>
        <v>-0.7332171398979892</v>
      </c>
      <c r="L43" s="12">
        <f t="shared" ca="1" si="6"/>
        <v>4.9760345367526657</v>
      </c>
      <c r="M43" s="12">
        <f t="shared" ca="1" si="7"/>
        <v>9.4337400103570381</v>
      </c>
      <c r="N43" s="12">
        <f t="shared" ca="1" si="8"/>
        <v>9.4337400103570381</v>
      </c>
      <c r="O43" s="12">
        <f t="shared" ca="1" si="9"/>
        <v>144.89865061431473</v>
      </c>
      <c r="P43" s="12"/>
      <c r="Q43" s="12"/>
      <c r="R43" s="12"/>
      <c r="S43" s="12"/>
      <c r="T43" s="1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3"/>
      <c r="AS43" s="1"/>
      <c r="AT43" s="1"/>
    </row>
    <row r="44" spans="1:46" s="9" customFormat="1">
      <c r="A44" s="1"/>
      <c r="B44" s="40"/>
      <c r="C44" s="52">
        <f t="shared" si="11"/>
        <v>7.25</v>
      </c>
      <c r="D44" s="52">
        <v>0.72022083951462956</v>
      </c>
      <c r="E44" s="52">
        <v>0.69982969111061599</v>
      </c>
      <c r="F44" s="52">
        <f t="shared" ref="F44:G44" si="40">AVERAGE(D40:D48)</f>
        <v>0.4537781597607109</v>
      </c>
      <c r="G44" s="52">
        <f t="shared" si="40"/>
        <v>0.35980296901777903</v>
      </c>
      <c r="H44" s="52">
        <f t="shared" si="3"/>
        <v>0.28144533905461977</v>
      </c>
      <c r="I44" s="52">
        <f t="shared" si="4"/>
        <v>8.9871171775261799E-2</v>
      </c>
      <c r="J44" s="52">
        <f t="shared" ca="1" si="5"/>
        <v>-0.18400694454489744</v>
      </c>
      <c r="K44" s="52">
        <f t="shared" ca="1" si="1"/>
        <v>-0.45583879015421125</v>
      </c>
      <c r="L44" s="12">
        <f t="shared" ca="1" si="6"/>
        <v>4.9079965277275512</v>
      </c>
      <c r="M44" s="12">
        <f t="shared" ca="1" si="7"/>
        <v>10.40456423446026</v>
      </c>
      <c r="N44" s="12">
        <f t="shared" ca="1" si="8"/>
        <v>10.40456423446026</v>
      </c>
      <c r="O44" s="12">
        <f t="shared" ca="1" si="9"/>
        <v>135.36793664254202</v>
      </c>
      <c r="P44" s="12"/>
      <c r="Q44" s="12"/>
      <c r="R44" s="12"/>
      <c r="S44" s="12"/>
      <c r="T44" s="1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3"/>
      <c r="AS44" s="1"/>
      <c r="AT44" s="1"/>
    </row>
    <row r="45" spans="1:46" s="9" customFormat="1">
      <c r="A45" s="1"/>
      <c r="B45" s="40"/>
      <c r="C45" s="52">
        <f t="shared" si="11"/>
        <v>7.5</v>
      </c>
      <c r="D45" s="52">
        <v>5.5961685858437304E-2</v>
      </c>
      <c r="E45" s="52">
        <v>0.11648582743913205</v>
      </c>
      <c r="F45" s="52">
        <f t="shared" ref="F45:G45" si="41">AVERAGE(D41:D49)</f>
        <v>0.46445716630103068</v>
      </c>
      <c r="G45" s="52">
        <f t="shared" si="41"/>
        <v>0.40534160444455519</v>
      </c>
      <c r="H45" s="52">
        <f t="shared" si="3"/>
        <v>0.31279557572070299</v>
      </c>
      <c r="I45" s="52">
        <f t="shared" si="4"/>
        <v>0.2061390932179322</v>
      </c>
      <c r="J45" s="52">
        <f t="shared" ca="1" si="5"/>
        <v>0.85698556286921135</v>
      </c>
      <c r="K45" s="52">
        <f t="shared" ca="1" si="1"/>
        <v>0.66396386391050966</v>
      </c>
      <c r="L45" s="12">
        <f t="shared" ca="1" si="6"/>
        <v>5.4284927814346053</v>
      </c>
      <c r="M45" s="12">
        <f t="shared" ca="1" si="7"/>
        <v>14.323873523686784</v>
      </c>
      <c r="N45" s="12">
        <f t="shared" ca="1" si="8"/>
        <v>14.323873523686784</v>
      </c>
      <c r="O45" s="12">
        <f t="shared" ca="1" si="9"/>
        <v>227.80563365968416</v>
      </c>
      <c r="P45" s="12"/>
      <c r="Q45" s="12"/>
      <c r="R45" s="12"/>
      <c r="S45" s="12"/>
      <c r="T45" s="1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3"/>
      <c r="AS45" s="1"/>
      <c r="AT45" s="1"/>
    </row>
    <row r="46" spans="1:46" s="9" customFormat="1">
      <c r="A46" s="1"/>
      <c r="B46" s="40"/>
      <c r="C46" s="52">
        <f t="shared" si="11"/>
        <v>7.75</v>
      </c>
      <c r="D46" s="52">
        <v>0.60141001706502295</v>
      </c>
      <c r="E46" s="52">
        <v>0.55375960060672469</v>
      </c>
      <c r="F46" s="52">
        <f t="shared" ref="F46:G46" si="42">AVERAGE(D42:D50)</f>
        <v>0.54696447938144643</v>
      </c>
      <c r="G46" s="52">
        <f t="shared" si="42"/>
        <v>0.42316321323535178</v>
      </c>
      <c r="H46" s="52">
        <f t="shared" si="3"/>
        <v>0.555011345697767</v>
      </c>
      <c r="I46" s="52">
        <f t="shared" si="4"/>
        <v>0.25164070720902648</v>
      </c>
      <c r="J46" s="52">
        <f t="shared" ca="1" si="5"/>
        <v>-1.8345652486092159</v>
      </c>
      <c r="K46" s="52">
        <f t="shared" ca="1" si="1"/>
        <v>-1.1313775473615344</v>
      </c>
      <c r="L46" s="12">
        <f t="shared" ca="1" si="6"/>
        <v>4.0827173756953918</v>
      </c>
      <c r="M46" s="12">
        <f t="shared" ca="1" si="7"/>
        <v>8.0401785842346296</v>
      </c>
      <c r="N46" s="12">
        <f t="shared" ca="1" si="8"/>
        <v>8.0401785842346296</v>
      </c>
      <c r="O46" s="12">
        <f t="shared" ca="1" si="9"/>
        <v>59.306408879015081</v>
      </c>
      <c r="P46" s="12"/>
      <c r="Q46" s="12"/>
      <c r="R46" s="12"/>
      <c r="S46" s="12"/>
      <c r="T46" s="1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3"/>
      <c r="AS46" s="1"/>
      <c r="AT46" s="1"/>
    </row>
    <row r="47" spans="1:46" s="9" customFormat="1">
      <c r="A47" s="1"/>
      <c r="B47" s="40"/>
      <c r="C47" s="52">
        <f t="shared" si="11"/>
        <v>8</v>
      </c>
      <c r="D47" s="52">
        <v>0.48875544557364448</v>
      </c>
      <c r="E47" s="52">
        <v>1.8994669643791484E-3</v>
      </c>
      <c r="F47" s="52">
        <f t="shared" ref="F47:G47" si="43">AVERAGE(D43:D51)</f>
        <v>0.578470482499443</v>
      </c>
      <c r="G47" s="52">
        <f t="shared" si="43"/>
        <v>0.34228190293476168</v>
      </c>
      <c r="H47" s="52">
        <f t="shared" si="3"/>
        <v>0.64750315665623948</v>
      </c>
      <c r="I47" s="52">
        <f t="shared" si="4"/>
        <v>4.5136894697335013E-2</v>
      </c>
      <c r="J47" s="52">
        <f t="shared" ca="1" si="5"/>
        <v>0.88348417274039015</v>
      </c>
      <c r="K47" s="52">
        <f t="shared" ca="1" si="1"/>
        <v>-1.0215655692684664</v>
      </c>
      <c r="L47" s="12">
        <f t="shared" ca="1" si="6"/>
        <v>5.4417420863701951</v>
      </c>
      <c r="M47" s="12">
        <f t="shared" ca="1" si="7"/>
        <v>8.4245205075603664</v>
      </c>
      <c r="N47" s="12">
        <f t="shared" ca="1" si="8"/>
        <v>8.4245205075603664</v>
      </c>
      <c r="O47" s="12">
        <f t="shared" ca="1" si="9"/>
        <v>230.84398353116265</v>
      </c>
      <c r="P47" s="12"/>
      <c r="Q47" s="12"/>
      <c r="R47" s="12"/>
      <c r="S47" s="12"/>
      <c r="T47" s="1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3"/>
      <c r="AS47" s="1"/>
      <c r="AT47" s="1"/>
    </row>
    <row r="48" spans="1:46" s="9" customFormat="1">
      <c r="A48" s="1"/>
      <c r="B48" s="40"/>
      <c r="C48" s="52">
        <f t="shared" si="11"/>
        <v>8.25</v>
      </c>
      <c r="D48" s="52">
        <v>0.57215771700331641</v>
      </c>
      <c r="E48" s="52">
        <v>0.25589676374804926</v>
      </c>
      <c r="F48" s="52">
        <f t="shared" ref="F48:G48" si="44">AVERAGE(D44:D52)</f>
        <v>0.56784708830647146</v>
      </c>
      <c r="G48" s="52">
        <f t="shared" si="44"/>
        <v>0.3624094391028882</v>
      </c>
      <c r="H48" s="52">
        <f t="shared" si="3"/>
        <v>0.61631618051859027</v>
      </c>
      <c r="I48" s="52">
        <f t="shared" si="4"/>
        <v>9.6525935499691587E-2</v>
      </c>
      <c r="J48" s="52">
        <f t="shared" ca="1" si="5"/>
        <v>4.7751334093453605E-2</v>
      </c>
      <c r="K48" s="52">
        <f t="shared" ref="K48:K79" ca="1" si="45">_xlfn.NORM.INV(RAND(),$K$10+$K$12*($K$11/$K$8)*(J48-$K$7),SQRT($K$12*$K$8*$K$11))</f>
        <v>-0.12872878739162633</v>
      </c>
      <c r="L48" s="12">
        <f t="shared" ca="1" si="6"/>
        <v>5.0238756670467266</v>
      </c>
      <c r="M48" s="12">
        <f t="shared" ca="1" si="7"/>
        <v>11.549449244129308</v>
      </c>
      <c r="N48" s="12">
        <f t="shared" ca="1" si="8"/>
        <v>11.549449244129308</v>
      </c>
      <c r="O48" s="12">
        <f t="shared" ref="O48:O80" ca="1" si="46">EXP(L48)</f>
        <v>151.99926222425896</v>
      </c>
      <c r="P48" s="12"/>
      <c r="Q48" s="12"/>
      <c r="R48" s="12"/>
      <c r="S48" s="12"/>
      <c r="T48" s="1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3"/>
      <c r="AS48" s="1"/>
      <c r="AT48" s="1"/>
    </row>
    <row r="49" spans="1:46" s="9" customFormat="1">
      <c r="A49" s="1"/>
      <c r="B49" s="40"/>
      <c r="C49" s="52">
        <f t="shared" si="11"/>
        <v>8.5</v>
      </c>
      <c r="D49" s="52">
        <v>0.19161442821201158</v>
      </c>
      <c r="E49" s="52">
        <v>0.80123295756765711</v>
      </c>
      <c r="F49" s="52">
        <f t="shared" ref="F49:G49" si="47">AVERAGE(D45:D53)</f>
        <v>0.56756214632451396</v>
      </c>
      <c r="G49" s="52">
        <f t="shared" si="47"/>
        <v>0.32467441432511518</v>
      </c>
      <c r="H49" s="52">
        <f t="shared" si="3"/>
        <v>0.61547967961967776</v>
      </c>
      <c r="I49" s="52">
        <f t="shared" si="4"/>
        <v>1.819661342939455E-4</v>
      </c>
      <c r="J49" s="52">
        <f t="shared" ca="1" si="5"/>
        <v>1.5975138062913745</v>
      </c>
      <c r="K49" s="52">
        <f t="shared" ca="1" si="45"/>
        <v>1.8476228515953914</v>
      </c>
      <c r="L49" s="12">
        <f t="shared" ca="1" si="6"/>
        <v>5.7987569031456871</v>
      </c>
      <c r="M49" s="12">
        <f t="shared" ca="1" si="7"/>
        <v>18.466679980583869</v>
      </c>
      <c r="N49" s="12">
        <f t="shared" ca="1" si="8"/>
        <v>18.466679980583869</v>
      </c>
      <c r="O49" s="12">
        <f t="shared" ca="1" si="46"/>
        <v>329.88922066429768</v>
      </c>
      <c r="P49" s="12"/>
      <c r="Q49" s="12"/>
      <c r="R49" s="12"/>
      <c r="S49" s="12"/>
      <c r="T49" s="1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3"/>
      <c r="AS49" s="1"/>
      <c r="AT49" s="1"/>
    </row>
    <row r="50" spans="1:46" s="9" customFormat="1">
      <c r="A50" s="1"/>
      <c r="B50" s="40"/>
      <c r="C50" s="52">
        <f t="shared" si="11"/>
        <v>8.75</v>
      </c>
      <c r="D50" s="52">
        <v>0.91915179588419571</v>
      </c>
      <c r="E50" s="52">
        <v>0.36435045837408464</v>
      </c>
      <c r="F50" s="52">
        <f t="shared" ref="F50:G50" si="48">AVERAGE(D46:D54)</f>
        <v>0.66131644813260038</v>
      </c>
      <c r="G50" s="52">
        <f t="shared" si="48"/>
        <v>0.35091207026266424</v>
      </c>
      <c r="H50" s="52">
        <f t="shared" si="3"/>
        <v>0.8907131050370658</v>
      </c>
      <c r="I50" s="52">
        <f t="shared" si="4"/>
        <v>6.7171187282388661E-2</v>
      </c>
      <c r="J50" s="52">
        <f t="shared" ca="1" si="5"/>
        <v>-0.75801834953613756</v>
      </c>
      <c r="K50" s="52">
        <f t="shared" ca="1" si="45"/>
        <v>-0.35391563750026095</v>
      </c>
      <c r="L50" s="12">
        <f t="shared" ca="1" si="6"/>
        <v>4.6209908252319316</v>
      </c>
      <c r="M50" s="12">
        <f t="shared" ca="1" si="7"/>
        <v>10.761295268749087</v>
      </c>
      <c r="N50" s="12">
        <f t="shared" ca="1" si="8"/>
        <v>10.761295268749087</v>
      </c>
      <c r="O50" s="12">
        <f t="shared" ca="1" si="46"/>
        <v>101.59464481403202</v>
      </c>
      <c r="P50" s="12"/>
      <c r="Q50" s="12"/>
      <c r="R50" s="12"/>
      <c r="S50" s="12"/>
      <c r="T50" s="1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3"/>
      <c r="AS50" s="1"/>
      <c r="AT50" s="1"/>
    </row>
    <row r="51" spans="1:46" s="9" customFormat="1">
      <c r="A51" s="1"/>
      <c r="B51" s="40"/>
      <c r="C51" s="52">
        <f t="shared" si="11"/>
        <v>9</v>
      </c>
      <c r="D51" s="52">
        <v>0.72109433681641255</v>
      </c>
      <c r="E51" s="52">
        <v>0.21772028777836061</v>
      </c>
      <c r="F51" s="52">
        <f t="shared" ref="F51:G51" si="49">AVERAGE(D47:D55)</f>
        <v>0.69854345469434143</v>
      </c>
      <c r="G51" s="52">
        <f t="shared" si="49"/>
        <v>0.37760277579576418</v>
      </c>
      <c r="H51" s="52">
        <f t="shared" si="3"/>
        <v>1</v>
      </c>
      <c r="I51" s="52">
        <f t="shared" si="4"/>
        <v>0.13531712150041805</v>
      </c>
      <c r="J51" s="52">
        <f t="shared" ca="1" si="5"/>
        <v>-0.87768504931947355</v>
      </c>
      <c r="K51" s="52">
        <f t="shared" ca="1" si="45"/>
        <v>-6.0976075306381217E-2</v>
      </c>
      <c r="L51" s="12">
        <f t="shared" ca="1" si="6"/>
        <v>4.5611574753402628</v>
      </c>
      <c r="M51" s="12">
        <f t="shared" ca="1" si="7"/>
        <v>11.786583736427666</v>
      </c>
      <c r="N51" s="12">
        <f t="shared" ca="1" si="8"/>
        <v>11.786583736427666</v>
      </c>
      <c r="O51" s="12">
        <f t="shared" ca="1" si="46"/>
        <v>95.694179404560785</v>
      </c>
      <c r="P51" s="12"/>
      <c r="Q51" s="12"/>
      <c r="R51" s="12"/>
      <c r="S51" s="12"/>
      <c r="T51" s="1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3"/>
      <c r="AS51" s="1"/>
      <c r="AT51" s="1"/>
    </row>
    <row r="52" spans="1:46" s="9" customFormat="1">
      <c r="A52" s="1"/>
      <c r="B52" s="40"/>
      <c r="C52" s="52">
        <f t="shared" si="11"/>
        <v>9.25</v>
      </c>
      <c r="D52" s="52">
        <v>0.84025752883057214</v>
      </c>
      <c r="E52" s="52">
        <v>0.25050989833699111</v>
      </c>
      <c r="F52" s="52">
        <f t="shared" ref="F52:G52" si="50">AVERAGE(D48:D56)</f>
        <v>0.67134577391062089</v>
      </c>
      <c r="G52" s="52">
        <f t="shared" si="50"/>
        <v>0.46273265887308657</v>
      </c>
      <c r="H52" s="52">
        <f t="shared" si="3"/>
        <v>0.92015608136216287</v>
      </c>
      <c r="I52" s="52">
        <f t="shared" si="4"/>
        <v>0.35266826663899209</v>
      </c>
      <c r="J52" s="52">
        <f t="shared" ca="1" si="5"/>
        <v>1.7163677346398696</v>
      </c>
      <c r="K52" s="52">
        <f t="shared" ca="1" si="45"/>
        <v>0.96975472785732997</v>
      </c>
      <c r="L52" s="12">
        <f t="shared" ca="1" si="6"/>
        <v>5.8581838673199345</v>
      </c>
      <c r="M52" s="12">
        <f t="shared" ca="1" si="7"/>
        <v>15.394141547500656</v>
      </c>
      <c r="N52" s="12">
        <f t="shared" ca="1" si="8"/>
        <v>15.394141547500656</v>
      </c>
      <c r="O52" s="12">
        <f t="shared" ca="1" si="46"/>
        <v>350.08776049364775</v>
      </c>
      <c r="P52" s="12"/>
      <c r="Q52" s="12"/>
      <c r="R52" s="12"/>
      <c r="S52" s="12"/>
      <c r="T52" s="1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3"/>
      <c r="AS52" s="1"/>
      <c r="AT52" s="1"/>
    </row>
    <row r="53" spans="1:46" s="9" customFormat="1">
      <c r="A53" s="1"/>
      <c r="B53" s="40"/>
      <c r="C53" s="52">
        <f t="shared" si="11"/>
        <v>9.5</v>
      </c>
      <c r="D53" s="52">
        <v>0.71765636167701308</v>
      </c>
      <c r="E53" s="52">
        <v>0.3602144681106576</v>
      </c>
      <c r="F53" s="52">
        <f t="shared" ref="F53:G53" si="51">AVERAGE(D49:D57)</f>
        <v>0.63397506041227958</v>
      </c>
      <c r="G53" s="52">
        <f t="shared" si="51"/>
        <v>0.48044495911741553</v>
      </c>
      <c r="H53" s="52">
        <f t="shared" si="3"/>
        <v>0.81044730759842776</v>
      </c>
      <c r="I53" s="52">
        <f t="shared" si="4"/>
        <v>0.3978907972237743</v>
      </c>
      <c r="J53" s="52">
        <f t="shared" ca="1" si="5"/>
        <v>0.99881245212843839</v>
      </c>
      <c r="K53" s="52">
        <f t="shared" ca="1" si="45"/>
        <v>0.74617520650758906</v>
      </c>
      <c r="L53" s="12">
        <f t="shared" ca="1" si="6"/>
        <v>5.4994062260642194</v>
      </c>
      <c r="M53" s="12">
        <f t="shared" ca="1" si="7"/>
        <v>14.611613222776562</v>
      </c>
      <c r="N53" s="12">
        <f t="shared" ca="1" si="8"/>
        <v>14.611613222776562</v>
      </c>
      <c r="O53" s="12">
        <f t="shared" ca="1" si="46"/>
        <v>244.54668369921964</v>
      </c>
      <c r="P53" s="12"/>
      <c r="Q53" s="12"/>
      <c r="R53" s="12"/>
      <c r="S53" s="12"/>
      <c r="T53" s="1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3"/>
      <c r="AS53" s="1"/>
      <c r="AT53" s="1"/>
    </row>
    <row r="54" spans="1:46" s="9" customFormat="1">
      <c r="A54" s="1"/>
      <c r="B54" s="40"/>
      <c r="C54" s="52">
        <f t="shared" si="11"/>
        <v>9.75</v>
      </c>
      <c r="D54" s="52">
        <v>0.89975040213121482</v>
      </c>
      <c r="E54" s="52">
        <v>0.35262473087707413</v>
      </c>
      <c r="F54" s="52">
        <f t="shared" ref="F54:G54" si="52">AVERAGE(D50:D58)</f>
        <v>0.65117035479516461</v>
      </c>
      <c r="G54" s="52">
        <f t="shared" si="52"/>
        <v>0.49980855257434542</v>
      </c>
      <c r="H54" s="52">
        <f t="shared" si="3"/>
        <v>0.86092733553090195</v>
      </c>
      <c r="I54" s="52">
        <f t="shared" si="4"/>
        <v>0.44732936168225951</v>
      </c>
      <c r="J54" s="52">
        <f t="shared" ca="1" si="5"/>
        <v>-0.16726742009924861</v>
      </c>
      <c r="K54" s="52">
        <f t="shared" ca="1" si="45"/>
        <v>-0.40150646352623798</v>
      </c>
      <c r="L54" s="12">
        <f t="shared" ca="1" si="6"/>
        <v>4.9163662899503757</v>
      </c>
      <c r="M54" s="12">
        <f t="shared" ca="1" si="7"/>
        <v>10.594727377658167</v>
      </c>
      <c r="N54" s="12">
        <f t="shared" ca="1" si="8"/>
        <v>10.594727377658167</v>
      </c>
      <c r="O54" s="12">
        <f t="shared" ca="1" si="46"/>
        <v>136.5056888004523</v>
      </c>
      <c r="P54" s="12"/>
      <c r="Q54" s="12"/>
      <c r="R54" s="12"/>
      <c r="S54" s="12"/>
      <c r="T54" s="1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3"/>
      <c r="AS54" s="1"/>
      <c r="AT54" s="1"/>
    </row>
    <row r="55" spans="1:46" s="9" customFormat="1">
      <c r="A55" s="1"/>
      <c r="B55" s="40"/>
      <c r="C55" s="52">
        <f t="shared" si="11"/>
        <v>10</v>
      </c>
      <c r="D55" s="52">
        <v>0.93645307612069184</v>
      </c>
      <c r="E55" s="52">
        <v>0.79397595040462376</v>
      </c>
      <c r="F55" s="52">
        <f t="shared" ref="F55:G55" si="53">AVERAGE(D51:D59)</f>
        <v>0.60893327357606475</v>
      </c>
      <c r="G55" s="52">
        <f t="shared" si="53"/>
        <v>0.50544280237263228</v>
      </c>
      <c r="H55" s="52">
        <f t="shared" si="3"/>
        <v>0.73693242202430265</v>
      </c>
      <c r="I55" s="52">
        <f t="shared" si="4"/>
        <v>0.46171456463786714</v>
      </c>
      <c r="J55" s="52">
        <f t="shared" ca="1" si="5"/>
        <v>-0.29955873127591992</v>
      </c>
      <c r="K55" s="52">
        <f t="shared" ca="1" si="45"/>
        <v>-0.29186388546838871</v>
      </c>
      <c r="L55" s="12">
        <f t="shared" ca="1" si="6"/>
        <v>4.8502206343620404</v>
      </c>
      <c r="M55" s="12">
        <f t="shared" ca="1" si="7"/>
        <v>10.978476400860639</v>
      </c>
      <c r="N55" s="12">
        <f t="shared" ca="1" si="8"/>
        <v>10.978476400860639</v>
      </c>
      <c r="O55" s="12">
        <f t="shared" ca="1" si="46"/>
        <v>127.76857687484855</v>
      </c>
      <c r="P55" s="12"/>
      <c r="Q55" s="12"/>
      <c r="R55" s="12"/>
      <c r="S55" s="12"/>
      <c r="T55" s="1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3"/>
      <c r="AS55" s="1"/>
      <c r="AT55" s="1"/>
    </row>
    <row r="56" spans="1:46" s="9" customFormat="1">
      <c r="A56" s="1"/>
      <c r="B56" s="40"/>
      <c r="C56" s="52">
        <f t="shared" si="11"/>
        <v>10.25</v>
      </c>
      <c r="D56" s="52">
        <v>0.24397631852015977</v>
      </c>
      <c r="E56" s="52">
        <v>0.76806841466028075</v>
      </c>
      <c r="F56" s="52">
        <f t="shared" ref="F56:G56" si="54">AVERAGE(D52:D60)</f>
        <v>0.63589924900235184</v>
      </c>
      <c r="G56" s="52">
        <f t="shared" si="54"/>
        <v>0.58333534459489678</v>
      </c>
      <c r="H56" s="52">
        <f t="shared" si="3"/>
        <v>0.81609612590949288</v>
      </c>
      <c r="I56" s="52">
        <f t="shared" si="4"/>
        <v>0.66058754129151276</v>
      </c>
      <c r="J56" s="52">
        <f t="shared" ca="1" si="5"/>
        <v>-0.10627282003126347</v>
      </c>
      <c r="K56" s="52">
        <f t="shared" ca="1" si="45"/>
        <v>-8.1032688899899771E-2</v>
      </c>
      <c r="L56" s="12">
        <f t="shared" ca="1" si="6"/>
        <v>4.9468635899843685</v>
      </c>
      <c r="M56" s="12">
        <f t="shared" ca="1" si="7"/>
        <v>11.716385588850351</v>
      </c>
      <c r="N56" s="12">
        <f t="shared" ca="1" si="8"/>
        <v>11.716385588850351</v>
      </c>
      <c r="O56" s="12">
        <f t="shared" ca="1" si="46"/>
        <v>140.73287499914383</v>
      </c>
      <c r="P56" s="12"/>
      <c r="Q56" s="12"/>
      <c r="R56" s="12"/>
      <c r="S56" s="12"/>
      <c r="T56" s="1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3"/>
      <c r="AS56" s="1"/>
      <c r="AT56" s="1"/>
    </row>
    <row r="57" spans="1:46" s="9" customFormat="1">
      <c r="A57" s="1"/>
      <c r="B57" s="40"/>
      <c r="C57" s="52">
        <f t="shared" si="11"/>
        <v>10.5</v>
      </c>
      <c r="D57" s="52">
        <v>0.23582129551824504</v>
      </c>
      <c r="E57" s="52">
        <v>0.41530746594700985</v>
      </c>
      <c r="F57" s="52">
        <f t="shared" ref="F57:G57" si="55">AVERAGE(D53:D61)</f>
        <v>0.55720122298936614</v>
      </c>
      <c r="G57" s="52">
        <f t="shared" si="55"/>
        <v>0.5939498066672968</v>
      </c>
      <c r="H57" s="52">
        <f t="shared" si="3"/>
        <v>0.58506323616029376</v>
      </c>
      <c r="I57" s="52">
        <f t="shared" si="4"/>
        <v>0.68768807759050687</v>
      </c>
      <c r="J57" s="52">
        <f t="shared" ca="1" si="5"/>
        <v>1.8694048004400463</v>
      </c>
      <c r="K57" s="52">
        <f t="shared" ca="1" si="45"/>
        <v>2.0426776638933801</v>
      </c>
      <c r="L57" s="12">
        <f t="shared" ca="1" si="6"/>
        <v>5.934702400220023</v>
      </c>
      <c r="M57" s="12">
        <f t="shared" ca="1" si="7"/>
        <v>19.149371823626829</v>
      </c>
      <c r="N57" s="12">
        <f t="shared" ca="1" si="8"/>
        <v>19.149371823626829</v>
      </c>
      <c r="O57" s="12">
        <f t="shared" ca="1" si="46"/>
        <v>377.92750829097491</v>
      </c>
      <c r="P57" s="12"/>
      <c r="Q57" s="12"/>
      <c r="R57" s="12"/>
      <c r="S57" s="12"/>
      <c r="T57" s="1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3"/>
      <c r="AS57" s="1"/>
      <c r="AT57" s="1"/>
    </row>
    <row r="58" spans="1:46" s="9" customFormat="1">
      <c r="A58" s="1"/>
      <c r="B58" s="40"/>
      <c r="C58" s="52">
        <f t="shared" si="11"/>
        <v>10.75</v>
      </c>
      <c r="D58" s="52">
        <v>0.34637207765797706</v>
      </c>
      <c r="E58" s="52">
        <v>0.97550529868002578</v>
      </c>
      <c r="F58" s="52">
        <f t="shared" ref="F58:G58" si="56">AVERAGE(D54:D62)</f>
        <v>0.55604939245431229</v>
      </c>
      <c r="G58" s="52">
        <f t="shared" si="56"/>
        <v>0.64145770326812124</v>
      </c>
      <c r="H58" s="52">
        <f t="shared" si="3"/>
        <v>0.58168182050736561</v>
      </c>
      <c r="I58" s="52">
        <f t="shared" si="4"/>
        <v>0.80898385947165063</v>
      </c>
      <c r="J58" s="52">
        <f t="shared" ca="1" si="5"/>
        <v>-0.39372902181391045</v>
      </c>
      <c r="K58" s="52">
        <f t="shared" ca="1" si="45"/>
        <v>0.98563342528980247</v>
      </c>
      <c r="L58" s="12">
        <f t="shared" ca="1" si="6"/>
        <v>4.8031354890930444</v>
      </c>
      <c r="M58" s="12">
        <f t="shared" ca="1" si="7"/>
        <v>15.449716988514309</v>
      </c>
      <c r="N58" s="12">
        <f t="shared" ca="1" si="8"/>
        <v>15.449716988514309</v>
      </c>
      <c r="O58" s="12">
        <f t="shared" ca="1" si="46"/>
        <v>121.89201003451285</v>
      </c>
      <c r="P58" s="12"/>
      <c r="Q58" s="12"/>
      <c r="R58" s="12"/>
      <c r="S58" s="12"/>
      <c r="T58" s="1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1"/>
      <c r="AT58" s="1"/>
    </row>
    <row r="59" spans="1:46" s="9" customFormat="1">
      <c r="A59" s="1"/>
      <c r="B59" s="40"/>
      <c r="C59" s="52">
        <f t="shared" si="11"/>
        <v>11</v>
      </c>
      <c r="D59" s="52">
        <v>0.5390180649122962</v>
      </c>
      <c r="E59" s="52">
        <v>0.41505870655866606</v>
      </c>
      <c r="F59" s="52">
        <f t="shared" ref="F59:G59" si="57">AVERAGE(D55:D63)</f>
        <v>0.48028464167576179</v>
      </c>
      <c r="G59" s="52">
        <f t="shared" si="57"/>
        <v>0.60512742788485885</v>
      </c>
      <c r="H59" s="52">
        <f t="shared" si="3"/>
        <v>0.35926011312415757</v>
      </c>
      <c r="I59" s="52">
        <f t="shared" si="4"/>
        <v>0.71622645546371133</v>
      </c>
      <c r="J59" s="52">
        <f t="shared" ca="1" si="5"/>
        <v>0.75018877080691093</v>
      </c>
      <c r="K59" s="52">
        <f t="shared" ca="1" si="45"/>
        <v>-0.13275429378029147</v>
      </c>
      <c r="L59" s="12">
        <f t="shared" ca="1" si="6"/>
        <v>5.3750943854034556</v>
      </c>
      <c r="M59" s="12">
        <f t="shared" ca="1" si="7"/>
        <v>11.53535997176898</v>
      </c>
      <c r="N59" s="12">
        <f t="shared" ca="1" si="8"/>
        <v>11.53535997176898</v>
      </c>
      <c r="O59" s="12">
        <f t="shared" ca="1" si="46"/>
        <v>215.96025484447603</v>
      </c>
      <c r="P59" s="12"/>
      <c r="Q59" s="12"/>
      <c r="R59" s="12"/>
      <c r="S59" s="12"/>
      <c r="T59" s="1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1"/>
      <c r="AT59" s="1"/>
    </row>
    <row r="60" spans="1:46" s="9" customFormat="1">
      <c r="A60" s="1"/>
      <c r="B60" s="40"/>
      <c r="C60" s="52">
        <f t="shared" si="11"/>
        <v>11.25</v>
      </c>
      <c r="D60" s="52">
        <v>0.9637881156529956</v>
      </c>
      <c r="E60" s="52">
        <v>0.91875316777874194</v>
      </c>
      <c r="F60" s="52">
        <f t="shared" ref="F60:G60" si="58">AVERAGE(D56:D64)</f>
        <v>0.42996504817761</v>
      </c>
      <c r="G60" s="52">
        <f t="shared" si="58"/>
        <v>0.60127575802034272</v>
      </c>
      <c r="H60" s="52">
        <f t="shared" si="3"/>
        <v>0.21153746128833217</v>
      </c>
      <c r="I60" s="52">
        <f t="shared" si="4"/>
        <v>0.70639248382548026</v>
      </c>
      <c r="J60" s="52">
        <f t="shared" ca="1" si="5"/>
        <v>0.5210129941000986</v>
      </c>
      <c r="K60" s="52">
        <f t="shared" ca="1" si="45"/>
        <v>1.1375063565739039</v>
      </c>
      <c r="L60" s="12">
        <f t="shared" ca="1" si="6"/>
        <v>5.2605064970500495</v>
      </c>
      <c r="M60" s="12">
        <f t="shared" ca="1" si="7"/>
        <v>15.981272248008663</v>
      </c>
      <c r="N60" s="12">
        <f t="shared" ca="1" si="8"/>
        <v>15.981272248008663</v>
      </c>
      <c r="O60" s="12">
        <f t="shared" ca="1" si="46"/>
        <v>192.57900729847557</v>
      </c>
      <c r="P60" s="12"/>
      <c r="Q60" s="12"/>
      <c r="R60" s="12"/>
      <c r="S60" s="12"/>
      <c r="T60" s="1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1"/>
      <c r="AT60" s="1"/>
    </row>
    <row r="61" spans="1:46" s="9" customFormat="1">
      <c r="A61" s="1"/>
      <c r="B61" s="40"/>
      <c r="C61" s="52">
        <f t="shared" si="11"/>
        <v>11.5</v>
      </c>
      <c r="D61" s="52">
        <v>0.13197529471370117</v>
      </c>
      <c r="E61" s="52">
        <v>0.3460400569885923</v>
      </c>
      <c r="F61" s="52">
        <f t="shared" ref="F61:G61" si="59">AVERAGE(D57:D65)</f>
        <v>0.40981594520959375</v>
      </c>
      <c r="G61" s="52">
        <f t="shared" si="59"/>
        <v>0.52965550203759026</v>
      </c>
      <c r="H61" s="52">
        <f t="shared" si="3"/>
        <v>0.15238597146841174</v>
      </c>
      <c r="I61" s="52">
        <f t="shared" si="4"/>
        <v>0.5235337262393811</v>
      </c>
      <c r="J61" s="52">
        <f t="shared" ca="1" si="5"/>
        <v>-0.5133719371023765</v>
      </c>
      <c r="K61" s="52">
        <f t="shared" ca="1" si="45"/>
        <v>0.55318455803373345</v>
      </c>
      <c r="L61" s="12">
        <f t="shared" ca="1" si="6"/>
        <v>4.7433140314488114</v>
      </c>
      <c r="M61" s="12">
        <f t="shared" ca="1" si="7"/>
        <v>13.936145953118068</v>
      </c>
      <c r="N61" s="12">
        <f t="shared" ca="1" si="8"/>
        <v>13.936145953118068</v>
      </c>
      <c r="O61" s="12">
        <f t="shared" ca="1" si="46"/>
        <v>114.81406932233502</v>
      </c>
      <c r="P61" s="12"/>
      <c r="Q61" s="12"/>
      <c r="R61" s="12"/>
      <c r="S61" s="12"/>
      <c r="T61" s="1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1"/>
      <c r="AT61" s="1"/>
    </row>
    <row r="62" spans="1:46" s="9" customFormat="1">
      <c r="A62" s="1"/>
      <c r="B62" s="40"/>
      <c r="C62" s="52">
        <f t="shared" si="11"/>
        <v>11.75</v>
      </c>
      <c r="D62" s="52">
        <v>0.70728988686152905</v>
      </c>
      <c r="E62" s="52">
        <v>0.78778553751807701</v>
      </c>
      <c r="F62" s="52">
        <f t="shared" ref="F62:G62" si="60">AVERAGE(D58:D66)</f>
        <v>0.48530989976732997</v>
      </c>
      <c r="G62" s="52">
        <f t="shared" si="60"/>
        <v>0.53431486815982665</v>
      </c>
      <c r="H62" s="52">
        <f t="shared" si="3"/>
        <v>0.37401270550098503</v>
      </c>
      <c r="I62" s="52">
        <f t="shared" si="4"/>
        <v>0.53542988450578111</v>
      </c>
      <c r="J62" s="52">
        <f t="shared" ca="1" si="5"/>
        <v>-0.46387192008180955</v>
      </c>
      <c r="K62" s="52">
        <f t="shared" ca="1" si="45"/>
        <v>0.19736800083555689</v>
      </c>
      <c r="L62" s="12">
        <f t="shared" ca="1" si="6"/>
        <v>4.7680640399590954</v>
      </c>
      <c r="M62" s="12">
        <f t="shared" ca="1" si="7"/>
        <v>12.69078800292445</v>
      </c>
      <c r="N62" s="12">
        <f t="shared" ca="1" si="8"/>
        <v>12.69078800292445</v>
      </c>
      <c r="O62" s="12">
        <f t="shared" ca="1" si="46"/>
        <v>117.69117585484636</v>
      </c>
      <c r="P62" s="12"/>
      <c r="Q62" s="12"/>
      <c r="R62" s="12"/>
      <c r="S62" s="12"/>
      <c r="T62" s="1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1"/>
      <c r="AT62" s="1"/>
    </row>
    <row r="63" spans="1:46" s="9" customFormat="1">
      <c r="A63" s="1"/>
      <c r="B63" s="40"/>
      <c r="C63" s="52">
        <f t="shared" si="11"/>
        <v>12</v>
      </c>
      <c r="D63" s="52">
        <v>0.21786764512425971</v>
      </c>
      <c r="E63" s="52">
        <v>2.5652252427712297E-2</v>
      </c>
      <c r="F63" s="52">
        <f t="shared" ref="F63:G63" si="61">AVERAGE(D59:D67)</f>
        <v>0.51256774630081248</v>
      </c>
      <c r="G63" s="52">
        <f t="shared" si="61"/>
        <v>0.46512457230203264</v>
      </c>
      <c r="H63" s="52">
        <f t="shared" si="3"/>
        <v>0.4540332520383471</v>
      </c>
      <c r="I63" s="52">
        <f t="shared" si="4"/>
        <v>0.35877523054004146</v>
      </c>
      <c r="J63" s="52">
        <f t="shared" ca="1" si="5"/>
        <v>-0.39276164499218613</v>
      </c>
      <c r="K63" s="52">
        <f t="shared" ca="1" si="45"/>
        <v>0.59922170171399902</v>
      </c>
      <c r="L63" s="12">
        <f t="shared" ca="1" si="6"/>
        <v>4.803619177503907</v>
      </c>
      <c r="M63" s="12">
        <f t="shared" ca="1" si="7"/>
        <v>14.097275955998997</v>
      </c>
      <c r="N63" s="12">
        <f t="shared" ca="1" si="8"/>
        <v>14.097275955998997</v>
      </c>
      <c r="O63" s="12">
        <f t="shared" ca="1" si="46"/>
        <v>121.95098204803331</v>
      </c>
      <c r="P63" s="12"/>
      <c r="Q63" s="12"/>
      <c r="R63" s="12"/>
      <c r="S63" s="12"/>
      <c r="T63" s="1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1"/>
      <c r="AT63" s="1"/>
    </row>
    <row r="64" spans="1:46" s="9" customFormat="1">
      <c r="A64" s="1"/>
      <c r="B64" s="40"/>
      <c r="C64" s="52">
        <f t="shared" si="11"/>
        <v>12.25</v>
      </c>
      <c r="D64" s="52">
        <v>0.48357673463732642</v>
      </c>
      <c r="E64" s="52">
        <v>0.75931092162397829</v>
      </c>
      <c r="F64" s="52">
        <f t="shared" ref="F64:G64" si="62">AVERAGE(D60:D68)</f>
        <v>0.55953218942947991</v>
      </c>
      <c r="G64" s="52">
        <f t="shared" si="62"/>
        <v>0.42083350292383837</v>
      </c>
      <c r="H64" s="52">
        <f t="shared" si="3"/>
        <v>0.59190622752679933</v>
      </c>
      <c r="I64" s="52">
        <f t="shared" si="4"/>
        <v>0.24569255850090882</v>
      </c>
      <c r="J64" s="52">
        <f t="shared" ca="1" si="5"/>
        <v>0.19781443548452302</v>
      </c>
      <c r="K64" s="52">
        <f t="shared" ca="1" si="45"/>
        <v>-6.3416043753452569E-2</v>
      </c>
      <c r="L64" s="12">
        <f t="shared" ca="1" si="6"/>
        <v>5.0989072177422612</v>
      </c>
      <c r="M64" s="12">
        <f t="shared" ca="1" si="7"/>
        <v>11.778043846862916</v>
      </c>
      <c r="N64" s="12">
        <f t="shared" ca="1" si="8"/>
        <v>11.778043846862916</v>
      </c>
      <c r="O64" s="12">
        <f t="shared" ca="1" si="46"/>
        <v>163.8427649693314</v>
      </c>
      <c r="P64" s="12"/>
      <c r="Q64" s="12"/>
      <c r="R64" s="12"/>
      <c r="S64" s="12"/>
      <c r="T64" s="1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1"/>
      <c r="AT64" s="1"/>
    </row>
    <row r="65" spans="1:46" s="9" customFormat="1">
      <c r="A65" s="1"/>
      <c r="B65" s="40"/>
      <c r="C65" s="52">
        <f t="shared" si="11"/>
        <v>12.5</v>
      </c>
      <c r="D65" s="52">
        <v>6.2634391808013556E-2</v>
      </c>
      <c r="E65" s="52">
        <v>0.12348611081550886</v>
      </c>
      <c r="F65" s="52">
        <f t="shared" ref="F65:G65" si="63">AVERAGE(D61:D69)</f>
        <v>0.51102373353599773</v>
      </c>
      <c r="G65" s="52">
        <f t="shared" si="63"/>
        <v>0.32460314368273324</v>
      </c>
      <c r="H65" s="52">
        <f t="shared" si="3"/>
        <v>0.44950051152455145</v>
      </c>
      <c r="I65" s="52">
        <f t="shared" si="4"/>
        <v>0</v>
      </c>
      <c r="J65" s="52">
        <f t="shared" ca="1" si="5"/>
        <v>-0.79863143999965069</v>
      </c>
      <c r="K65" s="52">
        <f t="shared" ca="1" si="45"/>
        <v>-0.8180748738591157</v>
      </c>
      <c r="L65" s="12">
        <f t="shared" ca="1" si="6"/>
        <v>4.6006842800001744</v>
      </c>
      <c r="M65" s="12">
        <f t="shared" ca="1" si="7"/>
        <v>9.1367379414930951</v>
      </c>
      <c r="N65" s="12">
        <f t="shared" ca="1" si="8"/>
        <v>9.1367379414930951</v>
      </c>
      <c r="O65" s="12">
        <f t="shared" ca="1" si="46"/>
        <v>99.552414065996231</v>
      </c>
      <c r="P65" s="12"/>
      <c r="Q65" s="12"/>
      <c r="R65" s="12"/>
      <c r="S65" s="12"/>
      <c r="T65" s="1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1"/>
      <c r="AT65" s="1"/>
    </row>
    <row r="66" spans="1:46" s="9" customFormat="1">
      <c r="A66" s="1"/>
      <c r="B66" s="40"/>
      <c r="C66" s="52">
        <f t="shared" si="11"/>
        <v>12.75</v>
      </c>
      <c r="D66" s="52">
        <v>0.91526688653787136</v>
      </c>
      <c r="E66" s="52">
        <v>0.45724176104713765</v>
      </c>
      <c r="F66" s="52">
        <f t="shared" ref="F66:G66" si="64">AVERAGE(D62:D70)</f>
        <v>0.50583712124832036</v>
      </c>
      <c r="G66" s="52">
        <f t="shared" si="64"/>
        <v>0.36285817208458138</v>
      </c>
      <c r="H66" s="52">
        <f t="shared" si="3"/>
        <v>0.43427423349016875</v>
      </c>
      <c r="I66" s="52">
        <f t="shared" si="4"/>
        <v>9.7671627516487516E-2</v>
      </c>
      <c r="J66" s="52">
        <f t="shared" ca="1" si="5"/>
        <v>0.88426073198207067</v>
      </c>
      <c r="K66" s="52">
        <f t="shared" ca="1" si="45"/>
        <v>0.23448525196992981</v>
      </c>
      <c r="L66" s="12">
        <f t="shared" ca="1" si="6"/>
        <v>5.4421303659910354</v>
      </c>
      <c r="M66" s="12">
        <f t="shared" ca="1" si="7"/>
        <v>12.820698381894754</v>
      </c>
      <c r="N66" s="12">
        <f t="shared" ca="1" si="8"/>
        <v>12.820698381894754</v>
      </c>
      <c r="O66" s="12">
        <f t="shared" ca="1" si="46"/>
        <v>230.93363294895607</v>
      </c>
      <c r="P66" s="12"/>
      <c r="Q66" s="12"/>
      <c r="R66" s="12"/>
      <c r="S66" s="12"/>
      <c r="T66" s="1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1"/>
      <c r="AT66" s="1"/>
    </row>
    <row r="67" spans="1:46" s="9" customFormat="1">
      <c r="A67" s="1"/>
      <c r="B67" s="40"/>
      <c r="C67" s="52">
        <f t="shared" si="11"/>
        <v>13</v>
      </c>
      <c r="D67" s="52">
        <v>0.59169269645931921</v>
      </c>
      <c r="E67" s="52">
        <v>0.35279263595987909</v>
      </c>
      <c r="F67" s="52">
        <f t="shared" ref="F67:G67" si="65">AVERAGE(D63:D71)</f>
        <v>0.53574347251417076</v>
      </c>
      <c r="G67" s="52">
        <f t="shared" si="65"/>
        <v>0.36467486551236533</v>
      </c>
      <c r="H67" s="52">
        <f t="shared" si="3"/>
        <v>0.52206996490615043</v>
      </c>
      <c r="I67" s="52">
        <f t="shared" si="4"/>
        <v>0.10230995641605757</v>
      </c>
      <c r="J67" s="52">
        <f t="shared" ca="1" si="5"/>
        <v>-0.13642340075239384</v>
      </c>
      <c r="K67" s="52">
        <f t="shared" ca="1" si="45"/>
        <v>-0.4824796138215442</v>
      </c>
      <c r="L67" s="12">
        <f t="shared" ca="1" si="6"/>
        <v>4.9317882996238032</v>
      </c>
      <c r="M67" s="12">
        <f t="shared" ca="1" si="7"/>
        <v>10.311321351624596</v>
      </c>
      <c r="N67" s="12">
        <f t="shared" ca="1" si="8"/>
        <v>10.311321351624596</v>
      </c>
      <c r="O67" s="12">
        <f t="shared" ca="1" si="46"/>
        <v>138.62719777169397</v>
      </c>
      <c r="P67" s="12"/>
      <c r="Q67" s="12"/>
      <c r="R67" s="12"/>
      <c r="S67" s="12"/>
      <c r="T67" s="1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1"/>
      <c r="AT67" s="1"/>
    </row>
    <row r="68" spans="1:46" s="9" customFormat="1">
      <c r="A68" s="1"/>
      <c r="B68" s="40"/>
      <c r="C68" s="52">
        <f t="shared" si="11"/>
        <v>13.25</v>
      </c>
      <c r="D68" s="52">
        <v>0.96169805307030298</v>
      </c>
      <c r="E68" s="52">
        <v>1.6439082154917739E-2</v>
      </c>
      <c r="F68" s="52">
        <f t="shared" ref="F68:G68" si="66">AVERAGE(D64:D72)</f>
        <v>0.5437845060662565</v>
      </c>
      <c r="G68" s="52">
        <f t="shared" si="66"/>
        <v>0.38849375241813022</v>
      </c>
      <c r="H68" s="52">
        <f t="shared" si="3"/>
        <v>0.54567593461372732</v>
      </c>
      <c r="I68" s="52">
        <f t="shared" si="4"/>
        <v>0.16312364671787469</v>
      </c>
      <c r="J68" s="52">
        <f t="shared" ca="1" si="5"/>
        <v>-0.50901051076907866</v>
      </c>
      <c r="K68" s="52">
        <f t="shared" ca="1" si="45"/>
        <v>-1.1989817780764727</v>
      </c>
      <c r="L68" s="12">
        <f t="shared" ca="1" si="6"/>
        <v>4.7454947446154607</v>
      </c>
      <c r="M68" s="12">
        <f t="shared" ca="1" si="7"/>
        <v>7.8035637767323456</v>
      </c>
      <c r="N68" s="12">
        <f t="shared" ca="1" si="8"/>
        <v>7.8035637767323456</v>
      </c>
      <c r="O68" s="12">
        <f t="shared" ca="1" si="46"/>
        <v>115.06471907329829</v>
      </c>
      <c r="P68" s="12"/>
      <c r="Q68" s="12"/>
      <c r="R68" s="12"/>
      <c r="S68" s="12"/>
      <c r="T68" s="1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1"/>
      <c r="AT68" s="1"/>
    </row>
    <row r="69" spans="1:46" s="9" customFormat="1">
      <c r="A69" s="1"/>
      <c r="B69" s="40"/>
      <c r="C69" s="52">
        <f t="shared" si="11"/>
        <v>13.5</v>
      </c>
      <c r="D69" s="52">
        <v>0.52721201261165629</v>
      </c>
      <c r="E69" s="52">
        <v>5.2679934608795942E-2</v>
      </c>
      <c r="F69" s="52">
        <f t="shared" ref="F69:G69" si="67">AVERAGE(D65:D73)</f>
        <v>0.55148662654152614</v>
      </c>
      <c r="G69" s="52">
        <f t="shared" si="67"/>
        <v>0.3640425432676101</v>
      </c>
      <c r="H69" s="52">
        <f t="shared" si="3"/>
        <v>0.56828696110001298</v>
      </c>
      <c r="I69" s="52">
        <f t="shared" si="4"/>
        <v>0.10069552962459453</v>
      </c>
      <c r="J69" s="52">
        <f t="shared" ca="1" si="5"/>
        <v>-1.347699982328288</v>
      </c>
      <c r="K69" s="52">
        <f t="shared" ca="1" si="45"/>
        <v>-0.61764880302020808</v>
      </c>
      <c r="L69" s="12">
        <f t="shared" ca="1" si="6"/>
        <v>4.3261500088358558</v>
      </c>
      <c r="M69" s="12">
        <f t="shared" ca="1" si="7"/>
        <v>9.8382291894292706</v>
      </c>
      <c r="N69" s="12">
        <f t="shared" ca="1" si="8"/>
        <v>9.8382291894292706</v>
      </c>
      <c r="O69" s="12">
        <f t="shared" ca="1" si="46"/>
        <v>75.652463854824717</v>
      </c>
      <c r="P69" s="12"/>
      <c r="Q69" s="12"/>
      <c r="R69" s="12"/>
      <c r="S69" s="12"/>
      <c r="T69" s="1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1"/>
      <c r="AT69" s="1"/>
    </row>
    <row r="70" spans="1:46" s="9" customFormat="1">
      <c r="A70" s="1"/>
      <c r="B70" s="40"/>
      <c r="C70" s="52">
        <f t="shared" si="11"/>
        <v>13.75</v>
      </c>
      <c r="D70" s="52">
        <v>8.5295784124605034E-2</v>
      </c>
      <c r="E70" s="52">
        <v>0.69033531260522563</v>
      </c>
      <c r="F70" s="52">
        <f t="shared" ref="F70:G70" si="68">AVERAGE(D66:D74)</f>
        <v>0.6428515694319894</v>
      </c>
      <c r="G70" s="52">
        <f t="shared" si="68"/>
        <v>0.37590418074808762</v>
      </c>
      <c r="H70" s="52">
        <f t="shared" si="3"/>
        <v>0.83650597302632557</v>
      </c>
      <c r="I70" s="52">
        <f t="shared" si="4"/>
        <v>0.13098031795513562</v>
      </c>
      <c r="J70" s="52">
        <f t="shared" ca="1" si="5"/>
        <v>2.4296771809573463</v>
      </c>
      <c r="K70" s="52">
        <f t="shared" ca="1" si="45"/>
        <v>1.8753521354679148</v>
      </c>
      <c r="L70" s="12">
        <f t="shared" ca="1" si="6"/>
        <v>6.2148385904786734</v>
      </c>
      <c r="M70" s="12">
        <f t="shared" ca="1" si="7"/>
        <v>18.563732474137701</v>
      </c>
      <c r="N70" s="12">
        <f t="shared" ca="1" si="8"/>
        <v>18.563732474137701</v>
      </c>
      <c r="O70" s="12">
        <f t="shared" ca="1" si="46"/>
        <v>500.11525931090836</v>
      </c>
      <c r="P70" s="12"/>
      <c r="Q70" s="12"/>
      <c r="R70" s="12"/>
      <c r="S70" s="12"/>
      <c r="T70" s="1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1"/>
      <c r="AT70" s="1"/>
    </row>
    <row r="71" spans="1:46" s="9" customFormat="1">
      <c r="A71" s="1"/>
      <c r="B71" s="40"/>
      <c r="C71" s="52">
        <f t="shared" si="11"/>
        <v>14</v>
      </c>
      <c r="D71" s="52">
        <v>0.97644704825418305</v>
      </c>
      <c r="E71" s="52">
        <v>0.8041357783681321</v>
      </c>
      <c r="F71" s="52">
        <f t="shared" ref="F71:G71" si="69">AVERAGE(D67:D75)</f>
        <v>0.58188030550768355</v>
      </c>
      <c r="G71" s="52">
        <f t="shared" si="69"/>
        <v>0.4351689443619256</v>
      </c>
      <c r="H71" s="52">
        <f t="shared" si="3"/>
        <v>0.65751333484034191</v>
      </c>
      <c r="I71" s="52">
        <f t="shared" si="4"/>
        <v>0.2822933912520259</v>
      </c>
      <c r="J71" s="52">
        <f t="shared" ca="1" si="5"/>
        <v>-0.82225535476508849</v>
      </c>
      <c r="K71" s="52">
        <f t="shared" ca="1" si="45"/>
        <v>-1.3317707661122642</v>
      </c>
      <c r="L71" s="12">
        <f t="shared" ca="1" si="6"/>
        <v>4.5888723226174557</v>
      </c>
      <c r="M71" s="12">
        <f t="shared" ca="1" si="7"/>
        <v>7.3388023186070752</v>
      </c>
      <c r="N71" s="12">
        <f t="shared" ca="1" si="8"/>
        <v>7.3388023186070752</v>
      </c>
      <c r="O71" s="12">
        <f t="shared" ca="1" si="46"/>
        <v>98.38342282274256</v>
      </c>
      <c r="P71" s="12"/>
      <c r="Q71" s="12"/>
      <c r="R71" s="12"/>
      <c r="S71" s="12"/>
      <c r="T71" s="1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1"/>
      <c r="AT71" s="1"/>
    </row>
    <row r="72" spans="1:46" s="9" customFormat="1">
      <c r="A72" s="1"/>
      <c r="B72" s="40"/>
      <c r="C72" s="52">
        <f t="shared" si="11"/>
        <v>14.25</v>
      </c>
      <c r="D72" s="52">
        <v>0.29023694709302994</v>
      </c>
      <c r="E72" s="52">
        <v>0.24002223457959615</v>
      </c>
      <c r="F72" s="52">
        <f t="shared" ref="F72:G72" si="70">AVERAGE(D68:D76)</f>
        <v>0.57076559163497897</v>
      </c>
      <c r="G72" s="52">
        <f t="shared" si="70"/>
        <v>0.47156157007400612</v>
      </c>
      <c r="H72" s="52">
        <f t="shared" si="3"/>
        <v>0.624883997170262</v>
      </c>
      <c r="I72" s="52">
        <f t="shared" si="4"/>
        <v>0.37520998630873098</v>
      </c>
      <c r="J72" s="52">
        <f t="shared" ca="1" si="5"/>
        <v>1.8162443708776115</v>
      </c>
      <c r="K72" s="52">
        <f t="shared" ca="1" si="45"/>
        <v>0.97095799641925695</v>
      </c>
      <c r="L72" s="12">
        <f t="shared" ca="1" si="6"/>
        <v>5.9081221854388062</v>
      </c>
      <c r="M72" s="12">
        <f t="shared" ca="1" si="7"/>
        <v>15.398352987467399</v>
      </c>
      <c r="N72" s="12">
        <f t="shared" ca="1" si="8"/>
        <v>15.398352987467399</v>
      </c>
      <c r="O72" s="12">
        <f t="shared" ca="1" si="46"/>
        <v>368.01444327874185</v>
      </c>
      <c r="P72" s="12"/>
      <c r="Q72" s="12"/>
      <c r="R72" s="12"/>
      <c r="S72" s="12"/>
      <c r="T72" s="1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1"/>
      <c r="AT72" s="1"/>
    </row>
    <row r="73" spans="1:46" s="9" customFormat="1">
      <c r="A73" s="1"/>
      <c r="B73" s="40"/>
      <c r="C73" s="52">
        <f t="shared" si="11"/>
        <v>14.5</v>
      </c>
      <c r="D73" s="52">
        <v>0.55289581891475381</v>
      </c>
      <c r="E73" s="52">
        <v>0.53925003926929815</v>
      </c>
      <c r="F73" s="52">
        <f t="shared" ref="F73:G73" si="71">AVERAGE(D69:D77)</f>
        <v>0.52076516936963035</v>
      </c>
      <c r="G73" s="52">
        <f t="shared" si="71"/>
        <v>0.5341711947980915</v>
      </c>
      <c r="H73" s="52">
        <f t="shared" si="3"/>
        <v>0.47809833265133783</v>
      </c>
      <c r="I73" s="52">
        <f t="shared" si="4"/>
        <v>0.53506306185114783</v>
      </c>
      <c r="J73" s="52">
        <f t="shared" ca="1" si="5"/>
        <v>-0.29609909967738812</v>
      </c>
      <c r="K73" s="52">
        <f t="shared" ca="1" si="45"/>
        <v>-2.2387276748501939E-2</v>
      </c>
      <c r="L73" s="12">
        <f t="shared" ca="1" si="6"/>
        <v>4.851950450161306</v>
      </c>
      <c r="M73" s="12">
        <f t="shared" ca="1" si="7"/>
        <v>11.921644531380243</v>
      </c>
      <c r="N73" s="12">
        <f t="shared" ca="1" si="8"/>
        <v>11.921644531380243</v>
      </c>
      <c r="O73" s="12">
        <f t="shared" ca="1" si="46"/>
        <v>127.98978424662043</v>
      </c>
      <c r="P73" s="12"/>
      <c r="Q73" s="12"/>
      <c r="R73" s="12"/>
      <c r="S73" s="12"/>
      <c r="T73" s="1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1"/>
      <c r="AT73" s="1"/>
    </row>
    <row r="74" spans="1:46" s="9" customFormat="1">
      <c r="A74" s="1"/>
      <c r="B74" s="40"/>
      <c r="C74" s="52">
        <f t="shared" si="11"/>
        <v>14.75</v>
      </c>
      <c r="D74" s="52">
        <v>0.88491887782218204</v>
      </c>
      <c r="E74" s="52">
        <v>0.23024084813980683</v>
      </c>
      <c r="F74" s="52">
        <f t="shared" ref="F74:G74" si="72">AVERAGE(D70:D78)</f>
        <v>0.50846170425909742</v>
      </c>
      <c r="G74" s="52">
        <f t="shared" si="72"/>
        <v>0.60370440938071768</v>
      </c>
      <c r="H74" s="52">
        <f t="shared" si="3"/>
        <v>0.44197919164587168</v>
      </c>
      <c r="I74" s="52">
        <f t="shared" si="4"/>
        <v>0.71259324594611417</v>
      </c>
      <c r="J74" s="52">
        <f t="shared" ca="1" si="5"/>
        <v>0.39145259350574069</v>
      </c>
      <c r="K74" s="52">
        <f t="shared" ca="1" si="45"/>
        <v>0.85292298524684895</v>
      </c>
      <c r="L74" s="12">
        <f t="shared" ca="1" si="6"/>
        <v>5.1957262967528699</v>
      </c>
      <c r="M74" s="12">
        <f t="shared" ca="1" si="7"/>
        <v>14.985230448363971</v>
      </c>
      <c r="N74" s="12">
        <f t="shared" ca="1" si="8"/>
        <v>14.985230448363971</v>
      </c>
      <c r="O74" s="12">
        <f t="shared" ca="1" si="46"/>
        <v>180.49919117769031</v>
      </c>
      <c r="P74" s="12"/>
      <c r="Q74" s="12"/>
      <c r="R74" s="12"/>
      <c r="S74" s="12"/>
      <c r="T74" s="1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1"/>
      <c r="AT74" s="1"/>
    </row>
    <row r="75" spans="1:46" s="9" customFormat="1">
      <c r="A75" s="1"/>
      <c r="B75" s="40"/>
      <c r="C75" s="52">
        <f t="shared" si="11"/>
        <v>15</v>
      </c>
      <c r="D75" s="52">
        <v>0.3665255112191188</v>
      </c>
      <c r="E75" s="52">
        <v>0.99062463357167874</v>
      </c>
      <c r="F75" s="52">
        <f t="shared" ref="F75:G75" si="73">AVERAGE(D71:D79)</f>
        <v>0.58436288776937062</v>
      </c>
      <c r="G75" s="52">
        <f t="shared" si="73"/>
        <v>0.5471801859598705</v>
      </c>
      <c r="H75" s="52">
        <f t="shared" si="3"/>
        <v>0.66480142303029255</v>
      </c>
      <c r="I75" s="52">
        <f t="shared" si="4"/>
        <v>0.56827724027944493</v>
      </c>
      <c r="J75" s="52">
        <f t="shared" ca="1" si="5"/>
        <v>-0.49069181870295303</v>
      </c>
      <c r="K75" s="52">
        <f t="shared" ca="1" si="45"/>
        <v>-0.99546532062086812</v>
      </c>
      <c r="L75" s="12">
        <f t="shared" ca="1" si="6"/>
        <v>4.7546540906485237</v>
      </c>
      <c r="M75" s="12">
        <f t="shared" ca="1" si="7"/>
        <v>8.5158713778269615</v>
      </c>
      <c r="N75" s="12">
        <f t="shared" ca="1" si="8"/>
        <v>8.5158713778269615</v>
      </c>
      <c r="O75" s="12">
        <f t="shared" ca="1" si="46"/>
        <v>116.1234780193477</v>
      </c>
      <c r="P75" s="12"/>
      <c r="Q75" s="12"/>
      <c r="R75" s="12"/>
      <c r="S75" s="12"/>
      <c r="T75" s="1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1"/>
      <c r="AT75" s="1"/>
    </row>
    <row r="76" spans="1:46" s="9" customFormat="1">
      <c r="A76" s="1"/>
      <c r="B76" s="40"/>
      <c r="C76" s="52">
        <f t="shared" si="11"/>
        <v>15.25</v>
      </c>
      <c r="D76" s="52">
        <v>0.49166027160497916</v>
      </c>
      <c r="E76" s="52">
        <v>0.68032626736860435</v>
      </c>
      <c r="F76" s="52">
        <f t="shared" ref="F76:G76" si="74">AVERAGE(D72:D80)</f>
        <v>0.55452231294901488</v>
      </c>
      <c r="G76" s="52">
        <f t="shared" si="74"/>
        <v>0.53765813886651437</v>
      </c>
      <c r="H76" s="52">
        <f t="shared" si="3"/>
        <v>0.57719879076876179</v>
      </c>
      <c r="I76" s="52">
        <f t="shared" si="4"/>
        <v>0.54396582617912759</v>
      </c>
      <c r="J76" s="52">
        <f t="shared" ca="1" si="5"/>
        <v>0.32994001686697838</v>
      </c>
      <c r="K76" s="52">
        <f t="shared" ca="1" si="45"/>
        <v>0.45001361064426137</v>
      </c>
      <c r="L76" s="12">
        <f t="shared" ca="1" si="6"/>
        <v>5.1649700084334889</v>
      </c>
      <c r="M76" s="12">
        <f t="shared" ca="1" si="7"/>
        <v>13.575047637254915</v>
      </c>
      <c r="N76" s="12">
        <f t="shared" ca="1" si="8"/>
        <v>13.575047637254915</v>
      </c>
      <c r="O76" s="12">
        <f t="shared" ca="1" si="46"/>
        <v>175.03220900293871</v>
      </c>
      <c r="P76" s="12"/>
      <c r="Q76" s="12"/>
      <c r="R76" s="12"/>
      <c r="S76" s="12"/>
      <c r="T76" s="1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1"/>
      <c r="AT76" s="1"/>
    </row>
    <row r="77" spans="1:46" s="9" customFormat="1">
      <c r="A77" s="1"/>
      <c r="B77" s="40"/>
      <c r="C77" s="52">
        <f t="shared" si="11"/>
        <v>15.5</v>
      </c>
      <c r="D77" s="52">
        <v>0.51169425268216562</v>
      </c>
      <c r="E77" s="52">
        <v>0.5799257046716858</v>
      </c>
      <c r="F77" s="52">
        <f t="shared" ref="F77:G77" si="75">AVERAGE(D73:D81)</f>
        <v>0.60235594838953377</v>
      </c>
      <c r="G77" s="52">
        <f t="shared" si="75"/>
        <v>0.56988746238899546</v>
      </c>
      <c r="H77" s="52">
        <f t="shared" si="3"/>
        <v>0.71762344412930812</v>
      </c>
      <c r="I77" s="52">
        <f t="shared" si="4"/>
        <v>0.62625279899559694</v>
      </c>
      <c r="J77" s="52">
        <f t="shared" ca="1" si="5"/>
        <v>-1.2621323903841168</v>
      </c>
      <c r="K77" s="52">
        <f t="shared" ca="1" si="45"/>
        <v>-0.47992758277293929</v>
      </c>
      <c r="L77" s="12">
        <f t="shared" ca="1" si="6"/>
        <v>4.3689338048079414</v>
      </c>
      <c r="M77" s="12">
        <f t="shared" ca="1" si="7"/>
        <v>10.320253460294712</v>
      </c>
      <c r="N77" s="12">
        <f t="shared" ca="1" si="8"/>
        <v>10.320253460294712</v>
      </c>
      <c r="O77" s="12">
        <f t="shared" ca="1" si="46"/>
        <v>78.959400670821751</v>
      </c>
      <c r="P77" s="12"/>
      <c r="Q77" s="12"/>
      <c r="R77" s="12"/>
      <c r="S77" s="12"/>
      <c r="T77" s="1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1"/>
      <c r="AT77" s="1"/>
    </row>
    <row r="78" spans="1:46" s="9" customFormat="1">
      <c r="A78" s="1"/>
      <c r="B78" s="40"/>
      <c r="C78" s="52">
        <f t="shared" si="11"/>
        <v>15.75</v>
      </c>
      <c r="D78" s="52">
        <v>0.41648082661686014</v>
      </c>
      <c r="E78" s="52">
        <v>0.67847886585243167</v>
      </c>
      <c r="F78" s="52">
        <f t="shared" ref="F78:G78" si="76">AVERAGE(D74:D82)</f>
        <v>0.63660366357110465</v>
      </c>
      <c r="G78" s="52">
        <f t="shared" si="76"/>
        <v>0.51284998363433931</v>
      </c>
      <c r="H78" s="52">
        <f t="shared" si="3"/>
        <v>0.81816406765651384</v>
      </c>
      <c r="I78" s="52">
        <f t="shared" si="4"/>
        <v>0.48062636471656223</v>
      </c>
      <c r="J78" s="52">
        <f t="shared" ca="1" si="5"/>
        <v>-0.23517802197230647</v>
      </c>
      <c r="K78" s="52">
        <f t="shared" ca="1" si="45"/>
        <v>-0.253832342595605</v>
      </c>
      <c r="L78" s="12">
        <f t="shared" ca="1" si="6"/>
        <v>4.882410989013847</v>
      </c>
      <c r="M78" s="12">
        <f t="shared" ca="1" si="7"/>
        <v>11.111586800915383</v>
      </c>
      <c r="N78" s="12">
        <f t="shared" ca="1" si="8"/>
        <v>11.111586800915383</v>
      </c>
      <c r="O78" s="12">
        <f t="shared" ca="1" si="46"/>
        <v>131.94840685383039</v>
      </c>
      <c r="P78" s="12"/>
      <c r="Q78" s="12"/>
      <c r="R78" s="12"/>
      <c r="S78" s="12"/>
      <c r="T78" s="1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1"/>
      <c r="AT78" s="1"/>
    </row>
    <row r="79" spans="1:46" s="9" customFormat="1">
      <c r="A79" s="1"/>
      <c r="B79" s="40"/>
      <c r="C79" s="52">
        <f t="shared" si="11"/>
        <v>16</v>
      </c>
      <c r="D79" s="52">
        <v>0.76840643571706313</v>
      </c>
      <c r="E79" s="52">
        <v>0.18161730181760116</v>
      </c>
      <c r="F79" s="52">
        <f t="shared" ref="F79:G79" si="77">AVERAGE(D75:D83)</f>
        <v>0.56357781911867155</v>
      </c>
      <c r="G79" s="52">
        <f t="shared" si="77"/>
        <v>0.53267143385150362</v>
      </c>
      <c r="H79" s="52">
        <f t="shared" si="3"/>
        <v>0.60378293607085953</v>
      </c>
      <c r="I79" s="52">
        <f t="shared" si="4"/>
        <v>0.53123391575824286</v>
      </c>
      <c r="J79" s="52">
        <f t="shared" ca="1" si="5"/>
        <v>0.4102817938865892</v>
      </c>
      <c r="K79" s="52">
        <f t="shared" ca="1" si="45"/>
        <v>0.82176029541702145</v>
      </c>
      <c r="L79" s="12">
        <f t="shared" ca="1" si="6"/>
        <v>5.2051408969432948</v>
      </c>
      <c r="M79" s="12">
        <f t="shared" ca="1" si="7"/>
        <v>14.876161033959574</v>
      </c>
      <c r="N79" s="12">
        <f t="shared" ca="1" si="8"/>
        <v>14.876161033959574</v>
      </c>
      <c r="O79" s="12">
        <f t="shared" ca="1" si="46"/>
        <v>182.20654330528828</v>
      </c>
      <c r="P79" s="12"/>
      <c r="Q79" s="12"/>
      <c r="R79" s="12"/>
      <c r="S79" s="12"/>
      <c r="T79" s="1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1"/>
      <c r="AT79" s="1"/>
    </row>
    <row r="80" spans="1:46" s="9" customFormat="1">
      <c r="A80" s="1"/>
      <c r="B80" s="40"/>
      <c r="C80" s="52">
        <f t="shared" si="11"/>
        <v>16.25</v>
      </c>
      <c r="D80" s="52">
        <v>0.70788187487098087</v>
      </c>
      <c r="E80" s="52">
        <v>0.71843735452792656</v>
      </c>
      <c r="F80" s="52">
        <f t="shared" ref="F80:G80" si="78">AVERAGE(D76:D84)</f>
        <v>0.56864356735432642</v>
      </c>
      <c r="G80" s="52">
        <f t="shared" si="78"/>
        <v>0.49960931730022534</v>
      </c>
      <c r="H80" s="52">
        <f t="shared" si="3"/>
        <v>0.61865439489794793</v>
      </c>
      <c r="I80" s="52">
        <f t="shared" si="4"/>
        <v>0.44682067996654912</v>
      </c>
      <c r="J80" s="52">
        <f t="shared" ca="1" si="5"/>
        <v>0.2353785506460917</v>
      </c>
      <c r="K80" s="52">
        <f t="shared" ref="K80:K111" ca="1" si="79">_xlfn.NORM.INV(RAND(),$K$10+$K$12*($K$11/$K$8)*(J80-$K$7),SQRT($K$12*$K$8*$K$11))</f>
        <v>0.46068735176072773</v>
      </c>
      <c r="L80" s="12">
        <f t="shared" ca="1" si="6"/>
        <v>5.1176892753230456</v>
      </c>
      <c r="M80" s="12">
        <f t="shared" ca="1" si="7"/>
        <v>13.612405731162546</v>
      </c>
      <c r="N80" s="12">
        <f t="shared" ca="1" si="8"/>
        <v>13.612405731162546</v>
      </c>
      <c r="O80" s="12">
        <f t="shared" ca="1" si="46"/>
        <v>166.94915004859172</v>
      </c>
      <c r="P80" s="12"/>
      <c r="Q80" s="12"/>
      <c r="R80" s="12"/>
      <c r="S80" s="12"/>
      <c r="T80" s="1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1"/>
      <c r="AT80" s="1"/>
    </row>
    <row r="81" spans="1:46" s="9" customFormat="1">
      <c r="A81" s="1"/>
      <c r="B81" s="40"/>
      <c r="C81" s="52">
        <f t="shared" si="11"/>
        <v>16.5</v>
      </c>
      <c r="D81" s="52">
        <v>0.72073966605769979</v>
      </c>
      <c r="E81" s="52">
        <v>0.53008614628192541</v>
      </c>
      <c r="F81" s="52">
        <f t="shared" ref="F81:G81" si="80">AVERAGE(D77:D85)</f>
        <v>0.57188431596581812</v>
      </c>
      <c r="G81" s="52">
        <f t="shared" si="80"/>
        <v>0.47665056192026928</v>
      </c>
      <c r="H81" s="52">
        <f t="shared" ref="H81:H120" si="81">(F81-$G$7)/($G$8-$G$7)</f>
        <v>0.62816822332027822</v>
      </c>
      <c r="I81" s="52">
        <f t="shared" ref="I81:I120" si="82">(G81-$G$10)/($G$11-$G$10)</f>
        <v>0.38820305249656428</v>
      </c>
      <c r="J81" s="52">
        <f t="shared" ref="J81:J120" ca="1" si="83">_xlfn.NORM.INV(RAND(),$K$7,$K$8)</f>
        <v>-0.97424527732020294</v>
      </c>
      <c r="K81" s="52">
        <f t="shared" ca="1" si="79"/>
        <v>0.90919805692741873</v>
      </c>
      <c r="L81" s="12">
        <f t="shared" ref="L81:L120" ca="1" si="84">J81*$M$8+$M$7</f>
        <v>4.5128773613398989</v>
      </c>
      <c r="M81" s="12">
        <f t="shared" ref="M81:M120" ca="1" si="85">K81*$M$11+$M$10</f>
        <v>15.182193199245965</v>
      </c>
      <c r="N81" s="12">
        <f t="shared" ref="N81:N120" ca="1" si="86">IF(M81&lt;0,0,M81)</f>
        <v>15.182193199245965</v>
      </c>
      <c r="O81" s="12">
        <f t="shared" ref="O81:O120" ca="1" si="87">EXP(L81)</f>
        <v>91.183810177655303</v>
      </c>
      <c r="P81" s="12"/>
      <c r="Q81" s="12"/>
      <c r="R81" s="12"/>
      <c r="S81" s="12"/>
      <c r="T81" s="1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1"/>
      <c r="AT81" s="1"/>
    </row>
    <row r="82" spans="1:46" s="9" customFormat="1">
      <c r="A82" s="1"/>
      <c r="B82" s="40"/>
      <c r="C82" s="52">
        <f t="shared" ref="C82:C119" si="88">C81+0.25</f>
        <v>16.75</v>
      </c>
      <c r="D82" s="52">
        <v>0.86112525554889296</v>
      </c>
      <c r="E82" s="52">
        <v>2.5912730477392953E-2</v>
      </c>
      <c r="F82" s="52">
        <f t="shared" ref="F82:G82" si="89">AVERAGE(D78:D86)</f>
        <v>0.58373168284913257</v>
      </c>
      <c r="G82" s="52">
        <f t="shared" si="89"/>
        <v>0.42603181243704724</v>
      </c>
      <c r="H82" s="52">
        <f t="shared" si="81"/>
        <v>0.66294840200632876</v>
      </c>
      <c r="I82" s="52">
        <f t="shared" si="82"/>
        <v>0.25896473138119408</v>
      </c>
      <c r="J82" s="52">
        <f t="shared" ca="1" si="83"/>
        <v>-0.88042052944123805</v>
      </c>
      <c r="K82" s="52">
        <f t="shared" ca="1" si="79"/>
        <v>-0.62418938251420841</v>
      </c>
      <c r="L82" s="12">
        <f t="shared" ca="1" si="84"/>
        <v>4.5597897352793808</v>
      </c>
      <c r="M82" s="12">
        <f t="shared" ca="1" si="85"/>
        <v>9.8153371612002704</v>
      </c>
      <c r="N82" s="12">
        <f t="shared" ca="1" si="86"/>
        <v>9.8153371612002704</v>
      </c>
      <c r="O82" s="12">
        <f t="shared" ca="1" si="87"/>
        <v>95.563384109168609</v>
      </c>
      <c r="P82" s="12"/>
      <c r="Q82" s="12"/>
      <c r="R82" s="12"/>
      <c r="S82" s="12"/>
      <c r="T82" s="1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1"/>
      <c r="AT82" s="1"/>
    </row>
    <row r="83" spans="1:46" s="9" customFormat="1">
      <c r="A83" s="1"/>
      <c r="B83" s="40"/>
      <c r="C83" s="52">
        <f t="shared" si="88"/>
        <v>17</v>
      </c>
      <c r="D83" s="52">
        <v>0.22768627775028361</v>
      </c>
      <c r="E83" s="52">
        <v>0.40863390009428602</v>
      </c>
      <c r="F83" s="52">
        <f t="shared" ref="F83:G83" si="90">AVERAGE(D79:D87)</f>
        <v>0.57918441232782902</v>
      </c>
      <c r="G83" s="52">
        <f t="shared" si="90"/>
        <v>0.4380269610303909</v>
      </c>
      <c r="H83" s="52">
        <f t="shared" si="81"/>
        <v>0.64959903224151727</v>
      </c>
      <c r="I83" s="52">
        <f t="shared" si="82"/>
        <v>0.28959039640768719</v>
      </c>
      <c r="J83" s="52">
        <f t="shared" ca="1" si="83"/>
        <v>0.67029128984037745</v>
      </c>
      <c r="K83" s="52">
        <f t="shared" ca="1" si="79"/>
        <v>-0.22091271984579514</v>
      </c>
      <c r="L83" s="12">
        <f t="shared" ca="1" si="84"/>
        <v>5.3351456449201891</v>
      </c>
      <c r="M83" s="12">
        <f t="shared" ca="1" si="85"/>
        <v>11.226805480539717</v>
      </c>
      <c r="N83" s="12">
        <f t="shared" ca="1" si="86"/>
        <v>11.226805480539717</v>
      </c>
      <c r="O83" s="12">
        <f t="shared" ca="1" si="87"/>
        <v>207.50296836048949</v>
      </c>
      <c r="P83" s="12"/>
      <c r="Q83" s="12"/>
      <c r="R83" s="12"/>
      <c r="S83" s="12"/>
      <c r="T83" s="1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1"/>
      <c r="AT83" s="1"/>
    </row>
    <row r="84" spans="1:46" s="9" customFormat="1">
      <c r="A84" s="1"/>
      <c r="B84" s="40"/>
      <c r="C84" s="52">
        <f t="shared" si="88"/>
        <v>17.25</v>
      </c>
      <c r="D84" s="52">
        <v>0.4121172453400137</v>
      </c>
      <c r="E84" s="52">
        <v>0.69306558461017354</v>
      </c>
      <c r="F84" s="52">
        <f t="shared" ref="F84:G84" si="91">AVERAGE(D80:D88)</f>
        <v>0.58521284520927452</v>
      </c>
      <c r="G84" s="52">
        <f t="shared" si="91"/>
        <v>0.44214739335603631</v>
      </c>
      <c r="H84" s="52">
        <f t="shared" si="81"/>
        <v>0.66729663331005773</v>
      </c>
      <c r="I84" s="52">
        <f t="shared" si="82"/>
        <v>0.3001105645562982</v>
      </c>
      <c r="J84" s="52">
        <f t="shared" ca="1" si="83"/>
        <v>1.68495962204983</v>
      </c>
      <c r="K84" s="52">
        <f t="shared" ca="1" si="79"/>
        <v>0.87926582938664155</v>
      </c>
      <c r="L84" s="12">
        <f t="shared" ca="1" si="84"/>
        <v>5.8424798110249148</v>
      </c>
      <c r="M84" s="12">
        <f t="shared" ca="1" si="85"/>
        <v>15.077430402853246</v>
      </c>
      <c r="N84" s="12">
        <f t="shared" ca="1" si="86"/>
        <v>15.077430402853246</v>
      </c>
      <c r="O84" s="12">
        <f t="shared" ca="1" si="87"/>
        <v>344.6329063674911</v>
      </c>
      <c r="P84" s="12"/>
      <c r="Q84" s="12"/>
      <c r="R84" s="12"/>
      <c r="S84" s="12"/>
      <c r="T84" s="1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1"/>
      <c r="AT84" s="1"/>
    </row>
    <row r="85" spans="1:46" s="9" customFormat="1">
      <c r="A85" s="1"/>
      <c r="B85" s="40"/>
      <c r="C85" s="52">
        <f t="shared" si="88"/>
        <v>17.5</v>
      </c>
      <c r="D85" s="52">
        <v>0.52082700910840285</v>
      </c>
      <c r="E85" s="52">
        <v>0.47369746894899989</v>
      </c>
      <c r="F85" s="52">
        <f t="shared" ref="F85:G85" si="92">AVERAGE(D81:D89)</f>
        <v>0.57900997845478486</v>
      </c>
      <c r="G85" s="52">
        <f t="shared" si="92"/>
        <v>0.36925038551902634</v>
      </c>
      <c r="H85" s="52">
        <f t="shared" si="81"/>
        <v>0.64908694872683181</v>
      </c>
      <c r="I85" s="52">
        <f t="shared" si="82"/>
        <v>0.1139920412152219</v>
      </c>
      <c r="J85" s="52">
        <f t="shared" ca="1" si="83"/>
        <v>-0.78389810541168647</v>
      </c>
      <c r="K85" s="52">
        <f t="shared" ca="1" si="79"/>
        <v>-1.4174661370934944</v>
      </c>
      <c r="L85" s="12">
        <f t="shared" ca="1" si="84"/>
        <v>4.6080509472941564</v>
      </c>
      <c r="M85" s="12">
        <f t="shared" ca="1" si="85"/>
        <v>7.0388685201727696</v>
      </c>
      <c r="N85" s="12">
        <f t="shared" ca="1" si="86"/>
        <v>7.0388685201727696</v>
      </c>
      <c r="O85" s="12">
        <f t="shared" ca="1" si="87"/>
        <v>100.28849146862576</v>
      </c>
      <c r="P85" s="12"/>
      <c r="Q85" s="12"/>
      <c r="R85" s="12"/>
      <c r="S85" s="12"/>
      <c r="T85" s="1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1"/>
      <c r="AT85" s="1"/>
    </row>
    <row r="86" spans="1:46" s="9" customFormat="1">
      <c r="A86" s="1"/>
      <c r="B86" s="40"/>
      <c r="C86" s="52">
        <f t="shared" si="88"/>
        <v>17.75</v>
      </c>
      <c r="D86" s="52">
        <v>0.61832055463199598</v>
      </c>
      <c r="E86" s="52">
        <v>0.12435695932268764</v>
      </c>
      <c r="F86" s="52">
        <f t="shared" ref="F86:G86" si="93">AVERAGE(D82:D90)</f>
        <v>0.61001433290787965</v>
      </c>
      <c r="G86" s="52">
        <f t="shared" si="93"/>
        <v>0.40112284158297012</v>
      </c>
      <c r="H86" s="52">
        <f t="shared" si="81"/>
        <v>0.7401060754699218</v>
      </c>
      <c r="I86" s="52">
        <f t="shared" si="82"/>
        <v>0.19536787040066667</v>
      </c>
      <c r="J86" s="52">
        <f t="shared" ca="1" si="83"/>
        <v>1.4835566532780282</v>
      </c>
      <c r="K86" s="52">
        <f t="shared" ca="1" si="79"/>
        <v>1.225247975789352</v>
      </c>
      <c r="L86" s="12">
        <f t="shared" ca="1" si="84"/>
        <v>5.7417783266390146</v>
      </c>
      <c r="M86" s="12">
        <f t="shared" ca="1" si="85"/>
        <v>16.288367915262732</v>
      </c>
      <c r="N86" s="12">
        <f t="shared" ca="1" si="86"/>
        <v>16.288367915262732</v>
      </c>
      <c r="O86" s="12">
        <f t="shared" ca="1" si="87"/>
        <v>311.61807726372837</v>
      </c>
      <c r="P86" s="12"/>
      <c r="Q86" s="12"/>
      <c r="R86" s="12"/>
      <c r="S86" s="12"/>
      <c r="T86" s="1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1"/>
      <c r="AT86" s="1"/>
    </row>
    <row r="87" spans="1:46" s="9" customFormat="1">
      <c r="A87" s="1"/>
      <c r="B87" s="40"/>
      <c r="C87" s="52">
        <f t="shared" si="88"/>
        <v>18</v>
      </c>
      <c r="D87" s="52">
        <v>0.37555539192512932</v>
      </c>
      <c r="E87" s="52">
        <v>0.78643520319252547</v>
      </c>
      <c r="F87" s="52">
        <f t="shared" ref="F87:G87" si="94">AVERAGE(D83:D91)</f>
        <v>0.51463791186874341</v>
      </c>
      <c r="G87" s="52">
        <f t="shared" si="94"/>
        <v>0.4963679772588947</v>
      </c>
      <c r="H87" s="52">
        <f t="shared" si="81"/>
        <v>0.46011061328422453</v>
      </c>
      <c r="I87" s="52">
        <f t="shared" si="82"/>
        <v>0.43854498470773112</v>
      </c>
      <c r="J87" s="52">
        <f t="shared" ca="1" si="83"/>
        <v>0.40591466804695081</v>
      </c>
      <c r="K87" s="52">
        <f t="shared" ca="1" si="79"/>
        <v>-0.17608992224030373</v>
      </c>
      <c r="L87" s="12">
        <f t="shared" ca="1" si="84"/>
        <v>5.2029573340234752</v>
      </c>
      <c r="M87" s="12">
        <f t="shared" ca="1" si="85"/>
        <v>11.383685272158937</v>
      </c>
      <c r="N87" s="12">
        <f t="shared" ca="1" si="86"/>
        <v>11.383685272158937</v>
      </c>
      <c r="O87" s="12">
        <f t="shared" ca="1" si="87"/>
        <v>181.80911791316174</v>
      </c>
      <c r="P87" s="12"/>
      <c r="Q87" s="12"/>
      <c r="R87" s="12"/>
      <c r="S87" s="12"/>
      <c r="T87" s="1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1"/>
      <c r="AT87" s="1"/>
    </row>
    <row r="88" spans="1:46" s="9" customFormat="1">
      <c r="A88" s="1"/>
      <c r="B88" s="40"/>
      <c r="C88" s="52">
        <f t="shared" si="88"/>
        <v>18.25</v>
      </c>
      <c r="D88" s="52">
        <v>0.82266233165007219</v>
      </c>
      <c r="E88" s="52">
        <v>0.21870119274841004</v>
      </c>
      <c r="F88" s="52">
        <f t="shared" ref="F88:G88" si="95">AVERAGE(D84:D92)</f>
        <v>0.50885193161345388</v>
      </c>
      <c r="G88" s="52">
        <f t="shared" si="95"/>
        <v>0.49083351363285022</v>
      </c>
      <c r="H88" s="52">
        <f t="shared" si="81"/>
        <v>0.4431247776015001</v>
      </c>
      <c r="I88" s="52">
        <f t="shared" si="82"/>
        <v>0.42441455290911162</v>
      </c>
      <c r="J88" s="52">
        <f t="shared" ca="1" si="83"/>
        <v>-1.1760077752351532</v>
      </c>
      <c r="K88" s="52">
        <f t="shared" ca="1" si="79"/>
        <v>-1.067531857044568E-2</v>
      </c>
      <c r="L88" s="12">
        <f t="shared" ca="1" si="84"/>
        <v>4.4119961123824236</v>
      </c>
      <c r="M88" s="12">
        <f t="shared" ca="1" si="85"/>
        <v>11.962636385003441</v>
      </c>
      <c r="N88" s="12">
        <f t="shared" ca="1" si="86"/>
        <v>11.962636385003441</v>
      </c>
      <c r="O88" s="12">
        <f t="shared" ca="1" si="87"/>
        <v>82.433846607990674</v>
      </c>
      <c r="P88" s="12"/>
      <c r="Q88" s="12"/>
      <c r="R88" s="12"/>
      <c r="S88" s="12"/>
      <c r="T88" s="1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1"/>
      <c r="AT88" s="1"/>
    </row>
    <row r="89" spans="1:46" s="9" customFormat="1">
      <c r="A89" s="1"/>
      <c r="B89" s="40"/>
      <c r="C89" s="52">
        <f t="shared" si="88"/>
        <v>18.5</v>
      </c>
      <c r="D89" s="52">
        <v>0.65205607408057364</v>
      </c>
      <c r="E89" s="52">
        <v>6.2364283994836289E-2</v>
      </c>
      <c r="F89" s="52">
        <f t="shared" ref="F89:G89" si="96">AVERAGE(D85:D93)</f>
        <v>0.48708782747827684</v>
      </c>
      <c r="G89" s="52">
        <f t="shared" si="96"/>
        <v>0.47837674711382289</v>
      </c>
      <c r="H89" s="52">
        <f t="shared" si="81"/>
        <v>0.37923214743155459</v>
      </c>
      <c r="I89" s="52">
        <f t="shared" si="82"/>
        <v>0.39261029840102946</v>
      </c>
      <c r="J89" s="52">
        <f t="shared" ca="1" si="83"/>
        <v>0.10285072499454927</v>
      </c>
      <c r="K89" s="52">
        <f t="shared" ca="1" si="79"/>
        <v>0.12877240384728036</v>
      </c>
      <c r="L89" s="12">
        <f t="shared" ca="1" si="84"/>
        <v>5.0514253624972749</v>
      </c>
      <c r="M89" s="12">
        <f t="shared" ca="1" si="85"/>
        <v>12.450703413465481</v>
      </c>
      <c r="N89" s="12">
        <f t="shared" ca="1" si="86"/>
        <v>12.450703413465481</v>
      </c>
      <c r="O89" s="12">
        <f t="shared" ca="1" si="87"/>
        <v>156.24501162349955</v>
      </c>
      <c r="P89" s="12"/>
      <c r="Q89" s="12"/>
      <c r="R89" s="12"/>
      <c r="S89" s="12"/>
      <c r="T89" s="1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1"/>
      <c r="AT89" s="1"/>
    </row>
    <row r="90" spans="1:46" s="9" customFormat="1">
      <c r="A90" s="1"/>
      <c r="B90" s="40"/>
      <c r="C90" s="52">
        <f t="shared" si="88"/>
        <v>18.75</v>
      </c>
      <c r="D90" s="52">
        <v>0.99977885613555273</v>
      </c>
      <c r="E90" s="52">
        <v>0.81693825085741945</v>
      </c>
      <c r="F90" s="52">
        <f t="shared" ref="F90:G90" si="97">AVERAGE(D86:D94)</f>
        <v>0.47604321075563294</v>
      </c>
      <c r="G90" s="52">
        <f t="shared" si="97"/>
        <v>0.43024888311634446</v>
      </c>
      <c r="H90" s="52">
        <f t="shared" si="81"/>
        <v>0.34680859315862145</v>
      </c>
      <c r="I90" s="52">
        <f t="shared" si="82"/>
        <v>0.26973163376778647</v>
      </c>
      <c r="J90" s="52">
        <f t="shared" ca="1" si="83"/>
        <v>-0.15502190168176097</v>
      </c>
      <c r="K90" s="52">
        <f t="shared" ca="1" si="79"/>
        <v>0.51137127026121731</v>
      </c>
      <c r="L90" s="12">
        <f t="shared" ca="1" si="84"/>
        <v>4.9224890491591191</v>
      </c>
      <c r="M90" s="12">
        <f t="shared" ca="1" si="85"/>
        <v>13.789799445914261</v>
      </c>
      <c r="N90" s="12">
        <f t="shared" ca="1" si="86"/>
        <v>13.789799445914261</v>
      </c>
      <c r="O90" s="12">
        <f t="shared" ca="1" si="87"/>
        <v>137.34404416859323</v>
      </c>
      <c r="P90" s="12"/>
      <c r="Q90" s="12"/>
      <c r="R90" s="12"/>
      <c r="S90" s="12"/>
      <c r="T90" s="1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1"/>
      <c r="AT90" s="1"/>
    </row>
    <row r="91" spans="1:46" s="9" customFormat="1">
      <c r="A91" s="1"/>
      <c r="B91" s="40"/>
      <c r="C91" s="52">
        <f t="shared" si="88"/>
        <v>19</v>
      </c>
      <c r="D91" s="52">
        <v>2.7374661966667047E-3</v>
      </c>
      <c r="E91" s="52">
        <v>0.88311895156071396</v>
      </c>
      <c r="F91" s="52">
        <f t="shared" ref="F91:G91" si="98">AVERAGE(D87:D95)</f>
        <v>0.47680128920262149</v>
      </c>
      <c r="G91" s="52">
        <f t="shared" si="98"/>
        <v>0.50997253777831131</v>
      </c>
      <c r="H91" s="52">
        <f t="shared" si="81"/>
        <v>0.34903407533571507</v>
      </c>
      <c r="I91" s="52">
        <f t="shared" si="82"/>
        <v>0.47327975352347657</v>
      </c>
      <c r="J91" s="52">
        <f t="shared" ca="1" si="83"/>
        <v>-2.0870735032126175</v>
      </c>
      <c r="K91" s="52">
        <f t="shared" ca="1" si="79"/>
        <v>-2.1889252469452942</v>
      </c>
      <c r="L91" s="12">
        <f t="shared" ca="1" si="84"/>
        <v>3.9564632483936912</v>
      </c>
      <c r="M91" s="12">
        <f t="shared" ca="1" si="85"/>
        <v>4.33876163569147</v>
      </c>
      <c r="N91" s="12">
        <f t="shared" ca="1" si="86"/>
        <v>4.33876163569147</v>
      </c>
      <c r="O91" s="12">
        <f t="shared" ca="1" si="87"/>
        <v>52.272125115010049</v>
      </c>
      <c r="P91" s="12"/>
      <c r="Q91" s="12"/>
      <c r="R91" s="12"/>
      <c r="S91" s="12"/>
      <c r="T91" s="1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1"/>
      <c r="AT91" s="1"/>
    </row>
    <row r="92" spans="1:46" s="9" customFormat="1">
      <c r="A92" s="1"/>
      <c r="B92" s="40"/>
      <c r="C92" s="52">
        <f t="shared" si="88"/>
        <v>19.25</v>
      </c>
      <c r="D92" s="52">
        <v>0.17561245545267756</v>
      </c>
      <c r="E92" s="52">
        <v>0.35882372745988544</v>
      </c>
      <c r="F92" s="52">
        <f t="shared" ref="F92:G92" si="99">AVERAGE(D88:D96)</f>
        <v>0.50182683217698998</v>
      </c>
      <c r="G92" s="52">
        <f t="shared" si="99"/>
        <v>0.44830739201906095</v>
      </c>
      <c r="H92" s="52">
        <f t="shared" si="81"/>
        <v>0.42250127399146148</v>
      </c>
      <c r="I92" s="52">
        <f t="shared" si="82"/>
        <v>0.31583809424460285</v>
      </c>
      <c r="J92" s="52">
        <f t="shared" ca="1" si="83"/>
        <v>1.113301975675365</v>
      </c>
      <c r="K92" s="52">
        <f t="shared" ca="1" si="79"/>
        <v>-1.6490980146396161E-2</v>
      </c>
      <c r="L92" s="12">
        <f t="shared" ca="1" si="84"/>
        <v>5.5566509878376822</v>
      </c>
      <c r="M92" s="12">
        <f t="shared" ca="1" si="85"/>
        <v>11.942281569487614</v>
      </c>
      <c r="N92" s="12">
        <f t="shared" ca="1" si="86"/>
        <v>11.942281569487614</v>
      </c>
      <c r="O92" s="12">
        <f t="shared" ca="1" si="87"/>
        <v>258.95414193003199</v>
      </c>
      <c r="P92" s="12"/>
      <c r="Q92" s="12"/>
      <c r="R92" s="12"/>
      <c r="S92" s="12"/>
      <c r="T92" s="1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1"/>
      <c r="AT92" s="1"/>
    </row>
    <row r="93" spans="1:46" s="9" customFormat="1">
      <c r="A93" s="1"/>
      <c r="B93" s="40"/>
      <c r="C93" s="52">
        <f t="shared" si="88"/>
        <v>19.5</v>
      </c>
      <c r="D93" s="52">
        <v>0.21624030812341966</v>
      </c>
      <c r="E93" s="52">
        <v>0.58095468593892796</v>
      </c>
      <c r="F93" s="52">
        <f t="shared" ref="F93:G93" si="100">AVERAGE(D89:D97)</f>
        <v>0.49967213112635656</v>
      </c>
      <c r="G93" s="52">
        <f t="shared" si="100"/>
        <v>0.47775885748200281</v>
      </c>
      <c r="H93" s="52">
        <f t="shared" si="81"/>
        <v>0.41617574290137627</v>
      </c>
      <c r="I93" s="52">
        <f t="shared" si="82"/>
        <v>0.39103272053776184</v>
      </c>
      <c r="J93" s="52">
        <f t="shared" ca="1" si="83"/>
        <v>-1.3418986475771055</v>
      </c>
      <c r="K93" s="52">
        <f t="shared" ca="1" si="79"/>
        <v>-0.23237180952011705</v>
      </c>
      <c r="L93" s="12">
        <f t="shared" ca="1" si="84"/>
        <v>4.3290506762114473</v>
      </c>
      <c r="M93" s="12">
        <f t="shared" ca="1" si="85"/>
        <v>11.18669866667959</v>
      </c>
      <c r="N93" s="12">
        <f t="shared" ca="1" si="86"/>
        <v>11.18669866667959</v>
      </c>
      <c r="O93" s="12">
        <f t="shared" ca="1" si="87"/>
        <v>75.872225061606144</v>
      </c>
      <c r="P93" s="12"/>
      <c r="Q93" s="12"/>
      <c r="R93" s="12"/>
      <c r="S93" s="12"/>
      <c r="T93" s="1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1"/>
      <c r="AT93" s="1"/>
    </row>
    <row r="94" spans="1:46" s="9" customFormat="1">
      <c r="A94" s="1"/>
      <c r="B94" s="40"/>
      <c r="C94" s="52">
        <f t="shared" si="88"/>
        <v>19.75</v>
      </c>
      <c r="D94" s="52">
        <v>0.42142545860460934</v>
      </c>
      <c r="E94" s="52">
        <v>4.0546692971693776E-2</v>
      </c>
      <c r="F94" s="52">
        <f t="shared" ref="F94:G94" si="101">AVERAGE(D90:D98)</f>
        <v>0.44494451402802748</v>
      </c>
      <c r="G94" s="52">
        <f t="shared" si="101"/>
        <v>0.52728927718567531</v>
      </c>
      <c r="H94" s="52">
        <f t="shared" si="81"/>
        <v>0.25551250688541421</v>
      </c>
      <c r="I94" s="52">
        <f t="shared" si="82"/>
        <v>0.51749234966716229</v>
      </c>
      <c r="J94" s="52">
        <f t="shared" ca="1" si="83"/>
        <v>-1.14522777745858</v>
      </c>
      <c r="K94" s="52">
        <f t="shared" ca="1" si="79"/>
        <v>0.32460592296653745</v>
      </c>
      <c r="L94" s="12">
        <f t="shared" ca="1" si="84"/>
        <v>4.4273861112707102</v>
      </c>
      <c r="M94" s="12">
        <f t="shared" ca="1" si="85"/>
        <v>13.136120730382881</v>
      </c>
      <c r="N94" s="12">
        <f t="shared" ca="1" si="86"/>
        <v>13.136120730382881</v>
      </c>
      <c r="O94" s="12">
        <f t="shared" ca="1" si="87"/>
        <v>83.712316003018785</v>
      </c>
      <c r="P94" s="12"/>
      <c r="Q94" s="12"/>
      <c r="R94" s="12"/>
      <c r="S94" s="12"/>
      <c r="T94" s="1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1"/>
      <c r="AT94" s="1"/>
    </row>
    <row r="95" spans="1:46" s="9" customFormat="1">
      <c r="A95" s="1"/>
      <c r="B95" s="40"/>
      <c r="C95" s="52">
        <f t="shared" si="88"/>
        <v>20</v>
      </c>
      <c r="D95" s="52">
        <v>0.62514326065489167</v>
      </c>
      <c r="E95" s="52">
        <v>0.84186985128038949</v>
      </c>
      <c r="F95" s="52">
        <f t="shared" ref="F95:G95" si="102">AVERAGE(D91:D99)</f>
        <v>0.36070726962720989</v>
      </c>
      <c r="G95" s="52">
        <f t="shared" si="102"/>
        <v>0.44379420316812834</v>
      </c>
      <c r="H95" s="52">
        <f t="shared" si="81"/>
        <v>8.2181974294294347E-3</v>
      </c>
      <c r="I95" s="52">
        <f t="shared" si="82"/>
        <v>0.30431515154202843</v>
      </c>
      <c r="J95" s="52">
        <f t="shared" ca="1" si="83"/>
        <v>-0.32081217649781313</v>
      </c>
      <c r="K95" s="52">
        <f t="shared" ca="1" si="79"/>
        <v>0.47941599883044739</v>
      </c>
      <c r="L95" s="12">
        <f t="shared" ca="1" si="84"/>
        <v>4.8395939117510931</v>
      </c>
      <c r="M95" s="12">
        <f t="shared" ca="1" si="85"/>
        <v>13.677955995906565</v>
      </c>
      <c r="N95" s="12">
        <f t="shared" ca="1" si="86"/>
        <v>13.677955995906565</v>
      </c>
      <c r="O95" s="12">
        <f t="shared" ca="1" si="87"/>
        <v>126.41800443900171</v>
      </c>
      <c r="P95" s="12"/>
      <c r="Q95" s="12"/>
      <c r="R95" s="12"/>
      <c r="S95" s="12"/>
      <c r="T95" s="1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1"/>
      <c r="AT95" s="1"/>
    </row>
    <row r="96" spans="1:46" s="9" customFormat="1">
      <c r="A96" s="1"/>
      <c r="B96" s="40"/>
      <c r="C96" s="52">
        <f t="shared" si="88"/>
        <v>20.25</v>
      </c>
      <c r="D96" s="52">
        <v>0.60078527869444609</v>
      </c>
      <c r="E96" s="52">
        <v>0.2314488913592716</v>
      </c>
      <c r="F96" s="52">
        <f t="shared" ref="F96:G96" si="103">AVERAGE(D92:D100)</f>
        <v>0.4322886035442306</v>
      </c>
      <c r="G96" s="52">
        <f t="shared" si="103"/>
        <v>0.41814221264061224</v>
      </c>
      <c r="H96" s="52">
        <f t="shared" si="81"/>
        <v>0.21835869605162903</v>
      </c>
      <c r="I96" s="52">
        <f t="shared" si="82"/>
        <v>0.23882123430998745</v>
      </c>
      <c r="J96" s="52">
        <f t="shared" ca="1" si="83"/>
        <v>-0.25382167529726363</v>
      </c>
      <c r="K96" s="52">
        <f t="shared" ca="1" si="79"/>
        <v>0.95932309375713642</v>
      </c>
      <c r="L96" s="12">
        <f t="shared" ca="1" si="84"/>
        <v>4.8730891623513681</v>
      </c>
      <c r="M96" s="12">
        <f t="shared" ca="1" si="85"/>
        <v>15.357630828149977</v>
      </c>
      <c r="N96" s="12">
        <f t="shared" ca="1" si="86"/>
        <v>15.357630828149977</v>
      </c>
      <c r="O96" s="12">
        <f t="shared" ca="1" si="87"/>
        <v>130.7241218286332</v>
      </c>
      <c r="P96" s="12"/>
      <c r="Q96" s="12"/>
      <c r="R96" s="12"/>
      <c r="S96" s="12"/>
      <c r="T96" s="1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1"/>
      <c r="AT96" s="1"/>
    </row>
    <row r="97" spans="1:46" s="9" customFormat="1">
      <c r="A97" s="1"/>
      <c r="B97" s="40"/>
      <c r="C97" s="52">
        <f t="shared" si="88"/>
        <v>20.5</v>
      </c>
      <c r="D97" s="52">
        <v>0.80327002219437094</v>
      </c>
      <c r="E97" s="52">
        <v>0.48376438191488724</v>
      </c>
      <c r="F97" s="52">
        <f t="shared" ref="F97:G97" si="104">AVERAGE(D93:D101)</f>
        <v>0.48908108368111514</v>
      </c>
      <c r="G97" s="52">
        <f t="shared" si="104"/>
        <v>0.41308551561883899</v>
      </c>
      <c r="H97" s="52">
        <f t="shared" si="81"/>
        <v>0.38508372673897284</v>
      </c>
      <c r="I97" s="52">
        <f t="shared" si="82"/>
        <v>0.22591062233013834</v>
      </c>
      <c r="J97" s="52">
        <f t="shared" ca="1" si="83"/>
        <v>-0.46867593545080211</v>
      </c>
      <c r="K97" s="52">
        <f t="shared" ca="1" si="79"/>
        <v>-0.23299279677660228</v>
      </c>
      <c r="L97" s="12">
        <f t="shared" ca="1" si="84"/>
        <v>4.7656620322745988</v>
      </c>
      <c r="M97" s="12">
        <f t="shared" ca="1" si="85"/>
        <v>11.184525211281892</v>
      </c>
      <c r="N97" s="12">
        <f t="shared" ca="1" si="86"/>
        <v>11.184525211281892</v>
      </c>
      <c r="O97" s="12">
        <f t="shared" ca="1" si="87"/>
        <v>117.40881999227905</v>
      </c>
      <c r="P97" s="12"/>
      <c r="Q97" s="12"/>
      <c r="R97" s="12"/>
      <c r="S97" s="12"/>
      <c r="T97" s="1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1"/>
      <c r="AT97" s="1"/>
    </row>
    <row r="98" spans="1:46" s="9" customFormat="1">
      <c r="A98" s="1"/>
      <c r="B98" s="40"/>
      <c r="C98" s="52">
        <f t="shared" si="88"/>
        <v>20.75</v>
      </c>
      <c r="D98" s="52">
        <v>0.15950752019561276</v>
      </c>
      <c r="E98" s="52">
        <v>0.50813806132788819</v>
      </c>
      <c r="F98" s="52">
        <f t="shared" ref="F98:G98" si="105">AVERAGE(D94:D102)</f>
        <v>0.5229281794821099</v>
      </c>
      <c r="G98" s="52">
        <f t="shared" si="105"/>
        <v>0.38961405872623101</v>
      </c>
      <c r="H98" s="52">
        <f t="shared" si="81"/>
        <v>0.48444825655871043</v>
      </c>
      <c r="I98" s="52">
        <f t="shared" si="82"/>
        <v>0.16598398024788205</v>
      </c>
      <c r="J98" s="52">
        <f t="shared" ca="1" si="83"/>
        <v>-0.65306073258586561</v>
      </c>
      <c r="K98" s="52">
        <f t="shared" ca="1" si="79"/>
        <v>-1.0666825523204722</v>
      </c>
      <c r="L98" s="12">
        <f t="shared" ca="1" si="84"/>
        <v>4.6734696337070671</v>
      </c>
      <c r="M98" s="12">
        <f t="shared" ca="1" si="85"/>
        <v>8.2666110668783475</v>
      </c>
      <c r="N98" s="12">
        <f t="shared" ca="1" si="86"/>
        <v>8.2666110668783475</v>
      </c>
      <c r="O98" s="12">
        <f t="shared" ca="1" si="87"/>
        <v>107.0685874922919</v>
      </c>
      <c r="P98" s="12"/>
      <c r="Q98" s="12"/>
      <c r="R98" s="12"/>
      <c r="S98" s="12"/>
      <c r="T98" s="1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1"/>
      <c r="AT98" s="1"/>
    </row>
    <row r="99" spans="1:46" s="9" customFormat="1">
      <c r="A99" s="1"/>
      <c r="B99" s="40"/>
      <c r="C99" s="52">
        <f t="shared" si="88"/>
        <v>21</v>
      </c>
      <c r="D99" s="52">
        <v>0.24164365652819375</v>
      </c>
      <c r="E99" s="52">
        <v>6.5482584699497637E-2</v>
      </c>
      <c r="F99" s="52">
        <f t="shared" ref="F99:G99" si="106">AVERAGE(D95:D103)</f>
        <v>0.50369069262890642</v>
      </c>
      <c r="G99" s="52">
        <f t="shared" si="106"/>
        <v>0.39603018572890403</v>
      </c>
      <c r="H99" s="52">
        <f t="shared" si="81"/>
        <v>0.42797298768126163</v>
      </c>
      <c r="I99" s="52">
        <f t="shared" si="82"/>
        <v>0.18236544937452062</v>
      </c>
      <c r="J99" s="52">
        <f t="shared" ca="1" si="83"/>
        <v>-0.30298479978405535</v>
      </c>
      <c r="K99" s="52">
        <f t="shared" ca="1" si="79"/>
        <v>0.79993979985169961</v>
      </c>
      <c r="L99" s="12">
        <f t="shared" ca="1" si="84"/>
        <v>4.8485076001079719</v>
      </c>
      <c r="M99" s="12">
        <f t="shared" ca="1" si="85"/>
        <v>14.799789299480949</v>
      </c>
      <c r="N99" s="12">
        <f t="shared" ca="1" si="86"/>
        <v>14.799789299480949</v>
      </c>
      <c r="O99" s="12">
        <f t="shared" ca="1" si="87"/>
        <v>127.5498922866408</v>
      </c>
      <c r="P99" s="12"/>
      <c r="Q99" s="12"/>
      <c r="R99" s="12"/>
      <c r="S99" s="12"/>
      <c r="T99" s="1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1"/>
      <c r="AT99" s="1"/>
    </row>
    <row r="100" spans="1:46" s="9" customFormat="1">
      <c r="A100" s="1"/>
      <c r="B100" s="40"/>
      <c r="C100" s="52">
        <f t="shared" si="88"/>
        <v>21.25</v>
      </c>
      <c r="D100" s="52">
        <v>0.64696947144985306</v>
      </c>
      <c r="E100" s="52">
        <v>0.65225103681306906</v>
      </c>
      <c r="F100" s="52">
        <f t="shared" ref="F100:G100" si="107">AVERAGE(D96:D104)</f>
        <v>0.50226862257513127</v>
      </c>
      <c r="G100" s="52">
        <f t="shared" si="107"/>
        <v>0.34624370033293139</v>
      </c>
      <c r="H100" s="52">
        <f t="shared" si="81"/>
        <v>0.42379823298162966</v>
      </c>
      <c r="I100" s="52">
        <f t="shared" si="82"/>
        <v>5.5252040756176443E-2</v>
      </c>
      <c r="J100" s="52">
        <f t="shared" ca="1" si="83"/>
        <v>-0.45822177325330049</v>
      </c>
      <c r="K100" s="52">
        <f t="shared" ca="1" si="79"/>
        <v>-2.5645846305294429E-4</v>
      </c>
      <c r="L100" s="12">
        <f t="shared" ca="1" si="84"/>
        <v>4.7708891133733502</v>
      </c>
      <c r="M100" s="12">
        <f t="shared" ca="1" si="85"/>
        <v>11.999102395379314</v>
      </c>
      <c r="N100" s="12">
        <f t="shared" ca="1" si="86"/>
        <v>11.999102395379314</v>
      </c>
      <c r="O100" s="12">
        <f t="shared" ca="1" si="87"/>
        <v>118.02413215840214</v>
      </c>
      <c r="P100" s="12"/>
      <c r="Q100" s="12"/>
      <c r="R100" s="12"/>
      <c r="S100" s="12"/>
      <c r="T100" s="1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1"/>
      <c r="AT100" s="1"/>
    </row>
    <row r="101" spans="1:46" s="9" customFormat="1">
      <c r="A101" s="1"/>
      <c r="B101" s="40"/>
      <c r="C101" s="52">
        <f t="shared" si="88"/>
        <v>21.5</v>
      </c>
      <c r="D101" s="52">
        <v>0.68674477668463796</v>
      </c>
      <c r="E101" s="52">
        <v>0.31331345426392598</v>
      </c>
      <c r="F101" s="52">
        <f t="shared" ref="F101:G101" si="108">AVERAGE(D97:D105)</f>
        <v>0.52718272115660747</v>
      </c>
      <c r="G101" s="52">
        <f t="shared" si="108"/>
        <v>0.40282984014799705</v>
      </c>
      <c r="H101" s="52">
        <f t="shared" si="81"/>
        <v>0.49693826561504151</v>
      </c>
      <c r="I101" s="52">
        <f t="shared" si="82"/>
        <v>0.19972612956239386</v>
      </c>
      <c r="J101" s="52">
        <f t="shared" ca="1" si="83"/>
        <v>1.1425779337411723</v>
      </c>
      <c r="K101" s="52">
        <f t="shared" ca="1" si="79"/>
        <v>0.30001860879334552</v>
      </c>
      <c r="L101" s="12">
        <f t="shared" ca="1" si="84"/>
        <v>5.5712889668705863</v>
      </c>
      <c r="M101" s="12">
        <f t="shared" ca="1" si="85"/>
        <v>13.050065130776709</v>
      </c>
      <c r="N101" s="12">
        <f t="shared" ca="1" si="86"/>
        <v>13.050065130776709</v>
      </c>
      <c r="O101" s="12">
        <f t="shared" ca="1" si="87"/>
        <v>262.77258620228736</v>
      </c>
      <c r="P101" s="12"/>
      <c r="Q101" s="12"/>
      <c r="R101" s="12"/>
      <c r="S101" s="12"/>
      <c r="T101" s="1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1"/>
      <c r="AT101" s="1"/>
    </row>
    <row r="102" spans="1:46" s="9" customFormat="1">
      <c r="A102" s="1"/>
      <c r="B102" s="40"/>
      <c r="C102" s="52">
        <f t="shared" si="88"/>
        <v>21.75</v>
      </c>
      <c r="D102" s="52">
        <v>0.5208641703323732</v>
      </c>
      <c r="E102" s="52">
        <v>0.36971157390545595</v>
      </c>
      <c r="F102" s="52">
        <f t="shared" ref="F102:G102" si="109">AVERAGE(D98:D106)</f>
        <v>0.53102884335646106</v>
      </c>
      <c r="G102" s="52">
        <f t="shared" si="109"/>
        <v>0.40402774658510071</v>
      </c>
      <c r="H102" s="52">
        <f t="shared" si="81"/>
        <v>0.50822928231746933</v>
      </c>
      <c r="I102" s="52">
        <f t="shared" si="82"/>
        <v>0.20278458948811537</v>
      </c>
      <c r="J102" s="52">
        <f t="shared" ca="1" si="83"/>
        <v>0.37550644294560226</v>
      </c>
      <c r="K102" s="52">
        <f t="shared" ca="1" si="79"/>
        <v>-6.2984943730004628E-2</v>
      </c>
      <c r="L102" s="12">
        <f t="shared" ca="1" si="84"/>
        <v>5.1877532214728008</v>
      </c>
      <c r="M102" s="12">
        <f t="shared" ca="1" si="85"/>
        <v>11.779552696944984</v>
      </c>
      <c r="N102" s="12">
        <f t="shared" ca="1" si="86"/>
        <v>11.779552696944984</v>
      </c>
      <c r="O102" s="12">
        <f t="shared" ca="1" si="87"/>
        <v>179.06577948160111</v>
      </c>
      <c r="P102" s="12"/>
      <c r="Q102" s="12"/>
      <c r="R102" s="12"/>
      <c r="S102" s="12"/>
      <c r="T102" s="1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1"/>
      <c r="AT102" s="1"/>
    </row>
    <row r="103" spans="1:46" s="9" customFormat="1">
      <c r="A103" s="1"/>
      <c r="B103" s="40"/>
      <c r="C103" s="52">
        <f t="shared" si="88"/>
        <v>22</v>
      </c>
      <c r="D103" s="52">
        <v>0.24828807692577926</v>
      </c>
      <c r="E103" s="52">
        <v>9.8291835995750754E-2</v>
      </c>
      <c r="F103" s="52">
        <f t="shared" ref="F103:G103" si="110">AVERAGE(D99:D107)</f>
        <v>0.52332274892170094</v>
      </c>
      <c r="G103" s="52">
        <f t="shared" si="110"/>
        <v>0.35764303335821024</v>
      </c>
      <c r="H103" s="52">
        <f t="shared" si="81"/>
        <v>0.48560658952401758</v>
      </c>
      <c r="I103" s="52">
        <f t="shared" si="82"/>
        <v>8.4356486777908871E-2</v>
      </c>
      <c r="J103" s="52">
        <f t="shared" ca="1" si="83"/>
        <v>0.12764754583666973</v>
      </c>
      <c r="K103" s="52">
        <f t="shared" ca="1" si="79"/>
        <v>0.18985779676037767</v>
      </c>
      <c r="L103" s="12">
        <f t="shared" ca="1" si="84"/>
        <v>5.0638237729183349</v>
      </c>
      <c r="M103" s="12">
        <f t="shared" ca="1" si="85"/>
        <v>12.664502288661321</v>
      </c>
      <c r="N103" s="12">
        <f t="shared" ca="1" si="86"/>
        <v>12.664502288661321</v>
      </c>
      <c r="O103" s="12">
        <f t="shared" ca="1" si="87"/>
        <v>158.19426022603946</v>
      </c>
      <c r="P103" s="12"/>
      <c r="Q103" s="12"/>
      <c r="R103" s="12"/>
      <c r="S103" s="12"/>
      <c r="T103" s="1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1"/>
      <c r="AT103" s="1"/>
    </row>
    <row r="104" spans="1:46" s="9" customFormat="1">
      <c r="A104" s="1"/>
      <c r="B104" s="40"/>
      <c r="C104" s="52">
        <f t="shared" si="88"/>
        <v>22.25</v>
      </c>
      <c r="D104" s="52">
        <v>0.61234463017091401</v>
      </c>
      <c r="E104" s="52">
        <v>0.39379148271663689</v>
      </c>
      <c r="F104" s="52">
        <f t="shared" ref="F104:G104" si="111">AVERAGE(D100:D108)</f>
        <v>0.55922857778847401</v>
      </c>
      <c r="G104" s="52">
        <f t="shared" si="111"/>
        <v>0.4313064929758012</v>
      </c>
      <c r="H104" s="52">
        <f t="shared" si="81"/>
        <v>0.59101491832456454</v>
      </c>
      <c r="I104" s="52">
        <f t="shared" si="82"/>
        <v>0.27243189254594058</v>
      </c>
      <c r="J104" s="52">
        <f t="shared" ca="1" si="83"/>
        <v>-0.26344859723853642</v>
      </c>
      <c r="K104" s="52">
        <f t="shared" ca="1" si="79"/>
        <v>-9.3379544999306285E-2</v>
      </c>
      <c r="L104" s="12">
        <f t="shared" ca="1" si="84"/>
        <v>4.8682757013807318</v>
      </c>
      <c r="M104" s="12">
        <f t="shared" ca="1" si="85"/>
        <v>11.673171592502428</v>
      </c>
      <c r="N104" s="12">
        <f t="shared" ca="1" si="86"/>
        <v>11.673171592502428</v>
      </c>
      <c r="O104" s="12">
        <f t="shared" ca="1" si="87"/>
        <v>130.09639834353624</v>
      </c>
      <c r="P104" s="12"/>
      <c r="Q104" s="12"/>
      <c r="R104" s="12"/>
      <c r="S104" s="12"/>
      <c r="T104" s="1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1"/>
      <c r="AT104" s="1"/>
    </row>
    <row r="105" spans="1:46" s="9" customFormat="1">
      <c r="A105" s="1"/>
      <c r="B105" s="40"/>
      <c r="C105" s="52">
        <f t="shared" si="88"/>
        <v>22.5</v>
      </c>
      <c r="D105" s="52">
        <v>0.82501216592773208</v>
      </c>
      <c r="E105" s="52">
        <v>0.74072414969486189</v>
      </c>
      <c r="F105" s="52">
        <f t="shared" ref="F105:G105" si="112">AVERAGE(D101:D109)</f>
        <v>0.49355158432761986</v>
      </c>
      <c r="G105" s="52">
        <f t="shared" si="112"/>
        <v>0.42289772422592414</v>
      </c>
      <c r="H105" s="52">
        <f t="shared" si="81"/>
        <v>0.39820772406537625</v>
      </c>
      <c r="I105" s="52">
        <f t="shared" si="82"/>
        <v>0.25096286838046394</v>
      </c>
      <c r="J105" s="52">
        <f t="shared" ca="1" si="83"/>
        <v>8.3216234609571615E-2</v>
      </c>
      <c r="K105" s="52">
        <f t="shared" ca="1" si="79"/>
        <v>0.45398395350686288</v>
      </c>
      <c r="L105" s="12">
        <f t="shared" ca="1" si="84"/>
        <v>5.0416081173047855</v>
      </c>
      <c r="M105" s="12">
        <f t="shared" ca="1" si="85"/>
        <v>13.588943837274019</v>
      </c>
      <c r="N105" s="12">
        <f t="shared" ca="1" si="86"/>
        <v>13.588943837274019</v>
      </c>
      <c r="O105" s="12">
        <f t="shared" ca="1" si="87"/>
        <v>154.71862077014879</v>
      </c>
      <c r="P105" s="12"/>
      <c r="Q105" s="12"/>
      <c r="R105" s="12"/>
      <c r="S105" s="12"/>
      <c r="T105" s="1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3"/>
      <c r="AS105" s="1"/>
      <c r="AT105" s="1"/>
    </row>
    <row r="106" spans="1:46" s="9" customFormat="1">
      <c r="A106" s="1"/>
      <c r="B106" s="40"/>
      <c r="C106" s="52">
        <f t="shared" si="88"/>
        <v>22.75</v>
      </c>
      <c r="D106" s="52">
        <v>0.83788512199305409</v>
      </c>
      <c r="E106" s="52">
        <v>0.49454553984881977</v>
      </c>
      <c r="F106" s="52">
        <f t="shared" ref="F106:G106" si="113">AVERAGE(D102:D110)</f>
        <v>0.47441443466850214</v>
      </c>
      <c r="G106" s="52">
        <f t="shared" si="113"/>
        <v>0.44176810093059121</v>
      </c>
      <c r="H106" s="52">
        <f t="shared" si="81"/>
        <v>0.34202701393448526</v>
      </c>
      <c r="I106" s="52">
        <f t="shared" si="82"/>
        <v>0.29914216615102845</v>
      </c>
      <c r="J106" s="52">
        <f t="shared" ca="1" si="83"/>
        <v>-2.6652675120487972</v>
      </c>
      <c r="K106" s="52">
        <f t="shared" ca="1" si="79"/>
        <v>-1.8641836646693113</v>
      </c>
      <c r="L106" s="12">
        <f t="shared" ca="1" si="84"/>
        <v>3.6673662439756014</v>
      </c>
      <c r="M106" s="12">
        <f t="shared" ca="1" si="85"/>
        <v>5.4753571736574109</v>
      </c>
      <c r="N106" s="12">
        <f t="shared" ca="1" si="86"/>
        <v>5.4753571736574109</v>
      </c>
      <c r="O106" s="12">
        <f t="shared" ca="1" si="87"/>
        <v>39.148661936110216</v>
      </c>
      <c r="P106" s="12"/>
      <c r="Q106" s="12"/>
      <c r="R106" s="12"/>
      <c r="S106" s="12"/>
      <c r="T106" s="1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3"/>
      <c r="AS106" s="1"/>
      <c r="AT106" s="1"/>
    </row>
    <row r="107" spans="1:46" s="9" customFormat="1">
      <c r="A107" s="1"/>
      <c r="B107" s="40"/>
      <c r="C107" s="52">
        <f t="shared" si="88"/>
        <v>23</v>
      </c>
      <c r="D107" s="52">
        <v>9.0152670282771186E-2</v>
      </c>
      <c r="E107" s="52">
        <v>9.0675642285874325E-2</v>
      </c>
      <c r="F107" s="52">
        <f t="shared" ref="F107:G107" si="114">AVERAGE(D103:D111)</f>
        <v>0.45084296927734147</v>
      </c>
      <c r="G107" s="52">
        <f t="shared" si="114"/>
        <v>0.43944209905747106</v>
      </c>
      <c r="H107" s="52">
        <f t="shared" si="81"/>
        <v>0.27282853411436253</v>
      </c>
      <c r="I107" s="52">
        <f t="shared" si="82"/>
        <v>0.29320348572011634</v>
      </c>
      <c r="J107" s="52">
        <f t="shared" ca="1" si="83"/>
        <v>-0.26268696946038211</v>
      </c>
      <c r="K107" s="52">
        <f t="shared" ca="1" si="79"/>
        <v>0.23507089005116871</v>
      </c>
      <c r="L107" s="12">
        <f t="shared" ca="1" si="84"/>
        <v>4.8686565152698087</v>
      </c>
      <c r="M107" s="12">
        <f t="shared" ca="1" si="85"/>
        <v>12.82274811517909</v>
      </c>
      <c r="N107" s="12">
        <f t="shared" ca="1" si="86"/>
        <v>12.82274811517909</v>
      </c>
      <c r="O107" s="12">
        <f t="shared" ca="1" si="87"/>
        <v>130.14595029338085</v>
      </c>
      <c r="P107" s="12"/>
      <c r="Q107" s="12"/>
      <c r="R107" s="12"/>
      <c r="S107" s="12"/>
      <c r="T107" s="1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3"/>
      <c r="AS107" s="1"/>
      <c r="AT107" s="1"/>
    </row>
    <row r="108" spans="1:46" s="9" customFormat="1">
      <c r="A108" s="1"/>
      <c r="B108" s="40"/>
      <c r="C108" s="52">
        <f t="shared" si="88"/>
        <v>23.25</v>
      </c>
      <c r="D108" s="52">
        <v>0.56479611632915094</v>
      </c>
      <c r="E108" s="52">
        <v>0.72845372125781604</v>
      </c>
      <c r="F108" s="52">
        <f t="shared" ref="F108:G108" si="115">AVERAGE(D104:D112)</f>
        <v>0.49790659350046407</v>
      </c>
      <c r="G108" s="52">
        <f t="shared" si="115"/>
        <v>0.49583708955297745</v>
      </c>
      <c r="H108" s="52">
        <f t="shared" si="81"/>
        <v>0.41099267440098497</v>
      </c>
      <c r="I108" s="52">
        <f t="shared" si="82"/>
        <v>0.43718953763497642</v>
      </c>
      <c r="J108" s="52">
        <f t="shared" ca="1" si="83"/>
        <v>-1.9385312369893068</v>
      </c>
      <c r="K108" s="52">
        <f t="shared" ca="1" si="79"/>
        <v>-1.6451936784859904</v>
      </c>
      <c r="L108" s="12">
        <f t="shared" ca="1" si="84"/>
        <v>4.0307343815053462</v>
      </c>
      <c r="M108" s="12">
        <f t="shared" ca="1" si="85"/>
        <v>6.2418221252990334</v>
      </c>
      <c r="N108" s="12">
        <f t="shared" ca="1" si="86"/>
        <v>6.2418221252990334</v>
      </c>
      <c r="O108" s="12">
        <f t="shared" ca="1" si="87"/>
        <v>56.302243394746455</v>
      </c>
      <c r="P108" s="12"/>
      <c r="Q108" s="12"/>
      <c r="R108" s="12"/>
      <c r="S108" s="12"/>
      <c r="T108" s="1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3"/>
      <c r="AS108" s="1"/>
      <c r="AT108" s="1"/>
    </row>
    <row r="109" spans="1:46" s="9" customFormat="1">
      <c r="A109" s="1"/>
      <c r="B109" s="40"/>
      <c r="C109" s="52">
        <f t="shared" si="88"/>
        <v>23.5</v>
      </c>
      <c r="D109" s="52">
        <v>5.587653030216666E-2</v>
      </c>
      <c r="E109" s="52">
        <v>0.57657211806417541</v>
      </c>
      <c r="F109" s="52">
        <f t="shared" ref="F109:G109" si="116">AVERAGE(D105:D113)</f>
        <v>0.52992617852183033</v>
      </c>
      <c r="G109" s="52">
        <f t="shared" si="116"/>
        <v>0.4816643931851588</v>
      </c>
      <c r="H109" s="52">
        <f t="shared" si="81"/>
        <v>0.50499220184574922</v>
      </c>
      <c r="I109" s="52">
        <f t="shared" si="82"/>
        <v>0.40100422087084137</v>
      </c>
      <c r="J109" s="52">
        <f t="shared" ca="1" si="83"/>
        <v>-1.9481599202269864</v>
      </c>
      <c r="K109" s="52">
        <f t="shared" ca="1" si="79"/>
        <v>-1.6476438363924479</v>
      </c>
      <c r="L109" s="12">
        <f t="shared" ca="1" si="84"/>
        <v>4.0259200398865067</v>
      </c>
      <c r="M109" s="12">
        <f t="shared" ca="1" si="85"/>
        <v>6.2332465726264319</v>
      </c>
      <c r="N109" s="12">
        <f t="shared" ca="1" si="86"/>
        <v>6.2332465726264319</v>
      </c>
      <c r="O109" s="12">
        <f t="shared" ca="1" si="87"/>
        <v>56.031836598770973</v>
      </c>
      <c r="P109" s="12"/>
      <c r="Q109" s="12"/>
      <c r="R109" s="12"/>
      <c r="S109" s="12"/>
      <c r="T109" s="1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3"/>
      <c r="AS109" s="1"/>
      <c r="AT109" s="1"/>
    </row>
    <row r="110" spans="1:46" s="9" customFormat="1">
      <c r="A110" s="1"/>
      <c r="B110" s="40"/>
      <c r="C110" s="52">
        <f t="shared" si="88"/>
        <v>23.75</v>
      </c>
      <c r="D110" s="52">
        <v>0.51451042975257788</v>
      </c>
      <c r="E110" s="52">
        <v>0.48314684460592994</v>
      </c>
      <c r="F110" s="52">
        <f t="shared" ref="F110:G110" si="117">AVERAGE(D106:D114)</f>
        <v>0.47850898896046229</v>
      </c>
      <c r="G110" s="52">
        <f t="shared" si="117"/>
        <v>0.43481811921502078</v>
      </c>
      <c r="H110" s="52">
        <f t="shared" si="81"/>
        <v>0.35404734987214204</v>
      </c>
      <c r="I110" s="52">
        <f t="shared" si="82"/>
        <v>0.28139767467558102</v>
      </c>
      <c r="J110" s="52">
        <f t="shared" ca="1" si="83"/>
        <v>-0.83748246725320785</v>
      </c>
      <c r="K110" s="52">
        <f t="shared" ca="1" si="79"/>
        <v>-0.82651636075287305</v>
      </c>
      <c r="L110" s="12">
        <f t="shared" ca="1" si="84"/>
        <v>4.5812587663733959</v>
      </c>
      <c r="M110" s="12">
        <f t="shared" ca="1" si="85"/>
        <v>9.1071927373649437</v>
      </c>
      <c r="N110" s="12">
        <f t="shared" ca="1" si="86"/>
        <v>9.1071927373649437</v>
      </c>
      <c r="O110" s="12">
        <f t="shared" ca="1" si="87"/>
        <v>97.637219335256546</v>
      </c>
      <c r="P110" s="12"/>
      <c r="Q110" s="12"/>
      <c r="R110" s="12"/>
      <c r="S110" s="12"/>
      <c r="T110" s="1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3"/>
      <c r="AS110" s="1"/>
      <c r="AT110" s="1"/>
    </row>
    <row r="111" spans="1:46" s="9" customFormat="1">
      <c r="A111" s="1"/>
      <c r="B111" s="40"/>
      <c r="C111" s="52">
        <f t="shared" si="88"/>
        <v>24</v>
      </c>
      <c r="D111" s="52">
        <v>0.30872098181192686</v>
      </c>
      <c r="E111" s="52">
        <v>0.34877755704737412</v>
      </c>
      <c r="F111" s="52">
        <f t="shared" ref="F111:G111" si="118">AVERAGE(D107:D115)</f>
        <v>0.42670800303888506</v>
      </c>
      <c r="G111" s="52">
        <f t="shared" si="118"/>
        <v>0.39090548115164708</v>
      </c>
      <c r="H111" s="52">
        <f t="shared" si="81"/>
        <v>0.20197579133845264</v>
      </c>
      <c r="I111" s="52">
        <f t="shared" si="82"/>
        <v>0.16928120247907988</v>
      </c>
      <c r="J111" s="52">
        <f t="shared" ca="1" si="83"/>
        <v>-3.8136233751019523E-2</v>
      </c>
      <c r="K111" s="52">
        <f t="shared" ca="1" si="79"/>
        <v>-1.9312702340032688</v>
      </c>
      <c r="L111" s="12">
        <f t="shared" ca="1" si="84"/>
        <v>4.98093188312449</v>
      </c>
      <c r="M111" s="12">
        <f t="shared" ca="1" si="85"/>
        <v>5.2405541809885587</v>
      </c>
      <c r="N111" s="12">
        <f t="shared" ca="1" si="86"/>
        <v>5.2405541809885587</v>
      </c>
      <c r="O111" s="12">
        <f t="shared" ca="1" si="87"/>
        <v>145.61000995996849</v>
      </c>
      <c r="P111" s="12"/>
      <c r="Q111" s="12"/>
      <c r="R111" s="12"/>
      <c r="S111" s="12"/>
      <c r="T111" s="1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3"/>
      <c r="AS111" s="1"/>
      <c r="AT111" s="1"/>
    </row>
    <row r="112" spans="1:46" s="9" customFormat="1">
      <c r="A112" s="1"/>
      <c r="B112" s="40"/>
      <c r="C112" s="52">
        <f t="shared" si="88"/>
        <v>24.25</v>
      </c>
      <c r="D112" s="52">
        <v>0.67186069493388312</v>
      </c>
      <c r="E112" s="52">
        <v>0.60584675045530878</v>
      </c>
      <c r="F112" s="52">
        <f t="shared" ref="F112:G112" si="119">AVERAGE(D108:D116)</f>
        <v>0.43374487544621937</v>
      </c>
      <c r="G112" s="52">
        <f t="shared" si="119"/>
        <v>0.43969628696169782</v>
      </c>
      <c r="H112" s="52">
        <f t="shared" si="81"/>
        <v>0.22263385672365796</v>
      </c>
      <c r="I112" s="52">
        <f t="shared" si="82"/>
        <v>0.2938524708950857</v>
      </c>
      <c r="J112" s="52">
        <f t="shared" ca="1" si="83"/>
        <v>0.32733521378556374</v>
      </c>
      <c r="K112" s="52">
        <f t="shared" ref="K112:K120" ca="1" si="120">_xlfn.NORM.INV(RAND(),$K$10+$K$12*($K$11/$K$8)*(J112-$K$7),SQRT($K$12*$K$8*$K$11))</f>
        <v>0.72072949444594725</v>
      </c>
      <c r="L112" s="12">
        <f t="shared" ca="1" si="84"/>
        <v>5.1636676068927816</v>
      </c>
      <c r="M112" s="12">
        <f t="shared" ca="1" si="85"/>
        <v>14.522553230560815</v>
      </c>
      <c r="N112" s="12">
        <f t="shared" ca="1" si="86"/>
        <v>14.522553230560815</v>
      </c>
      <c r="O112" s="12">
        <f t="shared" ca="1" si="87"/>
        <v>174.80439516900648</v>
      </c>
      <c r="P112" s="12"/>
      <c r="Q112" s="12"/>
      <c r="R112" s="12"/>
      <c r="S112" s="12"/>
      <c r="T112" s="1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3"/>
      <c r="AS112" s="1"/>
      <c r="AT112" s="1"/>
    </row>
    <row r="113" spans="1:46" s="9" customFormat="1">
      <c r="A113" s="1"/>
      <c r="B113" s="40"/>
      <c r="C113" s="52">
        <f t="shared" si="88"/>
        <v>24.5</v>
      </c>
      <c r="D113" s="52">
        <v>0.90052089536321056</v>
      </c>
      <c r="E113" s="52">
        <v>0.26623721540626932</v>
      </c>
      <c r="F113" s="52">
        <f t="shared" ref="F113:G113" si="121">AVERAGE(D109:D117)</f>
        <v>0.42082703963875917</v>
      </c>
      <c r="G113" s="52">
        <f t="shared" si="121"/>
        <v>0.46265092383045392</v>
      </c>
      <c r="H113" s="52">
        <f t="shared" si="81"/>
        <v>0.18471111472996737</v>
      </c>
      <c r="I113" s="52">
        <f t="shared" si="82"/>
        <v>0.35245958310188419</v>
      </c>
      <c r="J113" s="52">
        <f t="shared" ca="1" si="83"/>
        <v>0.63344041179670207</v>
      </c>
      <c r="K113" s="52">
        <f t="shared" ca="1" si="120"/>
        <v>0.97562856678542464</v>
      </c>
      <c r="L113" s="12">
        <f t="shared" ca="1" si="84"/>
        <v>5.3167202058983509</v>
      </c>
      <c r="M113" s="12">
        <f t="shared" ca="1" si="85"/>
        <v>15.414699983748987</v>
      </c>
      <c r="N113" s="12">
        <f t="shared" ca="1" si="86"/>
        <v>15.414699983748987</v>
      </c>
      <c r="O113" s="12">
        <f t="shared" ca="1" si="87"/>
        <v>203.71464302526439</v>
      </c>
      <c r="P113" s="12"/>
      <c r="Q113" s="12"/>
      <c r="R113" s="12"/>
      <c r="S113" s="12"/>
      <c r="T113" s="1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3"/>
      <c r="AS113" s="1"/>
      <c r="AT113" s="1"/>
    </row>
    <row r="114" spans="1:46" s="9" customFormat="1">
      <c r="A114" s="1"/>
      <c r="B114" s="40"/>
      <c r="C114" s="52">
        <f t="shared" si="88"/>
        <v>24.75</v>
      </c>
      <c r="D114" s="52">
        <v>0.36225745987541902</v>
      </c>
      <c r="E114" s="52">
        <v>0.31910768396361999</v>
      </c>
      <c r="F114" s="52">
        <f t="shared" ref="F114:G114" si="122">AVERAGE(D110:D118)</f>
        <v>0.42886081661986908</v>
      </c>
      <c r="G114" s="52">
        <f t="shared" si="122"/>
        <v>0.45258126685688688</v>
      </c>
      <c r="H114" s="52">
        <f t="shared" si="81"/>
        <v>0.20829578140559854</v>
      </c>
      <c r="I114" s="52">
        <f t="shared" si="82"/>
        <v>0.32675002735904946</v>
      </c>
      <c r="J114" s="52">
        <f t="shared" ca="1" si="83"/>
        <v>-0.39384816791851901</v>
      </c>
      <c r="K114" s="52">
        <f t="shared" ca="1" si="120"/>
        <v>0.59223082840837216</v>
      </c>
      <c r="L114" s="12">
        <f t="shared" ca="1" si="84"/>
        <v>4.8030759160407408</v>
      </c>
      <c r="M114" s="12">
        <f t="shared" ca="1" si="85"/>
        <v>14.072807899429304</v>
      </c>
      <c r="N114" s="12">
        <f t="shared" ca="1" si="86"/>
        <v>14.072807899429304</v>
      </c>
      <c r="O114" s="12">
        <f t="shared" ca="1" si="87"/>
        <v>121.88474877171362</v>
      </c>
      <c r="P114" s="12"/>
      <c r="Q114" s="12"/>
      <c r="R114" s="12"/>
      <c r="S114" s="12"/>
      <c r="T114" s="1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3"/>
      <c r="AS114" s="1"/>
      <c r="AT114" s="1"/>
    </row>
    <row r="115" spans="1:46" s="9" customFormat="1">
      <c r="A115" s="1"/>
      <c r="B115" s="40"/>
      <c r="C115" s="52">
        <f t="shared" si="88"/>
        <v>25</v>
      </c>
      <c r="D115" s="52">
        <v>0.37167624869885973</v>
      </c>
      <c r="E115" s="52">
        <v>9.9331797278455758E-2</v>
      </c>
      <c r="F115" s="52">
        <f t="shared" ref="F115:G115" si="123">AVERAGE(D111:D119)</f>
        <v>0.40604422211919433</v>
      </c>
      <c r="G115" s="52">
        <f t="shared" si="123"/>
        <v>0.40019799899399733</v>
      </c>
      <c r="H115" s="52">
        <f t="shared" si="81"/>
        <v>0.1413133673758393</v>
      </c>
      <c r="I115" s="52">
        <f t="shared" si="82"/>
        <v>0.19300658916169702</v>
      </c>
      <c r="J115" s="52">
        <f t="shared" ca="1" si="83"/>
        <v>-0.52898039974129285</v>
      </c>
      <c r="K115" s="52">
        <f t="shared" ca="1" si="120"/>
        <v>-1.0450401296768794</v>
      </c>
      <c r="L115" s="12">
        <f t="shared" ca="1" si="84"/>
        <v>4.7355098001293534</v>
      </c>
      <c r="M115" s="12">
        <f t="shared" ca="1" si="85"/>
        <v>8.3423595461309219</v>
      </c>
      <c r="N115" s="12">
        <f t="shared" ca="1" si="86"/>
        <v>8.3423595461309219</v>
      </c>
      <c r="O115" s="12">
        <f t="shared" ca="1" si="87"/>
        <v>113.9215211230465</v>
      </c>
      <c r="P115" s="12"/>
      <c r="Q115" s="12"/>
      <c r="R115" s="12"/>
      <c r="S115" s="12"/>
      <c r="T115" s="1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3"/>
      <c r="AS115" s="1"/>
      <c r="AT115" s="1"/>
    </row>
    <row r="116" spans="1:46" s="9" customFormat="1">
      <c r="A116" s="1"/>
      <c r="B116" s="40"/>
      <c r="C116" s="52">
        <f t="shared" si="88"/>
        <v>25.25</v>
      </c>
      <c r="D116" s="52">
        <v>0.15348452194877982</v>
      </c>
      <c r="E116" s="52">
        <v>0.52979289457633083</v>
      </c>
      <c r="F116" s="52">
        <f t="shared" ref="F116:G116" si="124">AVERAGE(D112:D120)</f>
        <v>0.4550949549027743</v>
      </c>
      <c r="G116" s="52">
        <f t="shared" si="124"/>
        <v>0.4231602958755295</v>
      </c>
      <c r="H116" s="52">
        <f t="shared" si="81"/>
        <v>0.28531103940685498</v>
      </c>
      <c r="I116" s="52">
        <f t="shared" si="82"/>
        <v>0.25163325869065395</v>
      </c>
      <c r="J116" s="52">
        <f t="shared" ca="1" si="83"/>
        <v>0.28533422043339823</v>
      </c>
      <c r="K116" s="52">
        <f t="shared" ca="1" si="120"/>
        <v>-5.0332750342017285E-2</v>
      </c>
      <c r="L116" s="12">
        <f t="shared" ca="1" si="84"/>
        <v>5.1426671102166992</v>
      </c>
      <c r="M116" s="12">
        <f t="shared" ca="1" si="85"/>
        <v>11.82383537380294</v>
      </c>
      <c r="N116" s="12">
        <f t="shared" ca="1" si="86"/>
        <v>11.82383537380294</v>
      </c>
      <c r="O116" s="12">
        <f t="shared" ca="1" si="87"/>
        <v>171.17169382267775</v>
      </c>
      <c r="P116" s="12"/>
      <c r="Q116" s="12"/>
      <c r="R116" s="12"/>
      <c r="S116" s="12"/>
      <c r="T116" s="1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3"/>
      <c r="AS116" s="1"/>
      <c r="AT116" s="1"/>
    </row>
    <row r="117" spans="1:46" s="9" customFormat="1">
      <c r="A117" s="1"/>
      <c r="B117" s="40"/>
      <c r="C117" s="52">
        <f t="shared" si="88"/>
        <v>25.5</v>
      </c>
      <c r="D117" s="52">
        <v>0.4485355940620086</v>
      </c>
      <c r="E117" s="52">
        <v>0.93504545307662168</v>
      </c>
      <c r="F117" s="52">
        <f>AVERAGE(D113:D120)</f>
        <v>0.42799923739888568</v>
      </c>
      <c r="G117" s="52">
        <f>AVERAGE(E113:E120)</f>
        <v>0.40032448905305718</v>
      </c>
      <c r="H117" s="52">
        <f t="shared" si="81"/>
        <v>0.20576645319679679</v>
      </c>
      <c r="I117" s="52">
        <f t="shared" si="82"/>
        <v>0.19332953990697563</v>
      </c>
      <c r="J117" s="52">
        <f t="shared" ca="1" si="83"/>
        <v>-0.30173945181744177</v>
      </c>
      <c r="K117" s="52">
        <f t="shared" ca="1" si="120"/>
        <v>0.73188353144646456</v>
      </c>
      <c r="L117" s="12">
        <f t="shared" ca="1" si="84"/>
        <v>4.8491302740912792</v>
      </c>
      <c r="M117" s="12">
        <f t="shared" ca="1" si="85"/>
        <v>14.561592360062626</v>
      </c>
      <c r="N117" s="12">
        <f t="shared" ca="1" si="86"/>
        <v>14.561592360062626</v>
      </c>
      <c r="O117" s="12">
        <f t="shared" ca="1" si="87"/>
        <v>127.62933901828082</v>
      </c>
      <c r="P117" s="12"/>
      <c r="Q117" s="12"/>
      <c r="R117" s="12"/>
      <c r="S117" s="12"/>
      <c r="T117" s="1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3"/>
      <c r="AS117" s="1"/>
      <c r="AT117" s="1"/>
    </row>
    <row r="118" spans="1:46" s="9" customFormat="1">
      <c r="A118" s="1"/>
      <c r="B118" s="40"/>
      <c r="C118" s="52">
        <f t="shared" si="88"/>
        <v>25.75</v>
      </c>
      <c r="D118" s="52">
        <v>0.12818052313215578</v>
      </c>
      <c r="E118" s="52">
        <v>0.48594520530207064</v>
      </c>
      <c r="F118" s="52">
        <f>AVERAGE(D114:D120)</f>
        <v>0.36049614340398212</v>
      </c>
      <c r="G118" s="52">
        <f>AVERAGE(E114:E120)</f>
        <v>0.41947981385974115</v>
      </c>
      <c r="H118" s="52">
        <f t="shared" si="81"/>
        <v>7.5983966043604691E-3</v>
      </c>
      <c r="I118" s="52">
        <f t="shared" si="82"/>
        <v>0.24223635889617245</v>
      </c>
      <c r="J118" s="52">
        <f t="shared" ca="1" si="83"/>
        <v>0.49508815453172766</v>
      </c>
      <c r="K118" s="52">
        <f t="shared" ca="1" si="120"/>
        <v>-0.57553530601630443</v>
      </c>
      <c r="L118" s="12">
        <f t="shared" ca="1" si="84"/>
        <v>5.2475440772658635</v>
      </c>
      <c r="M118" s="12">
        <f t="shared" ca="1" si="85"/>
        <v>9.9856264289429344</v>
      </c>
      <c r="N118" s="12">
        <f t="shared" ca="1" si="86"/>
        <v>9.9856264289429344</v>
      </c>
      <c r="O118" s="12">
        <f t="shared" ca="1" si="87"/>
        <v>190.09882666297941</v>
      </c>
      <c r="P118" s="12"/>
      <c r="Q118" s="12"/>
      <c r="R118" s="12"/>
      <c r="S118" s="12"/>
      <c r="T118" s="1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3"/>
      <c r="AS118" s="1"/>
      <c r="AT118" s="1"/>
    </row>
    <row r="119" spans="1:46" s="9" customFormat="1">
      <c r="A119" s="1"/>
      <c r="B119" s="40"/>
      <c r="C119" s="52">
        <f t="shared" si="88"/>
        <v>26</v>
      </c>
      <c r="D119" s="52">
        <v>0.30916107924650538</v>
      </c>
      <c r="E119" s="52">
        <v>1.1697433839924831E-2</v>
      </c>
      <c r="F119" s="52">
        <f>AVERAGE(D115:D120)</f>
        <v>0.36020259065874266</v>
      </c>
      <c r="G119" s="52">
        <f>AVERAGE(E115:E120)</f>
        <v>0.43620850217576135</v>
      </c>
      <c r="H119" s="52">
        <f t="shared" si="81"/>
        <v>6.7366171867256335E-3</v>
      </c>
      <c r="I119" s="52">
        <f t="shared" si="82"/>
        <v>0.2849475600715663</v>
      </c>
      <c r="J119" s="52">
        <f t="shared" ca="1" si="83"/>
        <v>0.30097559834573545</v>
      </c>
      <c r="K119" s="52">
        <f t="shared" ca="1" si="120"/>
        <v>-0.25838978393894668</v>
      </c>
      <c r="L119" s="12">
        <f t="shared" ca="1" si="84"/>
        <v>5.1504877991728675</v>
      </c>
      <c r="M119" s="12">
        <f t="shared" ca="1" si="85"/>
        <v>11.095635756213687</v>
      </c>
      <c r="N119" s="12">
        <f t="shared" ca="1" si="86"/>
        <v>11.095635756213687</v>
      </c>
      <c r="O119" s="12">
        <f t="shared" ca="1" si="87"/>
        <v>172.51562277341026</v>
      </c>
      <c r="P119" s="12"/>
      <c r="Q119" s="12"/>
      <c r="R119" s="12"/>
      <c r="S119" s="12"/>
      <c r="T119" s="1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3"/>
      <c r="AS119" s="1"/>
      <c r="AT119" s="1"/>
    </row>
    <row r="120" spans="1:46" s="9" customFormat="1" ht="16" thickBot="1">
      <c r="A120" s="1"/>
      <c r="B120" s="54"/>
      <c r="C120" s="15">
        <f>C119+0.25</f>
        <v>26.25</v>
      </c>
      <c r="D120" s="15">
        <v>0.75017757686414677</v>
      </c>
      <c r="E120" s="15">
        <v>0.55543822898116424</v>
      </c>
      <c r="F120" s="15">
        <f>AVERAGE(D116:D120)</f>
        <v>0.35790785905071931</v>
      </c>
      <c r="G120" s="15">
        <f>AVERAGE(E116:E120)</f>
        <v>0.50358384315522242</v>
      </c>
      <c r="H120" s="15">
        <f t="shared" si="81"/>
        <v>0</v>
      </c>
      <c r="I120" s="15">
        <f t="shared" si="82"/>
        <v>0.4569683239517035</v>
      </c>
      <c r="J120" s="15">
        <f t="shared" ca="1" si="83"/>
        <v>-1.2526319708790068</v>
      </c>
      <c r="K120" s="15">
        <f t="shared" ca="1" si="120"/>
        <v>-1.1533723012600359</v>
      </c>
      <c r="L120" s="14">
        <f t="shared" ca="1" si="84"/>
        <v>4.3736840145604967</v>
      </c>
      <c r="M120" s="14">
        <f t="shared" ca="1" si="85"/>
        <v>7.9631969455898748</v>
      </c>
      <c r="N120" s="14">
        <f t="shared" ca="1" si="86"/>
        <v>7.9631969455898748</v>
      </c>
      <c r="O120" s="14">
        <f t="shared" ca="1" si="87"/>
        <v>79.335366637588677</v>
      </c>
      <c r="P120" s="14"/>
      <c r="Q120" s="14"/>
      <c r="R120" s="14"/>
      <c r="S120" s="14"/>
      <c r="T120" s="14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6"/>
      <c r="AS120" s="1"/>
      <c r="AT120" s="1"/>
    </row>
    <row r="121" spans="1:46" s="9" customFormat="1">
      <c r="A121" s="1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1"/>
      <c r="AT121" s="1"/>
    </row>
    <row r="122" spans="1:46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</row>
    <row r="123" spans="1:46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</row>
    <row r="124" spans="1:46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</row>
    <row r="125" spans="1:46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</row>
    <row r="126" spans="1:46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</row>
    <row r="127" spans="1:46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</row>
    <row r="128" spans="1:46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</row>
    <row r="129" spans="1:44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</row>
    <row r="130" spans="1:44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</row>
    <row r="131" spans="1:44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</row>
    <row r="132" spans="1:44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</row>
    <row r="133" spans="1:44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</row>
    <row r="134" spans="1:44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</row>
    <row r="135" spans="1:44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</row>
    <row r="136" spans="1:44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</row>
    <row r="137" spans="1:44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</row>
    <row r="138" spans="1:44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</row>
    <row r="139" spans="1:44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</row>
    <row r="140" spans="1:44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</row>
    <row r="141" spans="1:44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</row>
    <row r="142" spans="1:44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</row>
    <row r="143" spans="1:44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</row>
    <row r="144" spans="1:44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</row>
    <row r="145" spans="1:44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</row>
    <row r="146" spans="1:44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</row>
  </sheetData>
  <sortState xmlns:xlrd2="http://schemas.microsoft.com/office/spreadsheetml/2017/richdata2" ref="M13:M29">
    <sortCondition ref="M13"/>
  </sortState>
  <mergeCells count="19">
    <mergeCell ref="L5:M5"/>
    <mergeCell ref="N9:O9"/>
    <mergeCell ref="N6:O6"/>
    <mergeCell ref="J6:K6"/>
    <mergeCell ref="J9:K9"/>
    <mergeCell ref="L6:M6"/>
    <mergeCell ref="L9:M9"/>
    <mergeCell ref="F6:G6"/>
    <mergeCell ref="F9:G9"/>
    <mergeCell ref="H6:I6"/>
    <mergeCell ref="H9:I9"/>
    <mergeCell ref="J5:K5"/>
    <mergeCell ref="AE37:AE38"/>
    <mergeCell ref="D14:E14"/>
    <mergeCell ref="F14:G14"/>
    <mergeCell ref="H14:I14"/>
    <mergeCell ref="J14:K14"/>
    <mergeCell ref="L14:M14"/>
    <mergeCell ref="AE15:AE16"/>
  </mergeCells>
  <pageMargins left="0.7" right="0.7" top="0.75" bottom="0.75" header="0.3" footer="0.3"/>
  <pageSetup orientation="portrait" r:id="rId1"/>
  <ignoredErrors>
    <ignoredError sqref="AF15:AO1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34"/>
  <sheetViews>
    <sheetView tabSelected="1" topLeftCell="J8" zoomScaleNormal="130" workbookViewId="0">
      <selection activeCell="V67" sqref="V67"/>
    </sheetView>
  </sheetViews>
  <sheetFormatPr baseColWidth="10" defaultColWidth="8.83203125" defaultRowHeight="15"/>
  <cols>
    <col min="1" max="1" width="9.1640625" style="1"/>
    <col min="4" max="4" width="14.5" bestFit="1" customWidth="1"/>
    <col min="5" max="5" width="19.5" customWidth="1"/>
    <col min="7" max="7" width="12.5" customWidth="1"/>
    <col min="10" max="10" width="11" bestFit="1" customWidth="1"/>
    <col min="11" max="11" width="15.33203125" customWidth="1"/>
    <col min="13" max="13" width="9.33203125" bestFit="1" customWidth="1"/>
    <col min="14" max="14" width="9.5" bestFit="1" customWidth="1"/>
    <col min="15" max="15" width="7.5" customWidth="1"/>
    <col min="16" max="16" width="12.83203125" customWidth="1"/>
    <col min="17" max="17" width="10.5" customWidth="1"/>
    <col min="22" max="22" width="28.5" customWidth="1"/>
    <col min="23" max="23" width="11.83203125" customWidth="1"/>
    <col min="24" max="24" width="11.5" customWidth="1"/>
    <col min="25" max="25" width="28.1640625" bestFit="1" customWidth="1"/>
    <col min="26" max="26" width="15.83203125" customWidth="1"/>
    <col min="28" max="28" width="9.1640625" style="1"/>
  </cols>
  <sheetData>
    <row r="1" spans="2:34" ht="16" thickBo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C1" s="1"/>
      <c r="AD1" s="1"/>
      <c r="AE1" s="1"/>
      <c r="AF1" s="1"/>
      <c r="AG1" s="1"/>
      <c r="AH1" s="1"/>
    </row>
    <row r="2" spans="2:34"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9"/>
      <c r="AC2" s="1"/>
      <c r="AD2" s="1"/>
      <c r="AE2" s="1"/>
      <c r="AF2" s="1"/>
      <c r="AG2" s="1"/>
      <c r="AH2" s="1"/>
    </row>
    <row r="3" spans="2:34" ht="19">
      <c r="B3" s="40"/>
      <c r="C3" s="41" t="s">
        <v>77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 t="s">
        <v>75</v>
      </c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3"/>
      <c r="AC3" s="1"/>
      <c r="AD3" s="1"/>
      <c r="AE3" s="1"/>
      <c r="AF3" s="1"/>
      <c r="AG3" s="1"/>
      <c r="AH3" s="1"/>
    </row>
    <row r="4" spans="2:34">
      <c r="B4" s="40"/>
      <c r="C4" s="111" t="s">
        <v>73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3"/>
      <c r="AC4" s="1"/>
      <c r="AD4" s="1"/>
      <c r="AE4" s="1"/>
      <c r="AF4" s="1"/>
      <c r="AG4" s="1"/>
      <c r="AH4" s="1"/>
    </row>
    <row r="5" spans="2:34">
      <c r="B5" s="40"/>
      <c r="C5" s="111"/>
      <c r="D5" s="42"/>
      <c r="E5" s="42"/>
      <c r="F5" s="42"/>
      <c r="G5" s="42"/>
      <c r="H5" s="42"/>
      <c r="I5" s="42"/>
      <c r="J5" s="42"/>
      <c r="K5" s="42"/>
      <c r="L5" s="42"/>
      <c r="M5" s="42"/>
      <c r="N5" s="42" t="s">
        <v>76</v>
      </c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3"/>
      <c r="AC5" s="1"/>
      <c r="AD5" s="1"/>
      <c r="AE5" s="1"/>
      <c r="AF5" s="1"/>
      <c r="AG5" s="1"/>
      <c r="AH5" s="1"/>
    </row>
    <row r="6" spans="2:34">
      <c r="B6" s="40"/>
      <c r="C6" s="42"/>
      <c r="D6" s="42">
        <v>100</v>
      </c>
      <c r="E6" s="42"/>
      <c r="F6" s="42"/>
      <c r="G6" s="42"/>
      <c r="H6" s="42"/>
      <c r="I6" s="42"/>
      <c r="J6" s="42"/>
      <c r="K6" s="42"/>
      <c r="L6" s="42"/>
      <c r="M6" s="42"/>
      <c r="N6" s="42" t="s">
        <v>74</v>
      </c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3"/>
      <c r="AC6" s="1"/>
      <c r="AD6" s="1"/>
      <c r="AE6" s="1"/>
      <c r="AF6" s="1"/>
      <c r="AG6" s="1"/>
      <c r="AH6" s="1"/>
    </row>
    <row r="7" spans="2:34">
      <c r="B7" s="40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3"/>
      <c r="AC7" s="1"/>
      <c r="AD7" s="1"/>
      <c r="AE7" s="1"/>
      <c r="AF7" s="1"/>
      <c r="AG7" s="1"/>
      <c r="AH7" s="1"/>
    </row>
    <row r="8" spans="2:34" ht="31.5" customHeight="1" thickBot="1">
      <c r="B8" s="40"/>
      <c r="C8" s="133" t="s">
        <v>45</v>
      </c>
      <c r="D8" s="133"/>
      <c r="E8" s="133"/>
      <c r="F8" s="108"/>
      <c r="G8" s="109" t="s">
        <v>57</v>
      </c>
      <c r="H8" s="108"/>
      <c r="I8" s="133" t="s">
        <v>72</v>
      </c>
      <c r="J8" s="133"/>
      <c r="K8" s="133"/>
      <c r="L8" s="108"/>
      <c r="M8" s="133" t="s">
        <v>49</v>
      </c>
      <c r="N8" s="133"/>
      <c r="O8" s="108"/>
      <c r="P8" s="133" t="s">
        <v>56</v>
      </c>
      <c r="Q8" s="133"/>
      <c r="R8" s="108"/>
      <c r="S8" s="133" t="s">
        <v>58</v>
      </c>
      <c r="T8" s="133"/>
      <c r="U8" s="108"/>
      <c r="V8" s="133" t="s">
        <v>69</v>
      </c>
      <c r="W8" s="133"/>
      <c r="X8" s="133"/>
      <c r="Y8" s="133"/>
      <c r="Z8" s="42"/>
      <c r="AA8" s="43"/>
      <c r="AC8" s="1"/>
      <c r="AD8" s="1"/>
      <c r="AE8" s="1"/>
      <c r="AF8" s="1"/>
      <c r="AG8" s="1"/>
      <c r="AH8" s="1"/>
    </row>
    <row r="9" spans="2:34" ht="16" thickBot="1">
      <c r="B9" s="40"/>
      <c r="C9" s="66" t="s">
        <v>23</v>
      </c>
      <c r="D9" s="67" t="s">
        <v>46</v>
      </c>
      <c r="E9" s="68" t="s">
        <v>47</v>
      </c>
      <c r="F9" s="42"/>
      <c r="G9" s="69" t="s">
        <v>48</v>
      </c>
      <c r="H9" s="42"/>
      <c r="I9" s="66" t="s">
        <v>48</v>
      </c>
      <c r="J9" s="67" t="s">
        <v>0</v>
      </c>
      <c r="K9" s="68" t="s">
        <v>9</v>
      </c>
      <c r="L9" s="42"/>
      <c r="M9" s="114" t="s">
        <v>50</v>
      </c>
      <c r="N9" s="115" t="s">
        <v>53</v>
      </c>
      <c r="O9" s="50"/>
      <c r="P9" s="66" t="s">
        <v>54</v>
      </c>
      <c r="Q9" s="68" t="s">
        <v>55</v>
      </c>
      <c r="R9" s="48"/>
      <c r="S9" s="92" t="s">
        <v>51</v>
      </c>
      <c r="T9" s="93" t="s">
        <v>52</v>
      </c>
      <c r="U9" s="42"/>
      <c r="V9" s="94" t="s">
        <v>64</v>
      </c>
      <c r="W9" s="67"/>
      <c r="X9" s="67"/>
      <c r="Y9" s="68"/>
      <c r="Z9" s="42"/>
      <c r="AA9" s="43"/>
      <c r="AC9" s="1"/>
      <c r="AD9" s="1"/>
      <c r="AE9" s="1"/>
      <c r="AF9" s="1"/>
      <c r="AG9" s="1"/>
      <c r="AH9" s="1"/>
    </row>
    <row r="10" spans="2:34" ht="16" thickBot="1">
      <c r="B10" s="40"/>
      <c r="C10" s="70">
        <v>0.25</v>
      </c>
      <c r="D10" s="42">
        <v>15.403415078408999</v>
      </c>
      <c r="E10">
        <v>7.22201716489782</v>
      </c>
      <c r="F10" s="42"/>
      <c r="G10" s="78">
        <f>E10/D10</f>
        <v>0.46885818035384486</v>
      </c>
      <c r="H10" s="42"/>
      <c r="I10" s="78">
        <v>18.288281840959066</v>
      </c>
      <c r="J10" s="42">
        <v>17.006827519679199</v>
      </c>
      <c r="K10">
        <v>311.02565490047198</v>
      </c>
      <c r="L10" s="42"/>
      <c r="M10" s="81">
        <f>J10*0.25</f>
        <v>4.2517068799197997</v>
      </c>
      <c r="N10" s="13">
        <f>K10*0.25</f>
        <v>77.756413725117994</v>
      </c>
      <c r="O10" s="12"/>
      <c r="P10" s="86">
        <f>M10/SUM($M$10:$M$65)</f>
        <v>2.063289355634584E-2</v>
      </c>
      <c r="Q10" s="87">
        <f>N10/SUM($N$10:$N$65)</f>
        <v>0.4101413258651197</v>
      </c>
      <c r="R10" s="42"/>
      <c r="S10" s="86">
        <f>P10</f>
        <v>2.063289355634584E-2</v>
      </c>
      <c r="T10" s="87">
        <f>Q10</f>
        <v>0.4101413258651197</v>
      </c>
      <c r="U10" s="42"/>
      <c r="V10" s="37"/>
      <c r="W10" s="38"/>
      <c r="X10" s="38"/>
      <c r="Y10" s="39"/>
      <c r="Z10" s="42"/>
      <c r="AA10" s="43"/>
      <c r="AC10" s="1"/>
      <c r="AD10" s="1"/>
      <c r="AE10" s="1"/>
      <c r="AF10" s="1"/>
      <c r="AG10" s="1"/>
      <c r="AH10" s="1"/>
    </row>
    <row r="11" spans="2:34" ht="16" thickBot="1">
      <c r="B11" s="40"/>
      <c r="C11" s="71">
        <f>C10+0.25</f>
        <v>0.5</v>
      </c>
      <c r="D11" s="42">
        <v>8.4400902427440698</v>
      </c>
      <c r="E11">
        <v>6.4863798667876402</v>
      </c>
      <c r="F11" s="42"/>
      <c r="G11" s="79">
        <f t="shared" ref="G11:G65" si="0">E11/D11</f>
        <v>0.76852020301133261</v>
      </c>
      <c r="H11" s="42"/>
      <c r="I11" s="79">
        <v>6.0476545286403045</v>
      </c>
      <c r="J11" s="42">
        <v>9.9792003749785412</v>
      </c>
      <c r="K11">
        <v>60.350756339947999</v>
      </c>
      <c r="L11" s="42"/>
      <c r="M11" s="82">
        <f t="shared" ref="M11:M65" si="1">J11*0.25</f>
        <v>2.4948000937446353</v>
      </c>
      <c r="N11" s="84">
        <f t="shared" ref="N11:N65" si="2">K11*0.25</f>
        <v>15.087689084987</v>
      </c>
      <c r="O11" s="12"/>
      <c r="P11" s="86">
        <f t="shared" ref="P11:P65" si="3">M11/SUM($M$10:$M$65)</f>
        <v>1.2106889358178346E-2</v>
      </c>
      <c r="Q11" s="87">
        <f t="shared" ref="Q11:Q65" si="4">N11/SUM($N$10:$N$65)</f>
        <v>7.9582950255823057E-2</v>
      </c>
      <c r="R11" s="42"/>
      <c r="S11" s="88">
        <f>P11+S10</f>
        <v>3.2739782914524188E-2</v>
      </c>
      <c r="T11" s="89">
        <f>Q11+T10</f>
        <v>0.48972427612094277</v>
      </c>
      <c r="U11" s="42"/>
      <c r="V11" s="40"/>
      <c r="W11" s="42"/>
      <c r="X11" s="42"/>
      <c r="Y11" s="43"/>
      <c r="Z11" s="42"/>
      <c r="AA11" s="43"/>
      <c r="AC11" s="1"/>
      <c r="AD11" s="1"/>
      <c r="AE11" s="1"/>
      <c r="AF11" s="1"/>
      <c r="AG11" s="1"/>
      <c r="AH11" s="1"/>
    </row>
    <row r="12" spans="2:34" ht="16" thickBot="1">
      <c r="B12" s="40"/>
      <c r="C12" s="71">
        <f t="shared" ref="C12:C65" si="5">C11+0.25</f>
        <v>0.75</v>
      </c>
      <c r="D12" s="42">
        <v>10.841463219091201</v>
      </c>
      <c r="E12">
        <v>11.7901046226792</v>
      </c>
      <c r="F12" s="42"/>
      <c r="G12" s="79">
        <f t="shared" si="0"/>
        <v>1.0875012334052376</v>
      </c>
      <c r="H12" s="42"/>
      <c r="I12" s="79">
        <v>3.2083053960344921</v>
      </c>
      <c r="J12" s="42">
        <v>9.9211125397102009</v>
      </c>
      <c r="K12">
        <v>31.8299588958177</v>
      </c>
      <c r="L12" s="42"/>
      <c r="M12" s="82">
        <f t="shared" si="1"/>
        <v>2.4802781349275502</v>
      </c>
      <c r="N12" s="84">
        <f t="shared" si="2"/>
        <v>7.9574897239544251</v>
      </c>
      <c r="O12" s="12"/>
      <c r="P12" s="86">
        <f t="shared" si="3"/>
        <v>1.2036416477764678E-2</v>
      </c>
      <c r="Q12" s="87">
        <f t="shared" si="4"/>
        <v>4.1973327081138871E-2</v>
      </c>
      <c r="R12" s="42"/>
      <c r="S12" s="88">
        <f t="shared" ref="S12:S65" si="6">P12+S11</f>
        <v>4.4776199392288864E-2</v>
      </c>
      <c r="T12" s="89">
        <f t="shared" ref="T12:T65" si="7">Q12+T11</f>
        <v>0.53169760320208159</v>
      </c>
      <c r="U12" s="42"/>
      <c r="V12" s="40"/>
      <c r="W12" s="42"/>
      <c r="X12" s="42"/>
      <c r="Y12" s="43"/>
      <c r="Z12" s="42"/>
      <c r="AA12" s="43"/>
      <c r="AC12" s="1"/>
      <c r="AD12" s="1"/>
      <c r="AE12" s="1"/>
      <c r="AF12" s="1"/>
      <c r="AG12" s="1"/>
      <c r="AH12" s="1"/>
    </row>
    <row r="13" spans="2:34" ht="16" thickBot="1">
      <c r="B13" s="40"/>
      <c r="C13" s="71">
        <f t="shared" si="5"/>
        <v>1</v>
      </c>
      <c r="D13" s="42">
        <v>10.664887811966</v>
      </c>
      <c r="E13">
        <v>4.27694627644079</v>
      </c>
      <c r="F13" s="42"/>
      <c r="G13" s="79">
        <f t="shared" si="0"/>
        <v>0.40103059233703869</v>
      </c>
      <c r="H13" s="42"/>
      <c r="I13" s="79">
        <v>2.361209728501692</v>
      </c>
      <c r="J13" s="42">
        <v>10.885035096219401</v>
      </c>
      <c r="K13">
        <v>25.701850764275601</v>
      </c>
      <c r="L13" s="42"/>
      <c r="M13" s="82">
        <f t="shared" si="1"/>
        <v>2.7212587740548502</v>
      </c>
      <c r="N13" s="84">
        <f t="shared" si="2"/>
        <v>6.4254626910689003</v>
      </c>
      <c r="O13" s="12"/>
      <c r="P13" s="86">
        <f t="shared" si="3"/>
        <v>1.3205859249028241E-2</v>
      </c>
      <c r="Q13" s="87">
        <f t="shared" si="4"/>
        <v>3.3892352555356484E-2</v>
      </c>
      <c r="R13" s="42"/>
      <c r="S13" s="88">
        <f t="shared" si="6"/>
        <v>5.7982058641317107E-2</v>
      </c>
      <c r="T13" s="89">
        <f t="shared" si="7"/>
        <v>0.56558995575743809</v>
      </c>
      <c r="U13" s="42"/>
      <c r="V13" s="40"/>
      <c r="W13" s="42"/>
      <c r="X13" s="42"/>
      <c r="Y13" s="43"/>
      <c r="Z13" s="42"/>
      <c r="AA13" s="43"/>
      <c r="AC13" s="1"/>
      <c r="AD13" s="1"/>
      <c r="AE13" s="1"/>
      <c r="AF13" s="1"/>
      <c r="AG13" s="1"/>
      <c r="AH13" s="1"/>
    </row>
    <row r="14" spans="2:34" ht="16" thickBot="1">
      <c r="B14" s="40"/>
      <c r="C14" s="71">
        <f t="shared" si="5"/>
        <v>1.25</v>
      </c>
      <c r="D14" s="42">
        <v>11.944090922995001</v>
      </c>
      <c r="E14">
        <v>2.2009398417870498</v>
      </c>
      <c r="F14" s="42"/>
      <c r="G14" s="79">
        <f t="shared" si="0"/>
        <v>0.18427018481161733</v>
      </c>
      <c r="H14" s="42"/>
      <c r="I14" s="79">
        <v>2.0285368512084712</v>
      </c>
      <c r="J14" s="42">
        <v>5.7774161027092301</v>
      </c>
      <c r="K14">
        <v>11.7197014691109</v>
      </c>
      <c r="L14" s="42"/>
      <c r="M14" s="82">
        <f t="shared" si="1"/>
        <v>1.4443540256773075</v>
      </c>
      <c r="N14" s="84">
        <f t="shared" si="2"/>
        <v>2.929925367277725</v>
      </c>
      <c r="O14" s="12"/>
      <c r="P14" s="86">
        <f t="shared" si="3"/>
        <v>7.0092326943388987E-3</v>
      </c>
      <c r="Q14" s="87">
        <f t="shared" si="4"/>
        <v>1.5454461146694435E-2</v>
      </c>
      <c r="R14" s="42"/>
      <c r="S14" s="88">
        <f t="shared" si="6"/>
        <v>6.499129133565601E-2</v>
      </c>
      <c r="T14" s="89">
        <f t="shared" si="7"/>
        <v>0.58104441690413255</v>
      </c>
      <c r="U14" s="42"/>
      <c r="V14" s="40"/>
      <c r="W14" s="42"/>
      <c r="X14" s="42"/>
      <c r="Y14" s="43"/>
      <c r="Z14" s="42"/>
      <c r="AA14" s="43"/>
      <c r="AC14" s="1"/>
      <c r="AD14" s="1"/>
      <c r="AE14" s="1"/>
      <c r="AF14" s="1"/>
      <c r="AG14" s="1"/>
      <c r="AH14" s="1"/>
    </row>
    <row r="15" spans="2:34" ht="16" thickBot="1">
      <c r="B15" s="40"/>
      <c r="C15" s="71">
        <f t="shared" si="5"/>
        <v>1.5</v>
      </c>
      <c r="D15" s="42">
        <v>9.9792003749785412</v>
      </c>
      <c r="E15">
        <v>60.350756339947999</v>
      </c>
      <c r="F15" s="42"/>
      <c r="G15" s="79">
        <f t="shared" si="0"/>
        <v>6.0476545286403045</v>
      </c>
      <c r="H15" s="42"/>
      <c r="I15" s="79">
        <v>1.7907721964139731</v>
      </c>
      <c r="J15" s="42">
        <v>9.8741978994039208</v>
      </c>
      <c r="K15">
        <v>17.6824390601418</v>
      </c>
      <c r="L15" s="42"/>
      <c r="M15" s="82">
        <f t="shared" si="1"/>
        <v>2.4685494748509802</v>
      </c>
      <c r="N15" s="84">
        <f t="shared" si="2"/>
        <v>4.4206097650354499</v>
      </c>
      <c r="O15" s="12"/>
      <c r="P15" s="86">
        <f t="shared" si="3"/>
        <v>1.1979499055714408E-2</v>
      </c>
      <c r="Q15" s="87">
        <f t="shared" si="4"/>
        <v>2.3317365903389772E-2</v>
      </c>
      <c r="R15" s="42"/>
      <c r="S15" s="88">
        <f t="shared" si="6"/>
        <v>7.6970790391370419E-2</v>
      </c>
      <c r="T15" s="89">
        <f t="shared" si="7"/>
        <v>0.60436178280752229</v>
      </c>
      <c r="U15" s="42"/>
      <c r="V15" s="40"/>
      <c r="W15" s="42"/>
      <c r="X15" s="42"/>
      <c r="Y15" s="43"/>
      <c r="Z15" s="42"/>
      <c r="AA15" s="43"/>
      <c r="AC15" s="1"/>
      <c r="AD15" s="1"/>
      <c r="AE15" s="1"/>
      <c r="AF15" s="1"/>
      <c r="AG15" s="1"/>
      <c r="AH15" s="1"/>
    </row>
    <row r="16" spans="2:34" ht="16" thickBot="1">
      <c r="B16" s="40"/>
      <c r="C16" s="71">
        <f t="shared" si="5"/>
        <v>1.75</v>
      </c>
      <c r="D16" s="42">
        <v>30.638194939048702</v>
      </c>
      <c r="E16">
        <v>0.391301899840935</v>
      </c>
      <c r="F16" s="42"/>
      <c r="G16" s="79">
        <f t="shared" si="0"/>
        <v>1.2771702139090988E-2</v>
      </c>
      <c r="H16" s="42"/>
      <c r="I16" s="79">
        <v>1.5583642615182174</v>
      </c>
      <c r="J16" s="42">
        <v>19.1813905154366</v>
      </c>
      <c r="K16">
        <v>29.891593465480899</v>
      </c>
      <c r="L16" s="42"/>
      <c r="M16" s="82">
        <f t="shared" si="1"/>
        <v>4.7953476288591501</v>
      </c>
      <c r="N16" s="84">
        <f t="shared" si="2"/>
        <v>7.4728983663702246</v>
      </c>
      <c r="O16" s="12"/>
      <c r="P16" s="86">
        <f t="shared" si="3"/>
        <v>2.3271100286620088E-2</v>
      </c>
      <c r="Q16" s="87">
        <f t="shared" si="4"/>
        <v>3.9417255724697717E-2</v>
      </c>
      <c r="R16" s="42"/>
      <c r="S16" s="88">
        <f t="shared" si="6"/>
        <v>0.10024189067799051</v>
      </c>
      <c r="T16" s="89">
        <f t="shared" si="7"/>
        <v>0.64377903853221996</v>
      </c>
      <c r="U16" s="42"/>
      <c r="V16" s="40"/>
      <c r="W16" s="42"/>
      <c r="X16" s="42"/>
      <c r="Y16" s="43"/>
      <c r="Z16" s="42"/>
      <c r="AA16" s="43"/>
      <c r="AC16" s="1"/>
      <c r="AD16" s="1"/>
      <c r="AE16" s="1"/>
      <c r="AF16" s="1"/>
      <c r="AG16" s="1"/>
      <c r="AH16" s="1"/>
    </row>
    <row r="17" spans="2:34" ht="16" thickBot="1">
      <c r="B17" s="40"/>
      <c r="C17" s="71">
        <f t="shared" si="5"/>
        <v>2</v>
      </c>
      <c r="D17" s="42">
        <v>12.3321555254402</v>
      </c>
      <c r="E17">
        <v>15.7332470322118</v>
      </c>
      <c r="F17" s="42"/>
      <c r="G17" s="79">
        <f t="shared" si="0"/>
        <v>1.2757905136498995</v>
      </c>
      <c r="H17" s="42"/>
      <c r="I17" s="79">
        <v>1.3992758229434894</v>
      </c>
      <c r="J17" s="42">
        <v>14.601179669355599</v>
      </c>
      <c r="K17">
        <v>20.431077697783302</v>
      </c>
      <c r="L17" s="42"/>
      <c r="M17" s="82">
        <f t="shared" si="1"/>
        <v>3.6502949173388997</v>
      </c>
      <c r="N17" s="84">
        <f t="shared" si="2"/>
        <v>5.1077694244458254</v>
      </c>
      <c r="O17" s="12"/>
      <c r="P17" s="86">
        <f t="shared" si="3"/>
        <v>1.7714331821516455E-2</v>
      </c>
      <c r="Q17" s="87">
        <f t="shared" si="4"/>
        <v>2.694192316226646E-2</v>
      </c>
      <c r="R17" s="42"/>
      <c r="S17" s="88">
        <f t="shared" si="6"/>
        <v>0.11795622249950696</v>
      </c>
      <c r="T17" s="89">
        <f t="shared" si="7"/>
        <v>0.67072096169448647</v>
      </c>
      <c r="U17" s="42"/>
      <c r="V17" s="40"/>
      <c r="W17" s="42"/>
      <c r="X17" s="42"/>
      <c r="Y17" s="43"/>
      <c r="Z17" s="42"/>
      <c r="AA17" s="43"/>
      <c r="AC17" s="1"/>
      <c r="AD17" s="1"/>
      <c r="AE17" s="1"/>
      <c r="AF17" s="1"/>
      <c r="AG17" s="1"/>
      <c r="AH17" s="1"/>
    </row>
    <row r="18" spans="2:34" ht="16" thickBot="1">
      <c r="B18" s="40"/>
      <c r="C18" s="71">
        <f t="shared" si="5"/>
        <v>2.25</v>
      </c>
      <c r="D18" s="42">
        <v>11.631050745423099</v>
      </c>
      <c r="E18">
        <v>1.8422173667335699</v>
      </c>
      <c r="F18" s="42"/>
      <c r="G18" s="79">
        <f t="shared" si="0"/>
        <v>0.15838787114384276</v>
      </c>
      <c r="H18" s="42"/>
      <c r="I18" s="79">
        <v>1.3813260275631458</v>
      </c>
      <c r="J18" s="42">
        <v>41.521687002175803</v>
      </c>
      <c r="K18">
        <v>57.354986964435803</v>
      </c>
      <c r="L18" s="42"/>
      <c r="M18" s="82">
        <f t="shared" si="1"/>
        <v>10.380421750543951</v>
      </c>
      <c r="N18" s="84">
        <f t="shared" si="2"/>
        <v>14.338746741108951</v>
      </c>
      <c r="O18" s="12"/>
      <c r="P18" s="86">
        <f t="shared" si="3"/>
        <v>5.0374624379795091E-2</v>
      </c>
      <c r="Q18" s="87">
        <f t="shared" si="4"/>
        <v>7.5632508212539293E-2</v>
      </c>
      <c r="R18" s="42"/>
      <c r="S18" s="88">
        <f t="shared" si="6"/>
        <v>0.16833084687930205</v>
      </c>
      <c r="T18" s="89">
        <f t="shared" si="7"/>
        <v>0.74635346990702578</v>
      </c>
      <c r="U18" s="42"/>
      <c r="V18" s="40"/>
      <c r="W18" s="42"/>
      <c r="X18" s="42"/>
      <c r="Y18" s="43"/>
      <c r="Z18" s="42"/>
      <c r="AA18" s="43"/>
      <c r="AC18" s="1"/>
      <c r="AD18" s="1"/>
      <c r="AE18" s="1"/>
      <c r="AF18" s="1"/>
      <c r="AG18" s="1"/>
      <c r="AH18" s="1"/>
    </row>
    <row r="19" spans="2:34" ht="16" thickBot="1">
      <c r="B19" s="40"/>
      <c r="C19" s="71">
        <f t="shared" si="5"/>
        <v>2.5</v>
      </c>
      <c r="D19" s="42">
        <v>9.319264102828539</v>
      </c>
      <c r="E19">
        <v>8.4465480789422398E-2</v>
      </c>
      <c r="F19" s="42"/>
      <c r="G19" s="79">
        <f t="shared" si="0"/>
        <v>9.06353547419971E-3</v>
      </c>
      <c r="H19" s="42"/>
      <c r="I19" s="79">
        <v>1.2757905136498995</v>
      </c>
      <c r="J19" s="42">
        <v>12.3321555254402</v>
      </c>
      <c r="K19">
        <v>15.7332470322118</v>
      </c>
      <c r="L19" s="42"/>
      <c r="M19" s="82">
        <f t="shared" si="1"/>
        <v>3.08303888136005</v>
      </c>
      <c r="N19" s="84">
        <f t="shared" si="2"/>
        <v>3.93331175805295</v>
      </c>
      <c r="O19" s="12"/>
      <c r="P19" s="86">
        <f t="shared" si="3"/>
        <v>1.4961523657618039E-2</v>
      </c>
      <c r="Q19" s="87">
        <f t="shared" si="4"/>
        <v>2.074701779832187E-2</v>
      </c>
      <c r="R19" s="42"/>
      <c r="S19" s="88">
        <f t="shared" si="6"/>
        <v>0.1832923705369201</v>
      </c>
      <c r="T19" s="89">
        <f t="shared" si="7"/>
        <v>0.76710048770534767</v>
      </c>
      <c r="U19" s="42"/>
      <c r="V19" s="40"/>
      <c r="W19" s="42"/>
      <c r="X19" s="42"/>
      <c r="Y19" s="43"/>
      <c r="Z19" s="42"/>
      <c r="AA19" s="43"/>
      <c r="AC19" s="1"/>
      <c r="AD19" s="1"/>
      <c r="AE19" s="1"/>
      <c r="AF19" s="1"/>
      <c r="AG19" s="1"/>
      <c r="AH19" s="1"/>
    </row>
    <row r="20" spans="2:34" ht="16" thickBot="1">
      <c r="B20" s="40"/>
      <c r="C20" s="71">
        <f t="shared" si="5"/>
        <v>2.75</v>
      </c>
      <c r="D20" s="42">
        <v>11.880445072209</v>
      </c>
      <c r="E20">
        <v>5.3364671116588998</v>
      </c>
      <c r="F20" s="42"/>
      <c r="G20" s="79">
        <f t="shared" si="0"/>
        <v>0.4491807402184016</v>
      </c>
      <c r="H20" s="42"/>
      <c r="I20" s="79">
        <v>1.1155636279924974</v>
      </c>
      <c r="J20" s="42">
        <v>12.3130077245228</v>
      </c>
      <c r="K20">
        <v>13.735943568668301</v>
      </c>
      <c r="L20" s="42"/>
      <c r="M20" s="82">
        <f t="shared" si="1"/>
        <v>3.0782519311306999</v>
      </c>
      <c r="N20" s="84">
        <f t="shared" si="2"/>
        <v>3.4339858921670752</v>
      </c>
      <c r="O20" s="12"/>
      <c r="P20" s="86">
        <f t="shared" si="3"/>
        <v>1.4938293308647328E-2</v>
      </c>
      <c r="Q20" s="87">
        <f t="shared" si="4"/>
        <v>1.8113226412351271E-2</v>
      </c>
      <c r="R20" s="42"/>
      <c r="S20" s="88">
        <f t="shared" si="6"/>
        <v>0.19823066384556742</v>
      </c>
      <c r="T20" s="89">
        <f t="shared" si="7"/>
        <v>0.78521371411769891</v>
      </c>
      <c r="U20" s="42"/>
      <c r="V20" s="40"/>
      <c r="W20" s="42"/>
      <c r="X20" s="42"/>
      <c r="Y20" s="43"/>
      <c r="Z20" s="42"/>
      <c r="AA20" s="43"/>
      <c r="AC20" s="1"/>
      <c r="AD20" s="1"/>
      <c r="AE20" s="1"/>
      <c r="AF20" s="1"/>
      <c r="AG20" s="1"/>
      <c r="AH20" s="1"/>
    </row>
    <row r="21" spans="2:34" ht="16" thickBot="1">
      <c r="B21" s="40"/>
      <c r="C21" s="71">
        <f t="shared" si="5"/>
        <v>3</v>
      </c>
      <c r="D21" s="42">
        <v>17.2241133747027</v>
      </c>
      <c r="E21">
        <v>8.9623274069567405</v>
      </c>
      <c r="F21" s="42"/>
      <c r="G21" s="79">
        <f t="shared" si="0"/>
        <v>0.52033606676787425</v>
      </c>
      <c r="H21" s="42"/>
      <c r="I21" s="79">
        <v>1.0875012334052376</v>
      </c>
      <c r="J21" s="42">
        <v>10.841463219091201</v>
      </c>
      <c r="K21">
        <v>11.7901046226792</v>
      </c>
      <c r="L21" s="42"/>
      <c r="M21" s="82">
        <f t="shared" si="1"/>
        <v>2.7103658047728003</v>
      </c>
      <c r="N21" s="84">
        <f t="shared" si="2"/>
        <v>2.9475261556698</v>
      </c>
      <c r="O21" s="12"/>
      <c r="P21" s="86">
        <f t="shared" si="3"/>
        <v>1.3152997308622481E-2</v>
      </c>
      <c r="Q21" s="87">
        <f t="shared" si="4"/>
        <v>1.554729992798027E-2</v>
      </c>
      <c r="R21" s="42"/>
      <c r="S21" s="88">
        <f t="shared" si="6"/>
        <v>0.21138366115418991</v>
      </c>
      <c r="T21" s="89">
        <f t="shared" si="7"/>
        <v>0.80076101404567923</v>
      </c>
      <c r="U21" s="42"/>
      <c r="V21" s="40"/>
      <c r="W21" s="42"/>
      <c r="X21" s="42"/>
      <c r="Y21" s="43"/>
      <c r="Z21" s="42"/>
      <c r="AA21" s="43"/>
      <c r="AC21" s="1"/>
      <c r="AD21" s="1"/>
      <c r="AE21" s="1"/>
      <c r="AF21" s="1"/>
      <c r="AG21" s="1"/>
      <c r="AH21" s="1"/>
    </row>
    <row r="22" spans="2:34" ht="16" thickBot="1">
      <c r="B22" s="40"/>
      <c r="C22" s="71">
        <f t="shared" si="5"/>
        <v>3.25</v>
      </c>
      <c r="D22" s="42">
        <v>9.44869910449518</v>
      </c>
      <c r="E22">
        <v>2.6013688119760499</v>
      </c>
      <c r="F22" s="42"/>
      <c r="G22" s="79">
        <f t="shared" si="0"/>
        <v>0.27531502307428324</v>
      </c>
      <c r="H22" s="42"/>
      <c r="I22" s="79">
        <v>0.98004752897929481</v>
      </c>
      <c r="J22" s="42">
        <v>10.530840749898001</v>
      </c>
      <c r="K22">
        <v>10.320724455012</v>
      </c>
      <c r="L22" s="42"/>
      <c r="M22" s="82">
        <f t="shared" si="1"/>
        <v>2.6327101874745003</v>
      </c>
      <c r="N22" s="84">
        <f t="shared" si="2"/>
        <v>2.580181113753</v>
      </c>
      <c r="O22" s="12"/>
      <c r="P22" s="86">
        <f t="shared" si="3"/>
        <v>1.277614628595782E-2</v>
      </c>
      <c r="Q22" s="87">
        <f t="shared" si="4"/>
        <v>1.3609667064994141E-2</v>
      </c>
      <c r="R22" s="42"/>
      <c r="S22" s="88">
        <f t="shared" si="6"/>
        <v>0.22415980744014774</v>
      </c>
      <c r="T22" s="89">
        <f t="shared" si="7"/>
        <v>0.81437068111067334</v>
      </c>
      <c r="U22" s="42"/>
      <c r="V22" s="40"/>
      <c r="W22" s="42"/>
      <c r="X22" s="42"/>
      <c r="Y22" s="43"/>
      <c r="Z22" s="42"/>
      <c r="AA22" s="43"/>
      <c r="AC22" s="1"/>
      <c r="AD22" s="1"/>
      <c r="AE22" s="1"/>
      <c r="AF22" s="1"/>
      <c r="AG22" s="1"/>
      <c r="AH22" s="1"/>
    </row>
    <row r="23" spans="2:34" ht="16" thickBot="1">
      <c r="B23" s="40"/>
      <c r="C23" s="71">
        <f t="shared" si="5"/>
        <v>3.5</v>
      </c>
      <c r="D23" s="42">
        <v>10.9691391578341</v>
      </c>
      <c r="E23">
        <v>0.71032721477847505</v>
      </c>
      <c r="F23" s="42"/>
      <c r="G23" s="79">
        <f t="shared" si="0"/>
        <v>6.4756878781245406E-2</v>
      </c>
      <c r="H23" s="42"/>
      <c r="I23" s="79">
        <v>0.76852020301133261</v>
      </c>
      <c r="J23" s="42">
        <v>8.4400902427440698</v>
      </c>
      <c r="K23">
        <v>6.4863798667876402</v>
      </c>
      <c r="L23" s="42"/>
      <c r="M23" s="82">
        <f t="shared" si="1"/>
        <v>2.1100225606860175</v>
      </c>
      <c r="N23" s="84">
        <f t="shared" si="2"/>
        <v>1.6215949666969101</v>
      </c>
      <c r="O23" s="12"/>
      <c r="P23" s="86">
        <f t="shared" si="3"/>
        <v>1.0239621903790342E-2</v>
      </c>
      <c r="Q23" s="87">
        <f t="shared" si="4"/>
        <v>8.5534180113868933E-3</v>
      </c>
      <c r="R23" s="42"/>
      <c r="S23" s="88">
        <f t="shared" si="6"/>
        <v>0.23439942934393809</v>
      </c>
      <c r="T23" s="89">
        <f t="shared" si="7"/>
        <v>0.82292409912206022</v>
      </c>
      <c r="U23" s="42"/>
      <c r="V23" s="40"/>
      <c r="W23" s="42"/>
      <c r="X23" s="42"/>
      <c r="Y23" s="43"/>
      <c r="Z23" s="42"/>
      <c r="AA23" s="43"/>
      <c r="AC23" s="1"/>
      <c r="AD23" s="1"/>
      <c r="AE23" s="1"/>
      <c r="AF23" s="1"/>
      <c r="AG23" s="1"/>
      <c r="AH23" s="1"/>
    </row>
    <row r="24" spans="2:34" ht="16" thickBot="1">
      <c r="B24" s="40"/>
      <c r="C24" s="71">
        <f t="shared" si="5"/>
        <v>3.75</v>
      </c>
      <c r="D24" s="42">
        <v>9.3869951641106493</v>
      </c>
      <c r="E24">
        <v>2.6054325284046902</v>
      </c>
      <c r="F24" s="42"/>
      <c r="G24" s="79">
        <f t="shared" si="0"/>
        <v>0.27755767238125945</v>
      </c>
      <c r="H24" s="42"/>
      <c r="I24" s="79">
        <v>0.65680702084358211</v>
      </c>
      <c r="J24" s="42">
        <v>10.5491363415646</v>
      </c>
      <c r="K24">
        <v>6.9287468129758096</v>
      </c>
      <c r="L24" s="42"/>
      <c r="M24" s="82">
        <f t="shared" si="1"/>
        <v>2.6372840853911499</v>
      </c>
      <c r="N24" s="84">
        <f t="shared" si="2"/>
        <v>1.7321867032439524</v>
      </c>
      <c r="O24" s="12"/>
      <c r="P24" s="86">
        <f t="shared" si="3"/>
        <v>1.2798342724121874E-2</v>
      </c>
      <c r="Q24" s="87">
        <f t="shared" si="4"/>
        <v>9.1367556331228839E-3</v>
      </c>
      <c r="R24" s="42"/>
      <c r="S24" s="88">
        <f t="shared" si="6"/>
        <v>0.24719777206805996</v>
      </c>
      <c r="T24" s="89">
        <f t="shared" si="7"/>
        <v>0.8320608547551831</v>
      </c>
      <c r="U24" s="42"/>
      <c r="V24" s="40"/>
      <c r="W24" s="42"/>
      <c r="X24" s="42"/>
      <c r="Y24" s="43"/>
      <c r="Z24" s="42"/>
      <c r="AA24" s="43"/>
      <c r="AC24" s="1"/>
      <c r="AD24" s="1"/>
      <c r="AE24" s="1"/>
      <c r="AF24" s="1"/>
      <c r="AG24" s="1"/>
      <c r="AH24" s="1"/>
    </row>
    <row r="25" spans="2:34" ht="16" thickBot="1">
      <c r="B25" s="40"/>
      <c r="C25" s="71">
        <f t="shared" si="5"/>
        <v>4</v>
      </c>
      <c r="D25" s="42">
        <v>22.865319210804898</v>
      </c>
      <c r="E25">
        <v>0.102372452220494</v>
      </c>
      <c r="F25" s="42"/>
      <c r="G25" s="79">
        <f t="shared" si="0"/>
        <v>4.4771932233562866E-3</v>
      </c>
      <c r="H25" s="42"/>
      <c r="I25" s="79">
        <v>0.63945280625130863</v>
      </c>
      <c r="J25" s="42">
        <v>10.810474130096701</v>
      </c>
      <c r="K25">
        <v>6.9127880193975102</v>
      </c>
      <c r="L25" s="42"/>
      <c r="M25" s="82">
        <f t="shared" si="1"/>
        <v>2.7026185325241752</v>
      </c>
      <c r="N25" s="84">
        <f t="shared" si="2"/>
        <v>1.7281970048493775</v>
      </c>
      <c r="O25" s="12"/>
      <c r="P25" s="86">
        <f t="shared" si="3"/>
        <v>1.3115400962455521E-2</v>
      </c>
      <c r="Q25" s="87">
        <f t="shared" si="4"/>
        <v>9.1157111930444401E-3</v>
      </c>
      <c r="R25" s="42"/>
      <c r="S25" s="88">
        <f t="shared" si="6"/>
        <v>0.26031317303051549</v>
      </c>
      <c r="T25" s="89">
        <f t="shared" si="7"/>
        <v>0.84117656594822754</v>
      </c>
      <c r="U25" s="42"/>
      <c r="V25" s="40"/>
      <c r="W25" s="42"/>
      <c r="X25" s="42"/>
      <c r="Y25" s="43"/>
      <c r="Z25" s="42"/>
      <c r="AA25" s="43"/>
      <c r="AC25" s="1"/>
      <c r="AD25" s="1"/>
      <c r="AE25" s="1"/>
      <c r="AF25" s="1"/>
      <c r="AG25" s="1"/>
      <c r="AH25" s="1"/>
    </row>
    <row r="26" spans="2:34" ht="16" thickBot="1">
      <c r="B26" s="40"/>
      <c r="C26" s="71">
        <f t="shared" si="5"/>
        <v>4.25</v>
      </c>
      <c r="D26" s="42">
        <v>10.746520523176301</v>
      </c>
      <c r="E26">
        <v>7.0615106144738607E-2</v>
      </c>
      <c r="F26" s="42"/>
      <c r="G26" s="79">
        <f t="shared" si="0"/>
        <v>6.5709739252298206E-3</v>
      </c>
      <c r="H26" s="42"/>
      <c r="I26" s="79">
        <v>0.61192009271508996</v>
      </c>
      <c r="J26" s="42">
        <v>10.394072985397401</v>
      </c>
      <c r="K26">
        <v>6.3603421049117896</v>
      </c>
      <c r="L26" s="42"/>
      <c r="M26" s="82">
        <f t="shared" si="1"/>
        <v>2.5985182463493501</v>
      </c>
      <c r="N26" s="84">
        <f t="shared" si="2"/>
        <v>1.5900855262279474</v>
      </c>
      <c r="O26" s="12"/>
      <c r="P26" s="86">
        <f t="shared" si="3"/>
        <v>1.261021794196686E-2</v>
      </c>
      <c r="Q26" s="87">
        <f t="shared" si="4"/>
        <v>8.3872153398375799E-3</v>
      </c>
      <c r="R26" s="42"/>
      <c r="S26" s="88">
        <f t="shared" si="6"/>
        <v>0.27292339097248236</v>
      </c>
      <c r="T26" s="89">
        <f t="shared" si="7"/>
        <v>0.84956378128806509</v>
      </c>
      <c r="U26" s="42"/>
      <c r="V26" s="40"/>
      <c r="W26" s="42"/>
      <c r="X26" s="42"/>
      <c r="Y26" s="43"/>
      <c r="Z26" s="42"/>
      <c r="AA26" s="43"/>
      <c r="AC26" s="1"/>
      <c r="AD26" s="1"/>
      <c r="AE26" s="1"/>
      <c r="AF26" s="1"/>
      <c r="AG26" s="1"/>
      <c r="AH26" s="1"/>
    </row>
    <row r="27" spans="2:34" ht="16" thickBot="1">
      <c r="B27" s="40"/>
      <c r="C27" s="71">
        <f t="shared" si="5"/>
        <v>4.5</v>
      </c>
      <c r="D27" s="42">
        <v>14.601179669355599</v>
      </c>
      <c r="E27">
        <v>20.431077697783302</v>
      </c>
      <c r="F27" s="42"/>
      <c r="G27" s="79">
        <f t="shared" si="0"/>
        <v>1.3992758229434894</v>
      </c>
      <c r="H27" s="42"/>
      <c r="I27" s="79">
        <v>0.54633340404466779</v>
      </c>
      <c r="J27" s="42">
        <v>30.695938180655304</v>
      </c>
      <c r="K27">
        <v>16.7702163965821</v>
      </c>
      <c r="L27" s="42"/>
      <c r="M27" s="82">
        <f t="shared" si="1"/>
        <v>7.673984545163826</v>
      </c>
      <c r="N27" s="84">
        <f t="shared" si="2"/>
        <v>4.192554099145525</v>
      </c>
      <c r="O27" s="12"/>
      <c r="P27" s="86">
        <f t="shared" si="3"/>
        <v>3.7240691972724838E-2</v>
      </c>
      <c r="Q27" s="87">
        <f t="shared" si="4"/>
        <v>2.2114441942547022E-2</v>
      </c>
      <c r="R27" s="42"/>
      <c r="S27" s="88">
        <f t="shared" si="6"/>
        <v>0.3101640829452072</v>
      </c>
      <c r="T27" s="89">
        <f t="shared" si="7"/>
        <v>0.87167822323061206</v>
      </c>
      <c r="U27" s="42"/>
      <c r="V27" s="40"/>
      <c r="W27" s="42"/>
      <c r="X27" s="42"/>
      <c r="Y27" s="43"/>
      <c r="Z27" s="42"/>
      <c r="AA27" s="43"/>
      <c r="AC27" s="1"/>
      <c r="AD27" s="1"/>
      <c r="AE27" s="1"/>
      <c r="AF27" s="1"/>
      <c r="AG27" s="1"/>
      <c r="AH27" s="1"/>
    </row>
    <row r="28" spans="2:34" ht="16" thickBot="1">
      <c r="B28" s="40"/>
      <c r="C28" s="71">
        <f t="shared" si="5"/>
        <v>4.75</v>
      </c>
      <c r="D28" s="42">
        <v>12.3130077245228</v>
      </c>
      <c r="E28">
        <v>13.735943568668301</v>
      </c>
      <c r="F28" s="42"/>
      <c r="G28" s="79">
        <f t="shared" si="0"/>
        <v>1.1155636279924974</v>
      </c>
      <c r="H28" s="42"/>
      <c r="I28" s="79">
        <v>0.52033606676787425</v>
      </c>
      <c r="J28" s="42">
        <v>17.2241133747027</v>
      </c>
      <c r="K28">
        <v>8.9623274069567405</v>
      </c>
      <c r="L28" s="42"/>
      <c r="M28" s="82">
        <f t="shared" si="1"/>
        <v>4.306028343675675</v>
      </c>
      <c r="N28" s="84">
        <f t="shared" si="2"/>
        <v>2.2405818517391851</v>
      </c>
      <c r="O28" s="12"/>
      <c r="P28" s="86">
        <f t="shared" si="3"/>
        <v>2.0896507443933739E-2</v>
      </c>
      <c r="Q28" s="87">
        <f t="shared" si="4"/>
        <v>1.1818384713964507E-2</v>
      </c>
      <c r="R28" s="42"/>
      <c r="S28" s="88">
        <f t="shared" si="6"/>
        <v>0.33106059038914093</v>
      </c>
      <c r="T28" s="89">
        <f t="shared" si="7"/>
        <v>0.88349660794457652</v>
      </c>
      <c r="U28" s="42"/>
      <c r="V28" s="40"/>
      <c r="W28" s="42"/>
      <c r="X28" s="42"/>
      <c r="Y28" s="43"/>
      <c r="Z28" s="42"/>
      <c r="AA28" s="43"/>
      <c r="AC28" s="1"/>
      <c r="AD28" s="1"/>
      <c r="AE28" s="1"/>
      <c r="AF28" s="1"/>
      <c r="AG28" s="1"/>
      <c r="AH28" s="1"/>
    </row>
    <row r="29" spans="2:34" ht="16" thickBot="1">
      <c r="B29" s="40"/>
      <c r="C29" s="71">
        <f t="shared" si="5"/>
        <v>5</v>
      </c>
      <c r="D29" s="42">
        <v>25.0083771308839</v>
      </c>
      <c r="E29">
        <v>0.83866083893819499</v>
      </c>
      <c r="F29" s="42"/>
      <c r="G29" s="79">
        <f t="shared" si="0"/>
        <v>3.3535196408346596E-2</v>
      </c>
      <c r="H29" s="42"/>
      <c r="I29" s="79">
        <v>0.50542386487338531</v>
      </c>
      <c r="J29" s="42">
        <v>14.453437242773601</v>
      </c>
      <c r="K29">
        <v>7.3051121119475599</v>
      </c>
      <c r="L29" s="42"/>
      <c r="M29" s="82">
        <f t="shared" si="1"/>
        <v>3.6133593106934003</v>
      </c>
      <c r="N29" s="84">
        <f t="shared" si="2"/>
        <v>1.82627802798689</v>
      </c>
      <c r="O29" s="12"/>
      <c r="P29" s="86">
        <f t="shared" si="3"/>
        <v>1.7535088881709179E-2</v>
      </c>
      <c r="Q29" s="87">
        <f t="shared" si="4"/>
        <v>9.6330586238819321E-3</v>
      </c>
      <c r="R29" s="42"/>
      <c r="S29" s="88">
        <f t="shared" si="6"/>
        <v>0.34859567927085011</v>
      </c>
      <c r="T29" s="89">
        <f t="shared" si="7"/>
        <v>0.89312966656845849</v>
      </c>
      <c r="U29" s="42"/>
      <c r="V29" s="40"/>
      <c r="W29" s="42"/>
      <c r="X29" s="42"/>
      <c r="Y29" s="43"/>
      <c r="Z29" s="42"/>
      <c r="AA29" s="43"/>
      <c r="AC29" s="1"/>
      <c r="AD29" s="1"/>
      <c r="AE29" s="1"/>
      <c r="AF29" s="1"/>
      <c r="AG29" s="1"/>
      <c r="AH29" s="1"/>
    </row>
    <row r="30" spans="2:34" ht="16" thickBot="1">
      <c r="B30" s="40"/>
      <c r="C30" s="71">
        <f t="shared" si="5"/>
        <v>5.25</v>
      </c>
      <c r="D30" s="42">
        <v>16.238046218525501</v>
      </c>
      <c r="E30">
        <v>0.48471835544743902</v>
      </c>
      <c r="F30" s="42"/>
      <c r="G30" s="79">
        <f t="shared" si="0"/>
        <v>2.9850780624976814E-2</v>
      </c>
      <c r="H30" s="42"/>
      <c r="I30" s="79">
        <v>0.48865423794986879</v>
      </c>
      <c r="J30" s="42">
        <v>12.180494289001199</v>
      </c>
      <c r="K30">
        <v>5.9520501546446098</v>
      </c>
      <c r="L30" s="42"/>
      <c r="M30" s="82">
        <f t="shared" si="1"/>
        <v>3.0451235722502998</v>
      </c>
      <c r="N30" s="84">
        <f t="shared" si="2"/>
        <v>1.4880125386611525</v>
      </c>
      <c r="O30" s="12"/>
      <c r="P30" s="86">
        <f t="shared" si="3"/>
        <v>1.47775263692085E-2</v>
      </c>
      <c r="Q30" s="87">
        <f t="shared" si="4"/>
        <v>7.848811516280892E-3</v>
      </c>
      <c r="R30" s="42"/>
      <c r="S30" s="88">
        <f t="shared" si="6"/>
        <v>0.36337320564005859</v>
      </c>
      <c r="T30" s="89">
        <f t="shared" si="7"/>
        <v>0.90097847808473941</v>
      </c>
      <c r="U30" s="42"/>
      <c r="V30" s="54"/>
      <c r="W30" s="55"/>
      <c r="X30" s="55"/>
      <c r="Y30" s="56"/>
      <c r="Z30" s="42"/>
      <c r="AA30" s="43"/>
      <c r="AC30" s="1"/>
      <c r="AD30" s="1"/>
      <c r="AE30" s="1"/>
      <c r="AF30" s="1"/>
      <c r="AG30" s="1"/>
      <c r="AH30" s="1"/>
    </row>
    <row r="31" spans="2:34" ht="16" thickBot="1">
      <c r="B31" s="40"/>
      <c r="C31" s="71">
        <f t="shared" si="5"/>
        <v>5.5</v>
      </c>
      <c r="D31" s="42">
        <v>11.3054209779446</v>
      </c>
      <c r="E31">
        <v>3.7832759094153001</v>
      </c>
      <c r="F31" s="42"/>
      <c r="G31" s="79">
        <f t="shared" si="0"/>
        <v>0.33464263885404866</v>
      </c>
      <c r="H31" s="42"/>
      <c r="I31" s="79">
        <v>0.46885818035384486</v>
      </c>
      <c r="J31" s="42">
        <v>15.403415078408999</v>
      </c>
      <c r="K31">
        <v>7.22201716489782</v>
      </c>
      <c r="L31" s="42"/>
      <c r="M31" s="82">
        <f t="shared" si="1"/>
        <v>3.8508537696022498</v>
      </c>
      <c r="N31" s="84">
        <f t="shared" si="2"/>
        <v>1.805504291224455</v>
      </c>
      <c r="O31" s="12"/>
      <c r="P31" s="86">
        <f t="shared" si="3"/>
        <v>1.8687613745083737E-2</v>
      </c>
      <c r="Q31" s="87">
        <f t="shared" si="4"/>
        <v>9.523483509357767E-3</v>
      </c>
      <c r="R31" s="42"/>
      <c r="S31" s="88">
        <f t="shared" si="6"/>
        <v>0.38206081938514236</v>
      </c>
      <c r="T31" s="89">
        <f t="shared" si="7"/>
        <v>0.91050196159409713</v>
      </c>
      <c r="U31" s="42"/>
      <c r="V31" s="113" t="s">
        <v>59</v>
      </c>
      <c r="W31" s="44"/>
      <c r="X31" s="42"/>
      <c r="Y31" s="42"/>
      <c r="Z31" s="42"/>
      <c r="AA31" s="43"/>
      <c r="AC31" s="1"/>
      <c r="AD31" s="1"/>
      <c r="AE31" s="1"/>
      <c r="AF31" s="1"/>
      <c r="AG31" s="1"/>
      <c r="AH31" s="1"/>
    </row>
    <row r="32" spans="2:34" ht="16" thickBot="1">
      <c r="B32" s="40"/>
      <c r="C32" s="71">
        <f t="shared" si="5"/>
        <v>5.75</v>
      </c>
      <c r="D32" s="42">
        <v>10.5491363415646</v>
      </c>
      <c r="E32">
        <v>6.9287468129758096</v>
      </c>
      <c r="F32" s="42"/>
      <c r="G32" s="79">
        <f t="shared" si="0"/>
        <v>0.65680702084358211</v>
      </c>
      <c r="H32" s="42"/>
      <c r="I32" s="79">
        <v>0.4491807402184016</v>
      </c>
      <c r="J32" s="42">
        <v>11.880445072209</v>
      </c>
      <c r="K32">
        <v>5.3364671116588998</v>
      </c>
      <c r="L32" s="42"/>
      <c r="M32" s="82">
        <f t="shared" si="1"/>
        <v>2.9701112680522499</v>
      </c>
      <c r="N32" s="84">
        <f t="shared" si="2"/>
        <v>1.3341167779147249</v>
      </c>
      <c r="O32" s="12"/>
      <c r="P32" s="86">
        <f t="shared" si="3"/>
        <v>1.4413502947169633E-2</v>
      </c>
      <c r="Q32" s="87">
        <f t="shared" si="4"/>
        <v>7.0370583973588018E-3</v>
      </c>
      <c r="R32" s="42"/>
      <c r="S32" s="88">
        <f t="shared" si="6"/>
        <v>0.396474322332312</v>
      </c>
      <c r="T32" s="89">
        <f t="shared" si="7"/>
        <v>0.91753901999145593</v>
      </c>
      <c r="U32" s="42"/>
      <c r="V32" s="112">
        <v>0</v>
      </c>
      <c r="W32" s="112">
        <v>0</v>
      </c>
      <c r="X32" s="42"/>
      <c r="Y32" s="42"/>
      <c r="Z32" s="42"/>
      <c r="AA32" s="43"/>
      <c r="AC32" s="1"/>
      <c r="AD32" s="1"/>
      <c r="AE32" s="1"/>
      <c r="AF32" s="1"/>
      <c r="AG32" s="1"/>
      <c r="AH32" s="1"/>
    </row>
    <row r="33" spans="2:34" ht="16" thickBot="1">
      <c r="B33" s="40"/>
      <c r="C33" s="71">
        <f t="shared" si="5"/>
        <v>6</v>
      </c>
      <c r="D33" s="42">
        <v>7.091300888770399</v>
      </c>
      <c r="E33">
        <v>0.34368236827953502</v>
      </c>
      <c r="F33" s="42"/>
      <c r="G33" s="79">
        <f t="shared" si="0"/>
        <v>4.8465348413544482E-2</v>
      </c>
      <c r="H33" s="42"/>
      <c r="I33" s="79">
        <v>0.412904841265825</v>
      </c>
      <c r="J33" s="42">
        <v>11.6941039415243</v>
      </c>
      <c r="K33">
        <v>4.8285521317211497</v>
      </c>
      <c r="L33" s="42"/>
      <c r="M33" s="82">
        <f t="shared" si="1"/>
        <v>2.9235259853810751</v>
      </c>
      <c r="N33" s="84">
        <f t="shared" si="2"/>
        <v>1.2071380329302874</v>
      </c>
      <c r="O33" s="12"/>
      <c r="P33" s="86">
        <f t="shared" si="3"/>
        <v>1.4187431581999518E-2</v>
      </c>
      <c r="Q33" s="87">
        <f t="shared" si="4"/>
        <v>6.3672843127576912E-3</v>
      </c>
      <c r="R33" s="42"/>
      <c r="S33" s="88">
        <f t="shared" si="6"/>
        <v>0.41066175391431153</v>
      </c>
      <c r="T33" s="89">
        <f t="shared" si="7"/>
        <v>0.92390630430421361</v>
      </c>
      <c r="U33" s="42"/>
      <c r="V33" s="112">
        <v>1</v>
      </c>
      <c r="W33" s="112">
        <v>1</v>
      </c>
      <c r="X33" s="42"/>
      <c r="Y33" s="42"/>
      <c r="Z33" s="42"/>
      <c r="AA33" s="43"/>
      <c r="AC33" s="1"/>
      <c r="AD33" s="1"/>
      <c r="AE33" s="1"/>
      <c r="AF33" s="1"/>
      <c r="AG33" s="1"/>
      <c r="AH33" s="1"/>
    </row>
    <row r="34" spans="2:34" ht="16" thickBot="1">
      <c r="B34" s="40"/>
      <c r="C34" s="71">
        <f t="shared" si="5"/>
        <v>6.25</v>
      </c>
      <c r="D34" s="42">
        <v>12.180494289001199</v>
      </c>
      <c r="E34">
        <v>5.9520501546446098</v>
      </c>
      <c r="F34" s="42"/>
      <c r="G34" s="79">
        <f t="shared" si="0"/>
        <v>0.48865423794986879</v>
      </c>
      <c r="H34" s="42"/>
      <c r="I34" s="79">
        <v>0.40103059233703869</v>
      </c>
      <c r="J34" s="42">
        <v>10.664887811966</v>
      </c>
      <c r="K34">
        <v>4.27694627644079</v>
      </c>
      <c r="L34" s="42"/>
      <c r="M34" s="82">
        <f t="shared" si="1"/>
        <v>2.6662219529915001</v>
      </c>
      <c r="N34" s="84">
        <f t="shared" si="2"/>
        <v>1.0692365691101975</v>
      </c>
      <c r="O34" s="12"/>
      <c r="P34" s="86">
        <f t="shared" si="3"/>
        <v>1.2938773840096859E-2</v>
      </c>
      <c r="Q34" s="87">
        <f t="shared" si="4"/>
        <v>5.6398962234631101E-3</v>
      </c>
      <c r="R34" s="42"/>
      <c r="S34" s="88">
        <f t="shared" si="6"/>
        <v>0.42360052775440837</v>
      </c>
      <c r="T34" s="89">
        <f t="shared" si="7"/>
        <v>0.92954620052767667</v>
      </c>
      <c r="U34" s="42"/>
      <c r="V34" s="51" t="s">
        <v>70</v>
      </c>
      <c r="W34" s="42"/>
      <c r="X34" s="42"/>
      <c r="Y34" s="42"/>
      <c r="Z34" s="42"/>
      <c r="AA34" s="43"/>
      <c r="AC34" s="1"/>
      <c r="AD34" s="1"/>
      <c r="AE34" s="1"/>
      <c r="AF34" s="1"/>
      <c r="AG34" s="1"/>
      <c r="AH34" s="1"/>
    </row>
    <row r="35" spans="2:34" ht="16" thickBot="1">
      <c r="B35" s="40"/>
      <c r="C35" s="71">
        <f t="shared" si="5"/>
        <v>6.5</v>
      </c>
      <c r="D35" s="42">
        <v>7.3210917686507102</v>
      </c>
      <c r="E35">
        <v>0.48630139125274802</v>
      </c>
      <c r="F35" s="42"/>
      <c r="G35" s="79">
        <f t="shared" si="0"/>
        <v>6.6424709130831483E-2</v>
      </c>
      <c r="H35" s="42"/>
      <c r="I35" s="79">
        <v>0.38890404989044253</v>
      </c>
      <c r="J35" s="42">
        <v>19.824979407978098</v>
      </c>
      <c r="K35">
        <v>7.7100147807573096</v>
      </c>
      <c r="L35" s="42"/>
      <c r="M35" s="82">
        <f t="shared" si="1"/>
        <v>4.9562448519945246</v>
      </c>
      <c r="N35" s="84">
        <f t="shared" si="2"/>
        <v>1.9275036951893274</v>
      </c>
      <c r="O35" s="12"/>
      <c r="P35" s="86">
        <f t="shared" si="3"/>
        <v>2.4051910293571094E-2</v>
      </c>
      <c r="Q35" s="87">
        <f t="shared" si="4"/>
        <v>1.0166993091394258E-2</v>
      </c>
      <c r="R35" s="42"/>
      <c r="S35" s="88">
        <f t="shared" si="6"/>
        <v>0.4476524380479795</v>
      </c>
      <c r="T35" s="89">
        <f t="shared" si="7"/>
        <v>0.93971319361907091</v>
      </c>
      <c r="U35" s="42"/>
      <c r="V35" s="94" t="s">
        <v>60</v>
      </c>
      <c r="W35" s="76"/>
      <c r="X35" s="76"/>
      <c r="Y35" s="77"/>
      <c r="Z35" s="42"/>
      <c r="AA35" s="43"/>
      <c r="AC35" s="1"/>
      <c r="AD35" s="1"/>
      <c r="AE35" s="1"/>
      <c r="AF35" s="1"/>
      <c r="AG35" s="1"/>
      <c r="AH35" s="1"/>
    </row>
    <row r="36" spans="2:34" ht="16" thickBot="1">
      <c r="B36" s="40"/>
      <c r="C36" s="71">
        <f t="shared" si="5"/>
        <v>6.75</v>
      </c>
      <c r="D36" s="42">
        <v>17.006827519679199</v>
      </c>
      <c r="E36">
        <v>311.02565490047198</v>
      </c>
      <c r="F36" s="42"/>
      <c r="G36" s="79">
        <f t="shared" si="0"/>
        <v>18.288281840959066</v>
      </c>
      <c r="H36" s="42"/>
      <c r="I36" s="79">
        <v>0.3784817061775434</v>
      </c>
      <c r="J36" s="42">
        <v>6.9874768331718506</v>
      </c>
      <c r="K36">
        <v>2.64463215369494</v>
      </c>
      <c r="L36" s="42"/>
      <c r="M36" s="82">
        <f t="shared" si="1"/>
        <v>1.7468692082929627</v>
      </c>
      <c r="N36" s="84">
        <f t="shared" si="2"/>
        <v>0.66115803842373499</v>
      </c>
      <c r="O36" s="12"/>
      <c r="P36" s="86">
        <f t="shared" si="3"/>
        <v>8.4772933434787267E-3</v>
      </c>
      <c r="Q36" s="87">
        <f t="shared" si="4"/>
        <v>3.4874066523196117E-3</v>
      </c>
      <c r="R36" s="42"/>
      <c r="S36" s="88">
        <f t="shared" si="6"/>
        <v>0.45612973139145824</v>
      </c>
      <c r="T36" s="89">
        <f t="shared" si="7"/>
        <v>0.94320060027139052</v>
      </c>
      <c r="U36" s="42"/>
      <c r="V36" s="116" t="s">
        <v>78</v>
      </c>
      <c r="W36" s="95" t="e">
        <f>INDEX(LINEST(y,x^{1,2,3},FALSE),1)</f>
        <v>#VALUE!</v>
      </c>
      <c r="X36" s="38"/>
      <c r="Y36" s="39"/>
      <c r="Z36" s="42"/>
      <c r="AA36" s="43"/>
      <c r="AC36" s="1"/>
      <c r="AD36" s="1"/>
      <c r="AE36" s="1"/>
      <c r="AF36" s="1"/>
      <c r="AG36" s="1"/>
      <c r="AH36" s="1"/>
    </row>
    <row r="37" spans="2:34" ht="16" thickBot="1">
      <c r="B37" s="40"/>
      <c r="C37" s="71">
        <f t="shared" si="5"/>
        <v>7</v>
      </c>
      <c r="D37" s="42">
        <v>14.453437242773601</v>
      </c>
      <c r="E37">
        <v>7.3051121119475599</v>
      </c>
      <c r="F37" s="42"/>
      <c r="G37" s="79">
        <f t="shared" si="0"/>
        <v>0.50542386487338531</v>
      </c>
      <c r="H37" s="42"/>
      <c r="I37" s="79">
        <v>0.33464263885404866</v>
      </c>
      <c r="J37" s="42">
        <v>11.3054209779446</v>
      </c>
      <c r="K37">
        <v>3.7832759094153001</v>
      </c>
      <c r="L37" s="42"/>
      <c r="M37" s="82">
        <f t="shared" si="1"/>
        <v>2.8263552444861499</v>
      </c>
      <c r="N37" s="84">
        <f t="shared" si="2"/>
        <v>0.94581897735382503</v>
      </c>
      <c r="O37" s="12"/>
      <c r="P37" s="86">
        <f t="shared" si="3"/>
        <v>1.3715876601776124E-2</v>
      </c>
      <c r="Q37" s="87">
        <f t="shared" si="4"/>
        <v>4.9889061341184017E-3</v>
      </c>
      <c r="R37" s="42"/>
      <c r="S37" s="88">
        <f t="shared" si="6"/>
        <v>0.46984560799323438</v>
      </c>
      <c r="T37" s="89">
        <f t="shared" si="7"/>
        <v>0.94818950640550892</v>
      </c>
      <c r="U37" s="42"/>
      <c r="V37" s="117" t="s">
        <v>80</v>
      </c>
      <c r="W37" s="96" t="e">
        <f>INDEX(LINEST(y,x^{1,2,3},FALSE),1,2)</f>
        <v>#VALUE!</v>
      </c>
      <c r="X37" s="42"/>
      <c r="Y37" s="43"/>
      <c r="Z37" s="42"/>
      <c r="AA37" s="43"/>
      <c r="AC37" s="1"/>
      <c r="AD37" s="1"/>
      <c r="AE37" s="1"/>
      <c r="AF37" s="1"/>
      <c r="AG37" s="1"/>
      <c r="AH37" s="1"/>
    </row>
    <row r="38" spans="2:34" ht="16" thickBot="1">
      <c r="B38" s="40"/>
      <c r="C38" s="71">
        <f t="shared" si="5"/>
        <v>7.25</v>
      </c>
      <c r="D38" s="42">
        <v>10.973746734551201</v>
      </c>
      <c r="E38">
        <v>3.2813709582720398</v>
      </c>
      <c r="F38" s="42"/>
      <c r="G38" s="79">
        <f t="shared" si="0"/>
        <v>0.29902011023641872</v>
      </c>
      <c r="H38" s="42"/>
      <c r="I38" s="79">
        <v>0.29902011023641872</v>
      </c>
      <c r="J38" s="42">
        <v>10.973746734551201</v>
      </c>
      <c r="K38">
        <v>3.2813709582720398</v>
      </c>
      <c r="L38" s="42"/>
      <c r="M38" s="82">
        <f t="shared" si="1"/>
        <v>2.7434366836378001</v>
      </c>
      <c r="N38" s="84">
        <f t="shared" si="2"/>
        <v>0.82034273956800996</v>
      </c>
      <c r="O38" s="12"/>
      <c r="P38" s="86">
        <f t="shared" si="3"/>
        <v>1.3313485306197992E-2</v>
      </c>
      <c r="Q38" s="87">
        <f t="shared" si="4"/>
        <v>4.327057315936386E-3</v>
      </c>
      <c r="R38" s="42"/>
      <c r="S38" s="88">
        <f t="shared" si="6"/>
        <v>0.48315909329943235</v>
      </c>
      <c r="T38" s="89">
        <f t="shared" si="7"/>
        <v>0.95251656372144533</v>
      </c>
      <c r="U38" s="42"/>
      <c r="V38" s="118" t="s">
        <v>79</v>
      </c>
      <c r="W38" s="97" t="e">
        <f>INDEX(LINEST(y,x^{1,2,3},FALSE),1,3)</f>
        <v>#VALUE!</v>
      </c>
      <c r="X38" s="55"/>
      <c r="Y38" s="56"/>
      <c r="Z38" s="42"/>
      <c r="AA38" s="43"/>
      <c r="AC38" s="1"/>
      <c r="AD38" s="1"/>
      <c r="AE38" s="1"/>
      <c r="AF38" s="1"/>
      <c r="AG38" s="1"/>
      <c r="AH38" s="1"/>
    </row>
    <row r="39" spans="2:34" ht="16" thickBot="1">
      <c r="B39" s="40"/>
      <c r="C39" s="71">
        <f t="shared" si="5"/>
        <v>7.5</v>
      </c>
      <c r="D39" s="42">
        <v>30.695938180655304</v>
      </c>
      <c r="E39">
        <v>16.7702163965821</v>
      </c>
      <c r="F39" s="42"/>
      <c r="G39" s="79">
        <f t="shared" si="0"/>
        <v>0.54633340404466779</v>
      </c>
      <c r="H39" s="42"/>
      <c r="I39" s="79">
        <v>0.28313468012011844</v>
      </c>
      <c r="J39" s="42">
        <v>10.227155653634199</v>
      </c>
      <c r="K39">
        <v>2.8956624445303798</v>
      </c>
      <c r="L39" s="42"/>
      <c r="M39" s="82">
        <f t="shared" si="1"/>
        <v>2.5567889134085497</v>
      </c>
      <c r="N39" s="84">
        <f t="shared" si="2"/>
        <v>0.72391561113259495</v>
      </c>
      <c r="O39" s="12"/>
      <c r="P39" s="86">
        <f t="shared" si="3"/>
        <v>1.2407711769960691E-2</v>
      </c>
      <c r="Q39" s="87">
        <f t="shared" si="4"/>
        <v>3.8184336743461397E-3</v>
      </c>
      <c r="R39" s="42"/>
      <c r="S39" s="88">
        <f t="shared" si="6"/>
        <v>0.49556680506939305</v>
      </c>
      <c r="T39" s="89">
        <f t="shared" si="7"/>
        <v>0.95633499739579142</v>
      </c>
      <c r="U39" s="42"/>
      <c r="V39" s="110"/>
      <c r="W39" s="96"/>
      <c r="X39" s="42"/>
      <c r="Y39" s="42"/>
      <c r="Z39" s="42"/>
      <c r="AA39" s="43"/>
      <c r="AC39" s="1"/>
      <c r="AD39" s="1"/>
      <c r="AE39" s="1"/>
      <c r="AF39" s="1"/>
      <c r="AG39" s="1"/>
      <c r="AH39" s="1"/>
    </row>
    <row r="40" spans="2:34" ht="16" thickBot="1">
      <c r="B40" s="40"/>
      <c r="C40" s="71">
        <f t="shared" si="5"/>
        <v>7.75</v>
      </c>
      <c r="D40" s="42">
        <v>9.347921237765231</v>
      </c>
      <c r="E40">
        <v>6.9407030826511298E-2</v>
      </c>
      <c r="F40" s="42"/>
      <c r="G40" s="79">
        <f t="shared" si="0"/>
        <v>7.4248626043306445E-3</v>
      </c>
      <c r="H40" s="42"/>
      <c r="I40" s="79">
        <v>0.27862059085232727</v>
      </c>
      <c r="J40" s="42">
        <v>12.025324070415</v>
      </c>
      <c r="K40">
        <v>3.35050289768974</v>
      </c>
      <c r="L40" s="42"/>
      <c r="M40" s="82">
        <f t="shared" si="1"/>
        <v>3.0063310176037499</v>
      </c>
      <c r="N40" s="84">
        <f t="shared" si="2"/>
        <v>0.83762572442243499</v>
      </c>
      <c r="O40" s="12"/>
      <c r="P40" s="86">
        <f t="shared" si="3"/>
        <v>1.4589271940244645E-2</v>
      </c>
      <c r="Q40" s="87">
        <f t="shared" si="4"/>
        <v>4.4182197806580687E-3</v>
      </c>
      <c r="R40" s="42"/>
      <c r="S40" s="88">
        <f t="shared" si="6"/>
        <v>0.51015607700963772</v>
      </c>
      <c r="T40" s="89">
        <f t="shared" si="7"/>
        <v>0.96075321717644946</v>
      </c>
      <c r="U40" s="42"/>
      <c r="V40" s="94" t="s">
        <v>84</v>
      </c>
      <c r="W40" s="67"/>
      <c r="X40" s="67"/>
      <c r="Y40" s="68"/>
      <c r="Z40" s="42"/>
      <c r="AA40" s="43"/>
      <c r="AC40" s="1"/>
      <c r="AD40" s="1"/>
      <c r="AE40" s="1"/>
      <c r="AF40" s="1"/>
      <c r="AG40" s="1"/>
      <c r="AH40" s="1"/>
    </row>
    <row r="41" spans="2:34" ht="16" thickBot="1">
      <c r="B41" s="40"/>
      <c r="C41" s="71">
        <f t="shared" si="5"/>
        <v>8</v>
      </c>
      <c r="D41" s="42">
        <v>10.885035096219401</v>
      </c>
      <c r="E41">
        <v>25.701850764275601</v>
      </c>
      <c r="F41" s="42"/>
      <c r="G41" s="79">
        <f t="shared" si="0"/>
        <v>2.361209728501692</v>
      </c>
      <c r="H41" s="42"/>
      <c r="I41" s="79">
        <v>0.27755767238125945</v>
      </c>
      <c r="J41" s="42">
        <v>9.3869951641106493</v>
      </c>
      <c r="K41">
        <v>2.6054325284046902</v>
      </c>
      <c r="L41" s="42"/>
      <c r="M41" s="82">
        <f t="shared" si="1"/>
        <v>2.3467487910276623</v>
      </c>
      <c r="N41" s="84">
        <f t="shared" si="2"/>
        <v>0.65135813210117255</v>
      </c>
      <c r="O41" s="12"/>
      <c r="P41" s="86">
        <f t="shared" si="3"/>
        <v>1.1388418669555695E-2</v>
      </c>
      <c r="Q41" s="87">
        <f t="shared" si="4"/>
        <v>3.4357151405853023E-3</v>
      </c>
      <c r="R41" s="42"/>
      <c r="S41" s="88">
        <f t="shared" si="6"/>
        <v>0.52154449567919337</v>
      </c>
      <c r="T41" s="89">
        <f t="shared" si="7"/>
        <v>0.96418893231703473</v>
      </c>
      <c r="U41" s="42"/>
      <c r="V41" s="42"/>
      <c r="W41" s="42"/>
      <c r="X41" s="42"/>
      <c r="Y41" s="42"/>
      <c r="Z41" s="42"/>
      <c r="AA41" s="43"/>
      <c r="AC41" s="1"/>
      <c r="AD41" s="1"/>
      <c r="AE41" s="1"/>
      <c r="AF41" s="1"/>
      <c r="AG41" s="1"/>
      <c r="AH41" s="1"/>
    </row>
    <row r="42" spans="2:34" ht="16" thickBot="1">
      <c r="B42" s="40"/>
      <c r="C42" s="71">
        <f t="shared" si="5"/>
        <v>8.25</v>
      </c>
      <c r="D42" s="42">
        <v>21.596216649620299</v>
      </c>
      <c r="E42">
        <v>0.28404418660367398</v>
      </c>
      <c r="F42" s="42"/>
      <c r="G42" s="79">
        <f t="shared" si="0"/>
        <v>1.315249755140181E-2</v>
      </c>
      <c r="H42" s="42"/>
      <c r="I42" s="79">
        <v>0.27531502307428324</v>
      </c>
      <c r="J42" s="42">
        <v>9.44869910449518</v>
      </c>
      <c r="K42">
        <v>2.6013688119760499</v>
      </c>
      <c r="L42" s="42"/>
      <c r="M42" s="82">
        <f t="shared" si="1"/>
        <v>2.362174776123795</v>
      </c>
      <c r="N42" s="84">
        <f t="shared" si="2"/>
        <v>0.65034220299401246</v>
      </c>
      <c r="O42" s="12"/>
      <c r="P42" s="86">
        <f t="shared" si="3"/>
        <v>1.1463278653434991E-2</v>
      </c>
      <c r="Q42" s="87">
        <f t="shared" si="4"/>
        <v>3.4303564249368594E-3</v>
      </c>
      <c r="R42" s="42"/>
      <c r="S42" s="88">
        <f t="shared" si="6"/>
        <v>0.53300777433262836</v>
      </c>
      <c r="T42" s="89">
        <f t="shared" si="7"/>
        <v>0.96761928874197156</v>
      </c>
      <c r="U42" s="42"/>
      <c r="V42" s="9"/>
      <c r="W42" s="9"/>
      <c r="X42" s="9"/>
      <c r="Y42" s="9"/>
      <c r="Z42" s="42"/>
      <c r="AA42" s="43"/>
      <c r="AC42" s="1"/>
      <c r="AD42" s="1"/>
      <c r="AE42" s="1"/>
      <c r="AF42" s="1"/>
      <c r="AG42" s="1"/>
      <c r="AH42" s="1"/>
    </row>
    <row r="43" spans="2:34" ht="16" thickBot="1">
      <c r="B43" s="40"/>
      <c r="C43" s="71">
        <f t="shared" si="5"/>
        <v>8.5</v>
      </c>
      <c r="D43" s="42">
        <v>38.461757799683902</v>
      </c>
      <c r="E43">
        <v>9.4572732921374492</v>
      </c>
      <c r="F43" s="42"/>
      <c r="G43" s="79">
        <f t="shared" si="0"/>
        <v>0.24588770334919985</v>
      </c>
      <c r="H43" s="42"/>
      <c r="I43" s="79">
        <v>0.24588770334919985</v>
      </c>
      <c r="J43" s="42">
        <v>38.461757799683902</v>
      </c>
      <c r="K43">
        <v>9.4572732921374492</v>
      </c>
      <c r="L43" s="42"/>
      <c r="M43" s="82">
        <f t="shared" si="1"/>
        <v>9.6154394499209754</v>
      </c>
      <c r="N43" s="84">
        <f t="shared" si="2"/>
        <v>2.3643183230343623</v>
      </c>
      <c r="O43" s="12"/>
      <c r="P43" s="86">
        <f t="shared" si="3"/>
        <v>4.6662280413707728E-2</v>
      </c>
      <c r="Q43" s="87">
        <f t="shared" si="4"/>
        <v>1.2471056795450712E-2</v>
      </c>
      <c r="R43" s="42"/>
      <c r="S43" s="88">
        <f t="shared" si="6"/>
        <v>0.57967005474633604</v>
      </c>
      <c r="T43" s="89">
        <f t="shared" si="7"/>
        <v>0.98009034553742225</v>
      </c>
      <c r="U43" s="42"/>
      <c r="V43" s="9"/>
      <c r="W43" s="9"/>
      <c r="X43" s="9"/>
      <c r="Y43" s="9"/>
      <c r="Z43" s="42"/>
      <c r="AA43" s="43"/>
      <c r="AC43" s="1"/>
      <c r="AD43" s="1"/>
      <c r="AE43" s="1"/>
      <c r="AF43" s="1"/>
      <c r="AG43" s="1"/>
      <c r="AH43" s="1"/>
    </row>
    <row r="44" spans="2:34" ht="16" thickBot="1">
      <c r="B44" s="40"/>
      <c r="C44" s="71">
        <f t="shared" si="5"/>
        <v>8.75</v>
      </c>
      <c r="D44" s="42">
        <v>35.896804054987001</v>
      </c>
      <c r="E44">
        <v>0.14210157968439899</v>
      </c>
      <c r="F44" s="42"/>
      <c r="G44" s="79">
        <f t="shared" si="0"/>
        <v>3.9586136823413776E-3</v>
      </c>
      <c r="H44" s="42"/>
      <c r="I44" s="79">
        <v>0.24508231885545076</v>
      </c>
      <c r="J44" s="42">
        <v>11.3601694330226</v>
      </c>
      <c r="K44">
        <v>2.78417666723599</v>
      </c>
      <c r="L44" s="42"/>
      <c r="M44" s="82">
        <f t="shared" si="1"/>
        <v>2.84004235825565</v>
      </c>
      <c r="N44" s="84">
        <f t="shared" si="2"/>
        <v>0.6960441668089975</v>
      </c>
      <c r="O44" s="12"/>
      <c r="P44" s="86">
        <f t="shared" si="3"/>
        <v>1.3782298104827864E-2</v>
      </c>
      <c r="Q44" s="87">
        <f t="shared" si="4"/>
        <v>3.6714203209645465E-3</v>
      </c>
      <c r="R44" s="42"/>
      <c r="S44" s="88">
        <f t="shared" si="6"/>
        <v>0.59345235285116393</v>
      </c>
      <c r="T44" s="89">
        <f t="shared" si="7"/>
        <v>0.98376176585838682</v>
      </c>
      <c r="U44" s="42"/>
      <c r="V44" s="42"/>
      <c r="W44" s="42"/>
      <c r="X44" s="42"/>
      <c r="Y44" s="42"/>
      <c r="Z44" s="42"/>
      <c r="AA44" s="43"/>
      <c r="AC44" s="1"/>
      <c r="AD44" s="1"/>
      <c r="AE44" s="1"/>
      <c r="AF44" s="1"/>
      <c r="AG44" s="1"/>
      <c r="AH44" s="1"/>
    </row>
    <row r="45" spans="2:34" ht="16" thickBot="1">
      <c r="B45" s="40"/>
      <c r="C45" s="71">
        <f t="shared" si="5"/>
        <v>9</v>
      </c>
      <c r="D45" s="42">
        <v>12.025324070415</v>
      </c>
      <c r="E45">
        <v>3.35050289768974</v>
      </c>
      <c r="F45" s="42"/>
      <c r="G45" s="79">
        <f t="shared" si="0"/>
        <v>0.27862059085232727</v>
      </c>
      <c r="H45" s="42"/>
      <c r="I45" s="79">
        <v>0.18427018481161733</v>
      </c>
      <c r="J45" s="42">
        <v>11.944090922995001</v>
      </c>
      <c r="K45">
        <v>2.2009398417870498</v>
      </c>
      <c r="L45" s="42"/>
      <c r="M45" s="82">
        <f t="shared" si="1"/>
        <v>2.9860227307487501</v>
      </c>
      <c r="N45" s="84">
        <f t="shared" si="2"/>
        <v>0.55023496044676246</v>
      </c>
      <c r="O45" s="12"/>
      <c r="P45" s="86">
        <f t="shared" si="3"/>
        <v>1.4490718880773421E-2</v>
      </c>
      <c r="Q45" s="87">
        <f t="shared" si="4"/>
        <v>2.9023213057738587E-3</v>
      </c>
      <c r="R45" s="42"/>
      <c r="S45" s="88">
        <f t="shared" si="6"/>
        <v>0.6079430717319374</v>
      </c>
      <c r="T45" s="89">
        <f t="shared" si="7"/>
        <v>0.98666408716416065</v>
      </c>
      <c r="U45" s="42"/>
      <c r="W45" s="42"/>
      <c r="X45" s="42"/>
      <c r="Y45" s="42"/>
      <c r="Z45" s="42"/>
      <c r="AA45" s="43"/>
      <c r="AC45" s="1"/>
      <c r="AD45" s="1"/>
      <c r="AE45" s="1"/>
      <c r="AF45" s="1"/>
      <c r="AG45" s="1"/>
      <c r="AH45" s="1"/>
    </row>
    <row r="46" spans="2:34" ht="16" thickBot="1">
      <c r="B46" s="40"/>
      <c r="C46" s="71">
        <f t="shared" si="5"/>
        <v>9.25</v>
      </c>
      <c r="D46" s="42">
        <v>15.0127261863291</v>
      </c>
      <c r="E46">
        <v>8.11466800547294E-2</v>
      </c>
      <c r="F46" s="42"/>
      <c r="G46" s="79">
        <f t="shared" si="0"/>
        <v>5.4051928375689184E-3</v>
      </c>
      <c r="H46" s="42"/>
      <c r="I46" s="79">
        <v>0.15838787114384276</v>
      </c>
      <c r="J46" s="42">
        <v>11.631050745423099</v>
      </c>
      <c r="K46">
        <v>1.8422173667335699</v>
      </c>
      <c r="L46" s="42"/>
      <c r="M46" s="82">
        <f t="shared" si="1"/>
        <v>2.9077626863557748</v>
      </c>
      <c r="N46" s="84">
        <f t="shared" si="2"/>
        <v>0.46055434168339249</v>
      </c>
      <c r="O46" s="12"/>
      <c r="P46" s="86">
        <f t="shared" si="3"/>
        <v>1.411093466439169E-2</v>
      </c>
      <c r="Q46" s="87">
        <f t="shared" si="4"/>
        <v>2.4292834414757127E-3</v>
      </c>
      <c r="R46" s="42"/>
      <c r="S46" s="88">
        <f t="shared" si="6"/>
        <v>0.62205400639632913</v>
      </c>
      <c r="T46" s="89">
        <f t="shared" si="7"/>
        <v>0.9890933706056364</v>
      </c>
      <c r="U46" s="42"/>
      <c r="V46" s="9"/>
      <c r="W46" s="9"/>
      <c r="X46" s="9"/>
      <c r="Y46" s="9"/>
      <c r="Z46" s="9"/>
      <c r="AA46" s="43"/>
      <c r="AC46" s="1"/>
      <c r="AD46" s="1"/>
      <c r="AE46" s="1"/>
      <c r="AF46" s="1"/>
      <c r="AG46" s="1"/>
      <c r="AH46" s="1"/>
    </row>
    <row r="47" spans="2:34" ht="16" thickBot="1">
      <c r="B47" s="40"/>
      <c r="C47" s="71">
        <f t="shared" si="5"/>
        <v>9.5</v>
      </c>
      <c r="D47" s="42">
        <v>10.394072985397401</v>
      </c>
      <c r="E47">
        <v>6.3603421049117896</v>
      </c>
      <c r="F47" s="42"/>
      <c r="G47" s="79">
        <f t="shared" si="0"/>
        <v>0.61192009271508996</v>
      </c>
      <c r="H47" s="42"/>
      <c r="I47" s="79">
        <v>0.12962085506642532</v>
      </c>
      <c r="J47" s="42">
        <v>17.1078702815099</v>
      </c>
      <c r="K47">
        <v>2.2175367742547998</v>
      </c>
      <c r="L47" s="42"/>
      <c r="M47" s="82">
        <f t="shared" si="1"/>
        <v>4.276967570377475</v>
      </c>
      <c r="N47" s="84">
        <f t="shared" si="2"/>
        <v>0.55438419356369995</v>
      </c>
      <c r="O47" s="12"/>
      <c r="P47" s="86">
        <f t="shared" si="3"/>
        <v>2.0755479885105843E-2</v>
      </c>
      <c r="Q47" s="87">
        <f t="shared" si="4"/>
        <v>2.9242072427709052E-3</v>
      </c>
      <c r="R47" s="42"/>
      <c r="S47" s="88">
        <f t="shared" si="6"/>
        <v>0.64280948628143497</v>
      </c>
      <c r="T47" s="89">
        <f t="shared" si="7"/>
        <v>0.99201757784840727</v>
      </c>
      <c r="U47" s="42"/>
      <c r="V47" s="9"/>
      <c r="W47" s="9"/>
      <c r="X47" s="9"/>
      <c r="Y47" s="9"/>
      <c r="Z47" s="9"/>
      <c r="AA47" s="43"/>
      <c r="AC47" s="1"/>
      <c r="AD47" s="1"/>
      <c r="AE47" s="1"/>
      <c r="AF47" s="1"/>
      <c r="AG47" s="1"/>
      <c r="AH47" s="1"/>
    </row>
    <row r="48" spans="2:34" ht="16" thickBot="1">
      <c r="B48" s="40"/>
      <c r="C48" s="71">
        <f t="shared" si="5"/>
        <v>9.75</v>
      </c>
      <c r="D48" s="42">
        <v>9.4257993738045709</v>
      </c>
      <c r="E48">
        <v>0.24689728944814099</v>
      </c>
      <c r="F48" s="42"/>
      <c r="G48" s="79">
        <f t="shared" si="0"/>
        <v>2.6193777276259267E-2</v>
      </c>
      <c r="H48" s="42"/>
      <c r="I48" s="79">
        <v>6.6424709130831483E-2</v>
      </c>
      <c r="J48" s="42">
        <v>7.3210917686507102</v>
      </c>
      <c r="K48">
        <v>0.48630139125274802</v>
      </c>
      <c r="L48" s="42"/>
      <c r="M48" s="82">
        <f t="shared" si="1"/>
        <v>1.8302729421626776</v>
      </c>
      <c r="N48" s="84">
        <f t="shared" si="2"/>
        <v>0.121575347813187</v>
      </c>
      <c r="O48" s="12"/>
      <c r="P48" s="86">
        <f t="shared" si="3"/>
        <v>8.8820391107052969E-3</v>
      </c>
      <c r="Q48" s="87">
        <f t="shared" si="4"/>
        <v>6.4127281539614158E-4</v>
      </c>
      <c r="R48" s="42"/>
      <c r="S48" s="88">
        <f t="shared" si="6"/>
        <v>0.65169152539214026</v>
      </c>
      <c r="T48" s="89">
        <f t="shared" si="7"/>
        <v>0.99265885066380344</v>
      </c>
      <c r="U48" s="42"/>
      <c r="V48" s="9"/>
      <c r="W48" s="9"/>
      <c r="X48" s="9"/>
      <c r="Y48" s="9"/>
      <c r="Z48" s="9"/>
      <c r="AA48" s="43"/>
      <c r="AC48" s="1"/>
      <c r="AD48" s="1"/>
      <c r="AE48" s="1"/>
      <c r="AF48" s="1"/>
      <c r="AG48" s="1"/>
      <c r="AH48" s="1"/>
    </row>
    <row r="49" spans="2:34" ht="16" thickBot="1">
      <c r="B49" s="40"/>
      <c r="C49" s="71">
        <f t="shared" si="5"/>
        <v>10</v>
      </c>
      <c r="D49" s="42">
        <v>17.399612590700599</v>
      </c>
      <c r="E49">
        <v>0.234024269541347</v>
      </c>
      <c r="F49" s="42"/>
      <c r="G49" s="79">
        <f t="shared" si="0"/>
        <v>1.344997012556611E-2</v>
      </c>
      <c r="H49" s="42"/>
      <c r="I49" s="79">
        <v>6.4756878781245406E-2</v>
      </c>
      <c r="J49" s="42">
        <v>10.9691391578341</v>
      </c>
      <c r="K49">
        <v>0.71032721477847505</v>
      </c>
      <c r="L49" s="42"/>
      <c r="M49" s="82">
        <f t="shared" si="1"/>
        <v>2.7422847894585249</v>
      </c>
      <c r="N49" s="84">
        <f t="shared" si="2"/>
        <v>0.17758180369461876</v>
      </c>
      <c r="O49" s="12"/>
      <c r="P49" s="86">
        <f t="shared" si="3"/>
        <v>1.3307895337119595E-2</v>
      </c>
      <c r="Q49" s="87">
        <f t="shared" si="4"/>
        <v>9.3668975879352561E-4</v>
      </c>
      <c r="R49" s="42"/>
      <c r="S49" s="88">
        <f t="shared" si="6"/>
        <v>0.66499942072925988</v>
      </c>
      <c r="T49" s="89">
        <f t="shared" si="7"/>
        <v>0.99359554042259701</v>
      </c>
      <c r="U49" s="42"/>
      <c r="V49" s="9"/>
      <c r="W49" s="9"/>
      <c r="X49" s="9"/>
      <c r="Y49" s="9"/>
      <c r="Z49" s="9"/>
      <c r="AA49" s="43"/>
      <c r="AC49" s="1"/>
      <c r="AD49" s="1"/>
      <c r="AE49" s="1"/>
      <c r="AF49" s="1"/>
      <c r="AG49" s="1"/>
      <c r="AH49" s="1"/>
    </row>
    <row r="50" spans="2:34" ht="16" thickBot="1">
      <c r="B50" s="40"/>
      <c r="C50" s="71">
        <f t="shared" si="5"/>
        <v>10.25</v>
      </c>
      <c r="D50" s="42">
        <v>41.521687002175803</v>
      </c>
      <c r="E50">
        <v>57.354986964435803</v>
      </c>
      <c r="F50" s="42"/>
      <c r="G50" s="79">
        <f t="shared" si="0"/>
        <v>1.3813260275631458</v>
      </c>
      <c r="H50" s="42"/>
      <c r="I50" s="79">
        <v>4.8465348413544482E-2</v>
      </c>
      <c r="J50" s="42">
        <v>7.091300888770399</v>
      </c>
      <c r="K50">
        <v>0.34368236827953502</v>
      </c>
      <c r="L50" s="42"/>
      <c r="M50" s="82">
        <f t="shared" si="1"/>
        <v>1.7728252221925997</v>
      </c>
      <c r="N50" s="84">
        <f t="shared" si="2"/>
        <v>8.5920592069883756E-2</v>
      </c>
      <c r="O50" s="12"/>
      <c r="P50" s="86">
        <f t="shared" si="3"/>
        <v>8.6032539722482124E-3</v>
      </c>
      <c r="Q50" s="87">
        <f t="shared" si="4"/>
        <v>4.5320487227248001E-4</v>
      </c>
      <c r="R50" s="42"/>
      <c r="S50" s="88">
        <f t="shared" si="6"/>
        <v>0.67360267470150814</v>
      </c>
      <c r="T50" s="89">
        <f t="shared" si="7"/>
        <v>0.99404874529486953</v>
      </c>
      <c r="U50" s="42"/>
      <c r="V50" s="9"/>
      <c r="W50" s="9"/>
      <c r="X50" s="9"/>
      <c r="Y50" s="9"/>
      <c r="Z50" s="9"/>
      <c r="AA50" s="43"/>
      <c r="AC50" s="1"/>
      <c r="AD50" s="1"/>
      <c r="AE50" s="1"/>
      <c r="AF50" s="1"/>
      <c r="AG50" s="1"/>
      <c r="AH50" s="1"/>
    </row>
    <row r="51" spans="2:34" ht="16" thickBot="1">
      <c r="B51" s="40"/>
      <c r="C51" s="71">
        <f t="shared" si="5"/>
        <v>10.5</v>
      </c>
      <c r="D51" s="42">
        <v>11.6941039415243</v>
      </c>
      <c r="E51">
        <v>4.8285521317211497</v>
      </c>
      <c r="F51" s="42"/>
      <c r="G51" s="79">
        <f t="shared" si="0"/>
        <v>0.412904841265825</v>
      </c>
      <c r="H51" s="42"/>
      <c r="I51" s="79">
        <v>3.8215384084413904E-2</v>
      </c>
      <c r="J51" s="42">
        <v>23.2756575583774</v>
      </c>
      <c r="K51">
        <v>0.88948819341068397</v>
      </c>
      <c r="L51" s="42"/>
      <c r="M51" s="82">
        <f t="shared" si="1"/>
        <v>5.81891438959435</v>
      </c>
      <c r="N51" s="84">
        <f t="shared" si="2"/>
        <v>0.22237204835267099</v>
      </c>
      <c r="O51" s="12"/>
      <c r="P51" s="86">
        <f t="shared" si="3"/>
        <v>2.8238315717628696E-2</v>
      </c>
      <c r="Q51" s="87">
        <f t="shared" si="4"/>
        <v>1.172944614821465E-3</v>
      </c>
      <c r="R51" s="42"/>
      <c r="S51" s="88">
        <f t="shared" si="6"/>
        <v>0.70184099041913683</v>
      </c>
      <c r="T51" s="89">
        <f t="shared" si="7"/>
        <v>0.99522168990969095</v>
      </c>
      <c r="U51" s="42"/>
      <c r="V51" s="9"/>
      <c r="W51" s="9"/>
      <c r="X51" s="9"/>
      <c r="Y51" s="9"/>
      <c r="Z51" s="9"/>
      <c r="AA51" s="43"/>
      <c r="AC51" s="1"/>
      <c r="AD51" s="1"/>
      <c r="AE51" s="1"/>
      <c r="AF51" s="1"/>
      <c r="AG51" s="1"/>
      <c r="AH51" s="1"/>
    </row>
    <row r="52" spans="2:34" ht="16" thickBot="1">
      <c r="B52" s="40"/>
      <c r="C52" s="71">
        <f t="shared" si="5"/>
        <v>10.75</v>
      </c>
      <c r="D52" s="42">
        <v>23.2756575583774</v>
      </c>
      <c r="E52">
        <v>0.88948819341068397</v>
      </c>
      <c r="F52" s="42"/>
      <c r="G52" s="79">
        <f t="shared" si="0"/>
        <v>3.8215384084413904E-2</v>
      </c>
      <c r="H52" s="42"/>
      <c r="I52" s="79">
        <v>3.4621459959947656E-2</v>
      </c>
      <c r="J52" s="42">
        <v>11.9025906079524</v>
      </c>
      <c r="K52">
        <v>0.41208506415287299</v>
      </c>
      <c r="L52" s="42"/>
      <c r="M52" s="82">
        <f t="shared" si="1"/>
        <v>2.9756476519880999</v>
      </c>
      <c r="N52" s="84">
        <f t="shared" si="2"/>
        <v>0.10302126603821825</v>
      </c>
      <c r="O52" s="12"/>
      <c r="P52" s="86">
        <f t="shared" si="3"/>
        <v>1.4440370185119396E-2</v>
      </c>
      <c r="Q52" s="87">
        <f t="shared" si="4"/>
        <v>5.4340570277058441E-4</v>
      </c>
      <c r="R52" s="42"/>
      <c r="S52" s="88">
        <f t="shared" si="6"/>
        <v>0.71628136060425618</v>
      </c>
      <c r="T52" s="89">
        <f t="shared" si="7"/>
        <v>0.99576509561246151</v>
      </c>
      <c r="U52" s="42"/>
      <c r="V52" s="9"/>
      <c r="W52" s="9"/>
      <c r="X52" s="9"/>
      <c r="Y52" s="9"/>
      <c r="Z52" s="9"/>
      <c r="AA52" s="43"/>
      <c r="AC52" s="1"/>
      <c r="AD52" s="1"/>
      <c r="AE52" s="1"/>
      <c r="AF52" s="1"/>
      <c r="AG52" s="1"/>
      <c r="AH52" s="1"/>
    </row>
    <row r="53" spans="2:34" ht="16" thickBot="1">
      <c r="B53" s="40"/>
      <c r="C53" s="71">
        <f t="shared" si="5"/>
        <v>11</v>
      </c>
      <c r="D53" s="42">
        <v>17.1078702815099</v>
      </c>
      <c r="E53">
        <v>2.2175367742547998</v>
      </c>
      <c r="F53" s="42"/>
      <c r="G53" s="79">
        <f t="shared" si="0"/>
        <v>0.12962085506642532</v>
      </c>
      <c r="H53" s="42"/>
      <c r="I53" s="79">
        <v>3.3535196408346596E-2</v>
      </c>
      <c r="J53" s="42">
        <v>25.0083771308839</v>
      </c>
      <c r="K53">
        <v>0.83866083893819499</v>
      </c>
      <c r="L53" s="42"/>
      <c r="M53" s="82">
        <f t="shared" si="1"/>
        <v>6.2520942827209751</v>
      </c>
      <c r="N53" s="84">
        <f t="shared" si="2"/>
        <v>0.20966520973454875</v>
      </c>
      <c r="O53" s="12"/>
      <c r="P53" s="86">
        <f t="shared" si="3"/>
        <v>3.0340472540302116E-2</v>
      </c>
      <c r="Q53" s="87">
        <f t="shared" si="4"/>
        <v>1.1059199233688132E-3</v>
      </c>
      <c r="R53" s="42"/>
      <c r="S53" s="88">
        <f t="shared" si="6"/>
        <v>0.74662183314455832</v>
      </c>
      <c r="T53" s="89">
        <f t="shared" si="7"/>
        <v>0.99687101553583035</v>
      </c>
      <c r="U53" s="42"/>
      <c r="V53" s="9"/>
      <c r="W53" s="9"/>
      <c r="X53" s="9"/>
      <c r="Y53" s="9"/>
      <c r="Z53" s="9"/>
      <c r="AA53" s="43"/>
      <c r="AC53" s="1"/>
      <c r="AD53" s="1"/>
      <c r="AE53" s="1"/>
      <c r="AF53" s="1"/>
      <c r="AG53" s="1"/>
      <c r="AH53" s="1"/>
    </row>
    <row r="54" spans="2:34" ht="16" thickBot="1">
      <c r="B54" s="40"/>
      <c r="C54" s="71">
        <f t="shared" si="5"/>
        <v>11.25</v>
      </c>
      <c r="D54" s="42">
        <v>9.8741978994039208</v>
      </c>
      <c r="E54">
        <v>17.6824390601418</v>
      </c>
      <c r="F54" s="42"/>
      <c r="G54" s="79">
        <f t="shared" si="0"/>
        <v>1.7907721964139731</v>
      </c>
      <c r="H54" s="42"/>
      <c r="I54" s="79">
        <v>2.9850780624976814E-2</v>
      </c>
      <c r="J54" s="42">
        <v>16.238046218525501</v>
      </c>
      <c r="K54">
        <v>0.48471835544743902</v>
      </c>
      <c r="L54" s="42"/>
      <c r="M54" s="82">
        <f t="shared" si="1"/>
        <v>4.0595115546313751</v>
      </c>
      <c r="N54" s="84">
        <f t="shared" si="2"/>
        <v>0.12117958886185975</v>
      </c>
      <c r="O54" s="12"/>
      <c r="P54" s="86">
        <f t="shared" si="3"/>
        <v>1.9700198570378667E-2</v>
      </c>
      <c r="Q54" s="87">
        <f t="shared" si="4"/>
        <v>6.3918530784217744E-4</v>
      </c>
      <c r="R54" s="42"/>
      <c r="S54" s="88">
        <f t="shared" si="6"/>
        <v>0.76632203171493696</v>
      </c>
      <c r="T54" s="89">
        <f t="shared" si="7"/>
        <v>0.99751020084367248</v>
      </c>
      <c r="U54" s="42"/>
      <c r="V54" s="9"/>
      <c r="W54" s="9"/>
      <c r="X54" s="9"/>
      <c r="Y54" s="9"/>
      <c r="Z54" s="9"/>
      <c r="AA54" s="43"/>
      <c r="AC54" s="1"/>
      <c r="AD54" s="1"/>
      <c r="AE54" s="1"/>
      <c r="AF54" s="1"/>
      <c r="AG54" s="1"/>
      <c r="AH54" s="1"/>
    </row>
    <row r="55" spans="2:34" ht="16" thickBot="1">
      <c r="B55" s="40"/>
      <c r="C55" s="71">
        <f t="shared" si="5"/>
        <v>11.5</v>
      </c>
      <c r="D55" s="42">
        <v>10.227155653634199</v>
      </c>
      <c r="E55">
        <v>2.8956624445303798</v>
      </c>
      <c r="F55" s="42"/>
      <c r="G55" s="79">
        <f t="shared" si="0"/>
        <v>0.28313468012011844</v>
      </c>
      <c r="H55" s="42"/>
      <c r="I55" s="79">
        <v>2.6193777276259267E-2</v>
      </c>
      <c r="J55" s="42">
        <v>9.4257993738045709</v>
      </c>
      <c r="K55">
        <v>0.24689728944814099</v>
      </c>
      <c r="L55" s="42"/>
      <c r="M55" s="82">
        <f t="shared" si="1"/>
        <v>2.3564498434511427</v>
      </c>
      <c r="N55" s="84">
        <f t="shared" si="2"/>
        <v>6.1724322362035247E-2</v>
      </c>
      <c r="O55" s="12"/>
      <c r="P55" s="86">
        <f t="shared" si="3"/>
        <v>1.1435496416844326E-2</v>
      </c>
      <c r="Q55" s="87">
        <f t="shared" si="4"/>
        <v>3.2557694213092747E-4</v>
      </c>
      <c r="R55" s="42"/>
      <c r="S55" s="88">
        <f t="shared" si="6"/>
        <v>0.77775752813178123</v>
      </c>
      <c r="T55" s="89">
        <f t="shared" si="7"/>
        <v>0.99783577778580346</v>
      </c>
      <c r="U55" s="42"/>
      <c r="V55" s="9"/>
      <c r="W55" s="9"/>
      <c r="X55" s="9"/>
      <c r="Y55" s="9"/>
      <c r="Z55" s="9"/>
      <c r="AA55" s="43"/>
      <c r="AC55" s="1"/>
      <c r="AD55" s="1"/>
      <c r="AE55" s="1"/>
      <c r="AF55" s="1"/>
      <c r="AG55" s="1"/>
      <c r="AH55" s="1"/>
    </row>
    <row r="56" spans="2:34" ht="16" thickBot="1">
      <c r="B56" s="40"/>
      <c r="C56" s="71">
        <f t="shared" si="5"/>
        <v>11.75</v>
      </c>
      <c r="D56" s="42">
        <v>19.1813905154366</v>
      </c>
      <c r="E56">
        <v>29.891593465480899</v>
      </c>
      <c r="F56" s="42"/>
      <c r="G56" s="79">
        <f t="shared" si="0"/>
        <v>1.5583642615182174</v>
      </c>
      <c r="H56" s="42"/>
      <c r="I56" s="79">
        <v>1.7537445028059026E-2</v>
      </c>
      <c r="J56" s="42">
        <v>10.3625552648364</v>
      </c>
      <c r="K56">
        <v>0.181732743307292</v>
      </c>
      <c r="L56" s="42"/>
      <c r="M56" s="82">
        <f t="shared" si="1"/>
        <v>2.5906388162091001</v>
      </c>
      <c r="N56" s="84">
        <f t="shared" si="2"/>
        <v>4.5433185826823E-2</v>
      </c>
      <c r="O56" s="12"/>
      <c r="P56" s="86">
        <f t="shared" si="3"/>
        <v>1.2571980253443161E-2</v>
      </c>
      <c r="Q56" s="87">
        <f t="shared" si="4"/>
        <v>2.3964617425855018E-4</v>
      </c>
      <c r="R56" s="42"/>
      <c r="S56" s="88">
        <f t="shared" si="6"/>
        <v>0.79032950838522442</v>
      </c>
      <c r="T56" s="89">
        <f t="shared" si="7"/>
        <v>0.99807542396006199</v>
      </c>
      <c r="U56" s="42"/>
      <c r="V56" s="9"/>
      <c r="W56" s="9"/>
      <c r="X56" s="9"/>
      <c r="Y56" s="9"/>
      <c r="Z56" s="9"/>
      <c r="AA56" s="43"/>
      <c r="AC56" s="1"/>
      <c r="AD56" s="1"/>
      <c r="AE56" s="1"/>
      <c r="AF56" s="1"/>
      <c r="AG56" s="1"/>
      <c r="AH56" s="1"/>
    </row>
    <row r="57" spans="2:34" ht="16" thickBot="1">
      <c r="B57" s="40"/>
      <c r="C57" s="71">
        <f t="shared" si="5"/>
        <v>12</v>
      </c>
      <c r="D57" s="42">
        <v>10.810474130096701</v>
      </c>
      <c r="E57">
        <v>6.9127880193975102</v>
      </c>
      <c r="F57" s="42"/>
      <c r="G57" s="79">
        <f t="shared" si="0"/>
        <v>0.63945280625130863</v>
      </c>
      <c r="H57" s="42"/>
      <c r="I57" s="79">
        <v>1.344997012556611E-2</v>
      </c>
      <c r="J57" s="42">
        <v>17.399612590700599</v>
      </c>
      <c r="K57">
        <v>0.234024269541347</v>
      </c>
      <c r="L57" s="42"/>
      <c r="M57" s="82">
        <f t="shared" si="1"/>
        <v>4.3499031476751497</v>
      </c>
      <c r="N57" s="84">
        <f t="shared" si="2"/>
        <v>5.850606738533675E-2</v>
      </c>
      <c r="O57" s="12"/>
      <c r="P57" s="86">
        <f t="shared" si="3"/>
        <v>2.1109425264069018E-2</v>
      </c>
      <c r="Q57" s="87">
        <f t="shared" si="4"/>
        <v>3.0860163038646675E-4</v>
      </c>
      <c r="R57" s="42"/>
      <c r="S57" s="88">
        <f t="shared" si="6"/>
        <v>0.81143893364929343</v>
      </c>
      <c r="T57" s="89">
        <f t="shared" si="7"/>
        <v>0.99838402559044848</v>
      </c>
      <c r="U57" s="42"/>
      <c r="V57" s="125" t="s">
        <v>82</v>
      </c>
      <c r="W57" s="126" t="s">
        <v>66</v>
      </c>
      <c r="Y57" s="119" t="s">
        <v>81</v>
      </c>
      <c r="Z57" s="9"/>
      <c r="AA57" s="43"/>
      <c r="AC57" s="1"/>
      <c r="AD57" s="1"/>
      <c r="AE57" s="1"/>
      <c r="AF57" s="1"/>
      <c r="AG57" s="1"/>
      <c r="AH57" s="1"/>
    </row>
    <row r="58" spans="2:34" ht="16" thickBot="1">
      <c r="B58" s="40"/>
      <c r="C58" s="71">
        <f t="shared" si="5"/>
        <v>12.25</v>
      </c>
      <c r="D58" s="42">
        <v>19.824979407978098</v>
      </c>
      <c r="E58">
        <v>7.7100147807573096</v>
      </c>
      <c r="F58" s="42"/>
      <c r="G58" s="79">
        <f t="shared" si="0"/>
        <v>0.38890404989044253</v>
      </c>
      <c r="H58" s="42"/>
      <c r="I58" s="79">
        <v>1.315249755140181E-2</v>
      </c>
      <c r="J58" s="42">
        <v>21.596216649620299</v>
      </c>
      <c r="K58">
        <v>0.28404418660367398</v>
      </c>
      <c r="L58" s="42"/>
      <c r="M58" s="82">
        <f t="shared" si="1"/>
        <v>5.3990541624050747</v>
      </c>
      <c r="N58" s="84">
        <f t="shared" si="2"/>
        <v>7.1011046650918494E-2</v>
      </c>
      <c r="O58" s="12"/>
      <c r="P58" s="86">
        <f t="shared" si="3"/>
        <v>2.6200797228982813E-2</v>
      </c>
      <c r="Q58" s="87">
        <f t="shared" si="4"/>
        <v>3.74561575427563E-4</v>
      </c>
      <c r="R58" s="42"/>
      <c r="S58" s="88">
        <f t="shared" si="6"/>
        <v>0.83763973087827626</v>
      </c>
      <c r="T58" s="89">
        <f t="shared" si="7"/>
        <v>0.99875858716587607</v>
      </c>
      <c r="U58" s="42"/>
      <c r="V58" s="120" t="e">
        <f>W36/4+W37/3+(W38-1)/2</f>
        <v>#VALUE!</v>
      </c>
      <c r="W58" s="121">
        <v>0.5</v>
      </c>
      <c r="X58" s="9"/>
      <c r="Y58" s="99" t="e">
        <f>V58/W58</f>
        <v>#VALUE!</v>
      </c>
      <c r="Z58" s="9"/>
      <c r="AA58" s="43"/>
      <c r="AC58" s="1"/>
      <c r="AD58" s="1"/>
      <c r="AE58" s="1"/>
      <c r="AF58" s="1"/>
      <c r="AG58" s="1"/>
      <c r="AH58" s="1"/>
    </row>
    <row r="59" spans="2:34" ht="16" thickBot="1">
      <c r="B59" s="40"/>
      <c r="C59" s="71">
        <f t="shared" si="5"/>
        <v>12.5</v>
      </c>
      <c r="D59" s="42">
        <v>11.3601694330226</v>
      </c>
      <c r="E59">
        <v>2.78417666723599</v>
      </c>
      <c r="F59" s="42"/>
      <c r="G59" s="79">
        <f t="shared" si="0"/>
        <v>0.24508231885545076</v>
      </c>
      <c r="H59" s="42"/>
      <c r="I59" s="79">
        <v>1.2771702139090988E-2</v>
      </c>
      <c r="J59" s="42">
        <v>30.638194939048702</v>
      </c>
      <c r="K59">
        <v>0.391301899840935</v>
      </c>
      <c r="L59" s="42"/>
      <c r="M59" s="82">
        <f t="shared" si="1"/>
        <v>7.6595487347621756</v>
      </c>
      <c r="N59" s="84">
        <f t="shared" si="2"/>
        <v>9.7825474960233749E-2</v>
      </c>
      <c r="O59" s="12"/>
      <c r="P59" s="86">
        <f t="shared" si="3"/>
        <v>3.7170637157604929E-2</v>
      </c>
      <c r="Q59" s="87">
        <f t="shared" si="4"/>
        <v>5.1599949227872457E-4</v>
      </c>
      <c r="R59" s="42"/>
      <c r="S59" s="88">
        <f t="shared" si="6"/>
        <v>0.87481036803588119</v>
      </c>
      <c r="T59" s="89">
        <f t="shared" si="7"/>
        <v>0.99927458665815483</v>
      </c>
      <c r="U59" s="42"/>
      <c r="V59" s="9"/>
      <c r="W59" s="9"/>
      <c r="X59" s="9"/>
      <c r="Y59" s="9"/>
      <c r="Z59" s="9"/>
      <c r="AA59" s="43"/>
      <c r="AC59" s="1"/>
      <c r="AD59" s="1"/>
      <c r="AE59" s="1"/>
      <c r="AF59" s="1"/>
      <c r="AG59" s="1"/>
      <c r="AH59" s="1"/>
    </row>
    <row r="60" spans="2:34" ht="16" thickBot="1">
      <c r="B60" s="40"/>
      <c r="C60" s="71">
        <f t="shared" si="5"/>
        <v>12.75</v>
      </c>
      <c r="D60" s="42">
        <v>11.9025906079524</v>
      </c>
      <c r="E60">
        <v>0.41208506415287299</v>
      </c>
      <c r="F60" s="42"/>
      <c r="G60" s="79">
        <f t="shared" si="0"/>
        <v>3.4621459959947656E-2</v>
      </c>
      <c r="H60" s="42"/>
      <c r="I60" s="79">
        <v>9.06353547419971E-3</v>
      </c>
      <c r="J60" s="42">
        <v>9.319264102828539</v>
      </c>
      <c r="K60">
        <v>8.4465480789422398E-2</v>
      </c>
      <c r="L60" s="42"/>
      <c r="M60" s="82">
        <f t="shared" si="1"/>
        <v>2.3298160257071348</v>
      </c>
      <c r="N60" s="84">
        <f t="shared" si="2"/>
        <v>2.11163701973556E-2</v>
      </c>
      <c r="O60" s="12"/>
      <c r="P60" s="86">
        <f t="shared" si="3"/>
        <v>1.1306246508035562E-2</v>
      </c>
      <c r="Q60" s="87">
        <f t="shared" si="4"/>
        <v>1.1138240121026084E-4</v>
      </c>
      <c r="R60" s="42"/>
      <c r="S60" s="88">
        <f t="shared" si="6"/>
        <v>0.88611661454391677</v>
      </c>
      <c r="T60" s="89">
        <f t="shared" si="7"/>
        <v>0.99938596905936505</v>
      </c>
      <c r="U60" s="42"/>
      <c r="V60" s="9"/>
      <c r="W60" s="9"/>
      <c r="X60" s="9"/>
      <c r="Z60" s="9"/>
      <c r="AA60" s="43"/>
      <c r="AC60" s="1"/>
      <c r="AD60" s="1"/>
      <c r="AE60" s="1"/>
      <c r="AF60" s="1"/>
      <c r="AG60" s="1"/>
      <c r="AH60" s="1"/>
    </row>
    <row r="61" spans="2:34" ht="16" thickBot="1">
      <c r="B61" s="40"/>
      <c r="C61" s="71">
        <f t="shared" si="5"/>
        <v>13</v>
      </c>
      <c r="D61" s="42">
        <v>6.9874768331718506</v>
      </c>
      <c r="E61">
        <v>2.64463215369494</v>
      </c>
      <c r="F61" s="42"/>
      <c r="G61" s="79">
        <f t="shared" si="0"/>
        <v>0.3784817061775434</v>
      </c>
      <c r="H61" s="42"/>
      <c r="I61" s="79">
        <v>7.4248626043306445E-3</v>
      </c>
      <c r="J61" s="42">
        <v>9.347921237765231</v>
      </c>
      <c r="K61">
        <v>6.9407030826511298E-2</v>
      </c>
      <c r="L61" s="42"/>
      <c r="M61" s="82">
        <f t="shared" si="1"/>
        <v>2.3369803094413077</v>
      </c>
      <c r="N61" s="84">
        <f t="shared" si="2"/>
        <v>1.7351757706627825E-2</v>
      </c>
      <c r="O61" s="12"/>
      <c r="P61" s="86">
        <f t="shared" si="3"/>
        <v>1.1341013698688517E-2</v>
      </c>
      <c r="Q61" s="87">
        <f t="shared" si="4"/>
        <v>9.1525220505221357E-5</v>
      </c>
      <c r="R61" s="42"/>
      <c r="S61" s="88">
        <f t="shared" si="6"/>
        <v>0.89745762824260533</v>
      </c>
      <c r="T61" s="89">
        <f t="shared" si="7"/>
        <v>0.99947749427987032</v>
      </c>
      <c r="U61" s="42"/>
      <c r="V61" s="124" t="s">
        <v>83</v>
      </c>
      <c r="W61" s="127" t="s">
        <v>66</v>
      </c>
      <c r="X61" s="42"/>
      <c r="Y61" s="98" t="s">
        <v>71</v>
      </c>
      <c r="Z61" s="9"/>
      <c r="AA61" s="43"/>
      <c r="AC61" s="1"/>
      <c r="AD61" s="1"/>
      <c r="AE61" s="1"/>
      <c r="AF61" s="1"/>
      <c r="AG61" s="1"/>
      <c r="AH61" s="1"/>
    </row>
    <row r="62" spans="2:34" ht="16" thickBot="1">
      <c r="B62" s="40"/>
      <c r="C62" s="71">
        <f t="shared" si="5"/>
        <v>13.25</v>
      </c>
      <c r="D62" s="42">
        <v>10.3625552648364</v>
      </c>
      <c r="E62">
        <v>0.181732743307292</v>
      </c>
      <c r="F62" s="42"/>
      <c r="G62" s="79">
        <f t="shared" si="0"/>
        <v>1.7537445028059026E-2</v>
      </c>
      <c r="H62" s="42"/>
      <c r="I62" s="79">
        <v>6.5709739252298206E-3</v>
      </c>
      <c r="J62" s="42">
        <v>10.746520523176301</v>
      </c>
      <c r="K62">
        <v>7.0615106144738607E-2</v>
      </c>
      <c r="L62" s="42"/>
      <c r="M62" s="82">
        <f t="shared" si="1"/>
        <v>2.6866301307940752</v>
      </c>
      <c r="N62" s="84">
        <f t="shared" si="2"/>
        <v>1.7653776536184652E-2</v>
      </c>
      <c r="O62" s="12"/>
      <c r="P62" s="86">
        <f t="shared" si="3"/>
        <v>1.3037811655301903E-2</v>
      </c>
      <c r="Q62" s="87">
        <f t="shared" si="4"/>
        <v>9.3118277556805188E-5</v>
      </c>
      <c r="R62" s="42"/>
      <c r="S62" s="88">
        <f t="shared" si="6"/>
        <v>0.91049543989790727</v>
      </c>
      <c r="T62" s="89">
        <f t="shared" si="7"/>
        <v>0.99957061255742707</v>
      </c>
      <c r="U62" s="42"/>
      <c r="V62" s="122">
        <f>SUM(AA66:AA105)</f>
        <v>0.38179935912035168</v>
      </c>
      <c r="W62" s="123">
        <f>SUM(AB66:AB105)</f>
        <v>0.48750000000000004</v>
      </c>
      <c r="X62" s="42"/>
      <c r="Y62" s="99">
        <f>V62/W62</f>
        <v>0.78317817255456745</v>
      </c>
      <c r="Z62" s="9"/>
      <c r="AA62" s="43"/>
      <c r="AC62" s="1"/>
      <c r="AD62" s="1"/>
      <c r="AE62" s="1"/>
      <c r="AF62" s="1"/>
      <c r="AG62" s="1"/>
      <c r="AH62" s="1"/>
    </row>
    <row r="63" spans="2:34" ht="16" thickBot="1">
      <c r="B63" s="40"/>
      <c r="C63" s="71">
        <f t="shared" si="5"/>
        <v>13.5</v>
      </c>
      <c r="D63" s="42">
        <v>10.530840749898001</v>
      </c>
      <c r="E63">
        <v>10.320724455012</v>
      </c>
      <c r="F63" s="42"/>
      <c r="G63" s="79">
        <f t="shared" si="0"/>
        <v>0.98004752897929481</v>
      </c>
      <c r="H63" s="42"/>
      <c r="I63" s="79">
        <v>5.4051928375689184E-3</v>
      </c>
      <c r="J63" s="42">
        <v>15.0127261863291</v>
      </c>
      <c r="K63">
        <v>8.11466800547294E-2</v>
      </c>
      <c r="L63" s="42"/>
      <c r="M63" s="82">
        <f t="shared" si="1"/>
        <v>3.7531815465822751</v>
      </c>
      <c r="N63" s="84">
        <f t="shared" si="2"/>
        <v>2.028667001368235E-2</v>
      </c>
      <c r="O63" s="12"/>
      <c r="P63" s="86">
        <f t="shared" si="3"/>
        <v>1.8213625147586437E-2</v>
      </c>
      <c r="Q63" s="87">
        <f t="shared" si="4"/>
        <v>1.0700598623560322E-4</v>
      </c>
      <c r="R63" s="42"/>
      <c r="S63" s="88">
        <f t="shared" si="6"/>
        <v>0.92870906504549366</v>
      </c>
      <c r="T63" s="89">
        <f t="shared" si="7"/>
        <v>0.99967761854366266</v>
      </c>
      <c r="U63" s="42"/>
      <c r="V63" s="9"/>
      <c r="W63" s="9"/>
      <c r="X63" s="9"/>
      <c r="Y63" s="9"/>
      <c r="Z63" s="9"/>
      <c r="AA63" s="43"/>
      <c r="AC63" s="1"/>
      <c r="AD63" s="1"/>
      <c r="AE63" s="1"/>
      <c r="AF63" s="1"/>
      <c r="AG63" s="1"/>
      <c r="AH63" s="1"/>
    </row>
    <row r="64" spans="2:34" ht="16" thickBot="1">
      <c r="B64" s="40"/>
      <c r="C64" s="71">
        <f t="shared" si="5"/>
        <v>13.75</v>
      </c>
      <c r="D64" s="42">
        <v>5.7774161027092301</v>
      </c>
      <c r="E64">
        <v>11.7197014691109</v>
      </c>
      <c r="F64" s="42"/>
      <c r="G64" s="79">
        <f t="shared" si="0"/>
        <v>2.0285368512084712</v>
      </c>
      <c r="H64" s="42"/>
      <c r="I64" s="79">
        <v>4.4771932233562866E-3</v>
      </c>
      <c r="J64" s="42">
        <v>22.865319210804898</v>
      </c>
      <c r="K64">
        <v>0.102372452220494</v>
      </c>
      <c r="L64" s="42"/>
      <c r="M64" s="82">
        <f t="shared" si="1"/>
        <v>5.7163298027012246</v>
      </c>
      <c r="N64" s="84">
        <f t="shared" si="2"/>
        <v>2.55931130551235E-2</v>
      </c>
      <c r="O64" s="12"/>
      <c r="P64" s="86">
        <f t="shared" si="3"/>
        <v>2.774048815762355E-2</v>
      </c>
      <c r="Q64" s="87">
        <f t="shared" si="4"/>
        <v>1.349958520277464E-4</v>
      </c>
      <c r="R64" s="42"/>
      <c r="S64" s="88">
        <f t="shared" si="6"/>
        <v>0.9564495532031172</v>
      </c>
      <c r="T64" s="89">
        <f t="shared" si="7"/>
        <v>0.99981261439569036</v>
      </c>
      <c r="U64" s="42"/>
      <c r="V64" s="94" t="s">
        <v>65</v>
      </c>
      <c r="W64" s="67"/>
      <c r="X64" s="67"/>
      <c r="Y64" s="67"/>
      <c r="Z64" s="68"/>
      <c r="AA64" s="43"/>
      <c r="AC64" s="1"/>
      <c r="AD64" s="1"/>
      <c r="AE64" s="1"/>
      <c r="AF64" s="1"/>
      <c r="AG64" s="1"/>
      <c r="AH64" s="1"/>
    </row>
    <row r="65" spans="2:36" ht="80">
      <c r="B65" s="40"/>
      <c r="C65" s="71">
        <f t="shared" si="5"/>
        <v>14</v>
      </c>
      <c r="D65" s="42">
        <v>9.9211125397102009</v>
      </c>
      <c r="E65">
        <v>31.8299588958177</v>
      </c>
      <c r="F65" s="42"/>
      <c r="G65" s="79">
        <f t="shared" si="0"/>
        <v>3.2083053960344921</v>
      </c>
      <c r="H65" s="42"/>
      <c r="I65" s="79">
        <v>3.9586136823413776E-3</v>
      </c>
      <c r="J65" s="42">
        <v>35.896804054987001</v>
      </c>
      <c r="K65">
        <v>0.14210157968439899</v>
      </c>
      <c r="L65" s="42"/>
      <c r="M65" s="82">
        <f t="shared" si="1"/>
        <v>8.9742010137467503</v>
      </c>
      <c r="N65" s="84">
        <f t="shared" si="2"/>
        <v>3.5525394921099747E-2</v>
      </c>
      <c r="O65" s="12"/>
      <c r="P65" s="86">
        <f t="shared" si="3"/>
        <v>4.3550446796882754E-2</v>
      </c>
      <c r="Q65" s="87">
        <f t="shared" si="4"/>
        <v>1.8738560430951422E-4</v>
      </c>
      <c r="R65" s="42"/>
      <c r="S65" s="88">
        <f t="shared" si="6"/>
        <v>1</v>
      </c>
      <c r="T65" s="89">
        <f t="shared" si="7"/>
        <v>0.99999999999999989</v>
      </c>
      <c r="U65" s="42">
        <f>INDEX(T10:T65,MATCH(V66,S10:S65,1))</f>
        <v>0.4101413258651197</v>
      </c>
      <c r="V65" s="100" t="s">
        <v>61</v>
      </c>
      <c r="W65" s="101" t="s">
        <v>85</v>
      </c>
      <c r="X65" s="101" t="s">
        <v>86</v>
      </c>
      <c r="Y65" s="101" t="s">
        <v>62</v>
      </c>
      <c r="Z65" s="101" t="s">
        <v>63</v>
      </c>
      <c r="AA65" s="102" t="s">
        <v>67</v>
      </c>
      <c r="AB65" s="103" t="s">
        <v>68</v>
      </c>
      <c r="AC65" s="43"/>
      <c r="AD65" s="1"/>
      <c r="AE65" s="1"/>
      <c r="AF65" s="1"/>
      <c r="AG65" s="1"/>
      <c r="AH65" s="1"/>
      <c r="AI65" s="1"/>
      <c r="AJ65" s="1"/>
    </row>
    <row r="66" spans="2:36">
      <c r="B66" s="40"/>
      <c r="C66" s="71"/>
      <c r="D66" s="48"/>
      <c r="E66" s="130"/>
      <c r="F66" s="42"/>
      <c r="G66" s="79"/>
      <c r="H66" s="42"/>
      <c r="I66" s="82"/>
      <c r="J66" s="65"/>
      <c r="K66" s="72"/>
      <c r="L66" s="42"/>
      <c r="M66" s="82"/>
      <c r="N66" s="84"/>
      <c r="O66" s="12"/>
      <c r="P66" s="88"/>
      <c r="Q66" s="89"/>
      <c r="R66" s="42"/>
      <c r="S66" s="88"/>
      <c r="T66" s="89"/>
      <c r="U66" s="42">
        <f>INDEX(T10:T65,MATCH(V66,S10:S65,1)+1)</f>
        <v>0.48972427612094277</v>
      </c>
      <c r="V66" s="71">
        <v>2.5000000000000001E-2</v>
      </c>
      <c r="W66" s="63">
        <f>INDEX(S10:S65,MATCH(V66,S10:S65,1))</f>
        <v>2.063289355634584E-2</v>
      </c>
      <c r="X66" s="63">
        <f>INDEX(S10:S65,MATCH(V66,S10:S65,1)+1)</f>
        <v>3.2739782914524188E-2</v>
      </c>
      <c r="Y66" s="63">
        <f>INDEX(T10:T65,MATCH(V66,S10:S65,1))+(INDEX(T10:T65,MATCH(V66,S10:S65,1)+1)-INDEX(T10:T65,MATCH(V66,S10:S65,1)))/(X66-W66)*(V66-W66)</f>
        <v>0.43884789157206089</v>
      </c>
      <c r="Z66" s="63">
        <f>V66</f>
        <v>2.5000000000000001E-2</v>
      </c>
      <c r="AA66" s="104">
        <f t="shared" ref="AA66:AA105" si="8">(Y66-Z66)*($V$67-$V$66)</f>
        <v>1.0346197289301522E-2</v>
      </c>
      <c r="AB66" s="105">
        <f t="shared" ref="AB66:AB105" si="9">(1-Z66)*($V$67-$V$66)</f>
        <v>2.4375000000000001E-2</v>
      </c>
      <c r="AC66" s="43"/>
      <c r="AD66" s="1"/>
      <c r="AE66" s="1"/>
      <c r="AF66" s="1"/>
      <c r="AG66" s="1"/>
      <c r="AH66" s="1"/>
      <c r="AI66" s="1"/>
      <c r="AJ66" s="1"/>
    </row>
    <row r="67" spans="2:36">
      <c r="B67" s="40"/>
      <c r="C67" s="71"/>
      <c r="D67" s="48"/>
      <c r="E67" s="130"/>
      <c r="F67" s="42"/>
      <c r="G67" s="79"/>
      <c r="H67" s="42"/>
      <c r="I67" s="82"/>
      <c r="J67" s="65"/>
      <c r="K67" s="72"/>
      <c r="L67" s="42"/>
      <c r="M67" s="82"/>
      <c r="N67" s="84"/>
      <c r="O67" s="12"/>
      <c r="P67" s="88"/>
      <c r="Q67" s="89"/>
      <c r="R67" s="42"/>
      <c r="S67" s="88"/>
      <c r="T67" s="89"/>
      <c r="U67" s="42">
        <f>INDEX(T10:T65,MATCH(V66,S10:S65,1))</f>
        <v>0.4101413258651197</v>
      </c>
      <c r="V67" s="71">
        <f t="shared" ref="V67:V105" si="10">V66+0.025</f>
        <v>0.05</v>
      </c>
      <c r="W67" s="63">
        <f t="shared" ref="W67:W105" si="11">INDEX(S11:S66,MATCH(V67,S11:S66,1))</f>
        <v>4.4776199392288864E-2</v>
      </c>
      <c r="X67" s="63">
        <f t="shared" ref="X67:X105" si="12">INDEX(S11:S66,MATCH(V67,S11:S66,1)+1)</f>
        <v>5.7982058641317107E-2</v>
      </c>
      <c r="Y67" s="63">
        <f t="shared" ref="Y67:Y105" si="13">INDEX(T11:T66,MATCH(V67,S11:S66,1))+(INDEX(T11:T66,MATCH(V67,S11:S66,1)+1)-INDEX(T11:T66,MATCH(V67,S11:S66,1)))/(X67-W67)*(V67-W67)</f>
        <v>0.54510429552984208</v>
      </c>
      <c r="Z67" s="63">
        <f t="shared" ref="Z67:Z105" si="14">V67</f>
        <v>0.05</v>
      </c>
      <c r="AA67" s="104">
        <f t="shared" si="8"/>
        <v>1.2377607388246052E-2</v>
      </c>
      <c r="AB67" s="105">
        <f t="shared" si="9"/>
        <v>2.375E-2</v>
      </c>
      <c r="AC67" s="43"/>
      <c r="AD67" s="1"/>
      <c r="AE67" s="1"/>
      <c r="AF67" s="1"/>
      <c r="AG67" s="1"/>
      <c r="AH67" s="1"/>
      <c r="AI67" s="1"/>
      <c r="AJ67" s="1"/>
    </row>
    <row r="68" spans="2:36">
      <c r="B68" s="40"/>
      <c r="C68" s="71"/>
      <c r="D68" s="48"/>
      <c r="E68" s="130"/>
      <c r="F68" s="42"/>
      <c r="G68" s="79"/>
      <c r="H68" s="42"/>
      <c r="I68" s="82"/>
      <c r="J68" s="65"/>
      <c r="K68" s="72"/>
      <c r="L68" s="42"/>
      <c r="M68" s="82"/>
      <c r="N68" s="84"/>
      <c r="O68" s="12"/>
      <c r="P68" s="88"/>
      <c r="Q68" s="89"/>
      <c r="R68" s="42"/>
      <c r="S68" s="88"/>
      <c r="T68" s="89"/>
      <c r="U68" s="42"/>
      <c r="V68" s="71">
        <f t="shared" si="10"/>
        <v>7.5000000000000011E-2</v>
      </c>
      <c r="W68" s="63">
        <f t="shared" si="11"/>
        <v>6.499129133565601E-2</v>
      </c>
      <c r="X68" s="63">
        <f t="shared" si="12"/>
        <v>7.6970790391370419E-2</v>
      </c>
      <c r="Y68" s="63">
        <f t="shared" si="13"/>
        <v>0.6005257592425346</v>
      </c>
      <c r="Z68" s="63">
        <f t="shared" si="14"/>
        <v>7.5000000000000011E-2</v>
      </c>
      <c r="AA68" s="104">
        <f t="shared" si="8"/>
        <v>1.3138143981063367E-2</v>
      </c>
      <c r="AB68" s="105">
        <f t="shared" si="9"/>
        <v>2.3125000000000003E-2</v>
      </c>
      <c r="AC68" s="43"/>
      <c r="AD68" s="1"/>
      <c r="AE68" s="1"/>
      <c r="AF68" s="1"/>
      <c r="AG68" s="1"/>
      <c r="AH68" s="1"/>
      <c r="AI68" s="1"/>
      <c r="AJ68" s="1"/>
    </row>
    <row r="69" spans="2:36">
      <c r="B69" s="40"/>
      <c r="C69" s="71"/>
      <c r="D69" s="48"/>
      <c r="E69" s="130"/>
      <c r="F69" s="42"/>
      <c r="G69" s="79"/>
      <c r="H69" s="42"/>
      <c r="I69" s="82"/>
      <c r="J69" s="65"/>
      <c r="K69" s="72"/>
      <c r="L69" s="42"/>
      <c r="M69" s="82"/>
      <c r="N69" s="84"/>
      <c r="O69" s="12"/>
      <c r="P69" s="88"/>
      <c r="Q69" s="89"/>
      <c r="R69" s="42"/>
      <c r="S69" s="88"/>
      <c r="T69" s="89"/>
      <c r="U69" s="42"/>
      <c r="V69" s="71">
        <f t="shared" si="10"/>
        <v>0.1</v>
      </c>
      <c r="W69" s="63">
        <f t="shared" si="11"/>
        <v>7.6970790391370419E-2</v>
      </c>
      <c r="X69" s="63">
        <f t="shared" si="12"/>
        <v>0.10024189067799051</v>
      </c>
      <c r="Y69" s="63">
        <f t="shared" si="13"/>
        <v>0.6433693171785092</v>
      </c>
      <c r="Z69" s="63">
        <f t="shared" si="14"/>
        <v>0.1</v>
      </c>
      <c r="AA69" s="104">
        <f t="shared" si="8"/>
        <v>1.3584232929462731E-2</v>
      </c>
      <c r="AB69" s="105">
        <f t="shared" si="9"/>
        <v>2.2500000000000003E-2</v>
      </c>
      <c r="AC69" s="43"/>
      <c r="AD69" s="1"/>
      <c r="AE69" s="1"/>
      <c r="AF69" s="1"/>
      <c r="AG69" s="1"/>
      <c r="AH69" s="1"/>
      <c r="AI69" s="1"/>
      <c r="AJ69" s="1"/>
    </row>
    <row r="70" spans="2:36">
      <c r="B70" s="40"/>
      <c r="C70" s="71"/>
      <c r="D70" s="48"/>
      <c r="E70" s="130"/>
      <c r="F70" s="42"/>
      <c r="G70" s="79"/>
      <c r="H70" s="42"/>
      <c r="I70" s="82"/>
      <c r="J70" s="65"/>
      <c r="K70" s="72"/>
      <c r="L70" s="42"/>
      <c r="M70" s="82"/>
      <c r="N70" s="84"/>
      <c r="O70" s="12"/>
      <c r="P70" s="88"/>
      <c r="Q70" s="89"/>
      <c r="R70" s="42"/>
      <c r="S70" s="88"/>
      <c r="T70" s="89"/>
      <c r="U70" s="42"/>
      <c r="V70" s="71">
        <f t="shared" si="10"/>
        <v>0.125</v>
      </c>
      <c r="W70" s="63">
        <f t="shared" si="11"/>
        <v>0.11795622249950696</v>
      </c>
      <c r="X70" s="63">
        <f t="shared" si="12"/>
        <v>0.16833084687930205</v>
      </c>
      <c r="Y70" s="63">
        <f t="shared" si="13"/>
        <v>0.68129649582922869</v>
      </c>
      <c r="Z70" s="63">
        <f t="shared" si="14"/>
        <v>0.125</v>
      </c>
      <c r="AA70" s="104">
        <f t="shared" si="8"/>
        <v>1.3907412395730718E-2</v>
      </c>
      <c r="AB70" s="105">
        <f t="shared" si="9"/>
        <v>2.1875000000000002E-2</v>
      </c>
      <c r="AC70" s="43"/>
      <c r="AD70" s="1"/>
      <c r="AE70" s="1"/>
      <c r="AF70" s="1"/>
      <c r="AG70" s="1"/>
      <c r="AH70" s="1"/>
      <c r="AI70" s="1"/>
      <c r="AJ70" s="1"/>
    </row>
    <row r="71" spans="2:36">
      <c r="B71" s="40"/>
      <c r="C71" s="71"/>
      <c r="D71" s="48"/>
      <c r="E71" s="130"/>
      <c r="F71" s="42"/>
      <c r="G71" s="79"/>
      <c r="H71" s="42"/>
      <c r="I71" s="82"/>
      <c r="J71" s="65"/>
      <c r="K71" s="72"/>
      <c r="L71" s="42"/>
      <c r="M71" s="82"/>
      <c r="N71" s="84"/>
      <c r="O71" s="12"/>
      <c r="P71" s="88"/>
      <c r="Q71" s="89"/>
      <c r="R71" s="42"/>
      <c r="S71" s="88"/>
      <c r="T71" s="89"/>
      <c r="U71" s="42"/>
      <c r="V71" s="71">
        <f t="shared" si="10"/>
        <v>0.15</v>
      </c>
      <c r="W71" s="63">
        <f t="shared" si="11"/>
        <v>0.11795622249950696</v>
      </c>
      <c r="X71" s="63">
        <f t="shared" si="12"/>
        <v>0.16833084687930205</v>
      </c>
      <c r="Y71" s="63">
        <f t="shared" si="13"/>
        <v>0.71883151923819477</v>
      </c>
      <c r="Z71" s="63">
        <f t="shared" si="14"/>
        <v>0.15</v>
      </c>
      <c r="AA71" s="104">
        <f t="shared" si="8"/>
        <v>1.422078798095487E-2</v>
      </c>
      <c r="AB71" s="105">
        <f t="shared" si="9"/>
        <v>2.1250000000000002E-2</v>
      </c>
      <c r="AC71" s="43"/>
      <c r="AD71" s="1"/>
      <c r="AE71" s="1"/>
      <c r="AF71" s="1"/>
      <c r="AG71" s="1"/>
      <c r="AH71" s="1"/>
      <c r="AI71" s="1"/>
      <c r="AJ71" s="1"/>
    </row>
    <row r="72" spans="2:36">
      <c r="B72" s="40"/>
      <c r="C72" s="71"/>
      <c r="D72" s="48"/>
      <c r="E72" s="130"/>
      <c r="F72" s="42"/>
      <c r="G72" s="79"/>
      <c r="H72" s="42"/>
      <c r="I72" s="82"/>
      <c r="J72" s="65"/>
      <c r="K72" s="72"/>
      <c r="L72" s="42"/>
      <c r="M72" s="82"/>
      <c r="N72" s="84"/>
      <c r="O72" s="12"/>
      <c r="P72" s="88"/>
      <c r="Q72" s="89"/>
      <c r="R72" s="42"/>
      <c r="S72" s="88"/>
      <c r="T72" s="89"/>
      <c r="U72" s="42"/>
      <c r="V72" s="71">
        <f t="shared" si="10"/>
        <v>0.17499999999999999</v>
      </c>
      <c r="W72" s="63">
        <f t="shared" si="11"/>
        <v>0.16833084687930205</v>
      </c>
      <c r="X72" s="63">
        <f t="shared" si="12"/>
        <v>0.1832923705369201</v>
      </c>
      <c r="Y72" s="63">
        <f t="shared" si="13"/>
        <v>0.755601527903071</v>
      </c>
      <c r="Z72" s="63">
        <f t="shared" si="14"/>
        <v>0.17499999999999999</v>
      </c>
      <c r="AA72" s="104">
        <f t="shared" si="8"/>
        <v>1.4515038197576775E-2</v>
      </c>
      <c r="AB72" s="105">
        <f t="shared" si="9"/>
        <v>2.0625000000000001E-2</v>
      </c>
      <c r="AC72" s="43"/>
      <c r="AD72" s="1"/>
      <c r="AE72" s="1"/>
      <c r="AF72" s="1"/>
      <c r="AG72" s="1"/>
      <c r="AH72" s="1"/>
      <c r="AI72" s="1"/>
      <c r="AJ72" s="1"/>
    </row>
    <row r="73" spans="2:36">
      <c r="B73" s="40"/>
      <c r="C73" s="71"/>
      <c r="D73" s="48"/>
      <c r="E73" s="130"/>
      <c r="F73" s="42"/>
      <c r="G73" s="79"/>
      <c r="H73" s="42"/>
      <c r="I73" s="82"/>
      <c r="J73" s="65"/>
      <c r="K73" s="72"/>
      <c r="L73" s="42"/>
      <c r="M73" s="82"/>
      <c r="N73" s="84"/>
      <c r="O73" s="12"/>
      <c r="P73" s="88"/>
      <c r="Q73" s="89"/>
      <c r="R73" s="42"/>
      <c r="S73" s="88"/>
      <c r="T73" s="89"/>
      <c r="U73" s="42"/>
      <c r="V73" s="71">
        <f t="shared" si="10"/>
        <v>0.19999999999999998</v>
      </c>
      <c r="W73" s="63">
        <f t="shared" si="11"/>
        <v>0.19823066384556742</v>
      </c>
      <c r="X73" s="63">
        <f t="shared" si="12"/>
        <v>0.21138366115418991</v>
      </c>
      <c r="Y73" s="63">
        <f t="shared" si="13"/>
        <v>0.78730513094239096</v>
      </c>
      <c r="Z73" s="63">
        <f t="shared" si="14"/>
        <v>0.19999999999999998</v>
      </c>
      <c r="AA73" s="104">
        <f t="shared" si="8"/>
        <v>1.4682628273559775E-2</v>
      </c>
      <c r="AB73" s="105">
        <f t="shared" si="9"/>
        <v>2.0000000000000004E-2</v>
      </c>
      <c r="AC73" s="43"/>
      <c r="AD73" s="1"/>
      <c r="AE73" s="1"/>
      <c r="AF73" s="1"/>
      <c r="AG73" s="1"/>
      <c r="AH73" s="1"/>
      <c r="AI73" s="1"/>
      <c r="AJ73" s="1"/>
    </row>
    <row r="74" spans="2:36">
      <c r="B74" s="40"/>
      <c r="C74" s="71"/>
      <c r="D74" s="48"/>
      <c r="E74" s="130"/>
      <c r="F74" s="42"/>
      <c r="G74" s="79"/>
      <c r="H74" s="42"/>
      <c r="I74" s="82"/>
      <c r="J74" s="65"/>
      <c r="K74" s="72"/>
      <c r="L74" s="42"/>
      <c r="M74" s="82"/>
      <c r="N74" s="84"/>
      <c r="O74" s="12"/>
      <c r="P74" s="88"/>
      <c r="Q74" s="89"/>
      <c r="R74" s="42"/>
      <c r="S74" s="88"/>
      <c r="T74" s="89"/>
      <c r="U74" s="42"/>
      <c r="V74" s="71">
        <f t="shared" si="10"/>
        <v>0.22499999999999998</v>
      </c>
      <c r="W74" s="63">
        <f t="shared" si="11"/>
        <v>0.22415980744014774</v>
      </c>
      <c r="X74" s="63">
        <f t="shared" si="12"/>
        <v>0.23439942934393809</v>
      </c>
      <c r="Y74" s="63">
        <f t="shared" si="13"/>
        <v>0.81507251544029968</v>
      </c>
      <c r="Z74" s="63">
        <f t="shared" si="14"/>
        <v>0.22499999999999998</v>
      </c>
      <c r="AA74" s="104">
        <f t="shared" si="8"/>
        <v>1.4751812886007493E-2</v>
      </c>
      <c r="AB74" s="105">
        <f t="shared" si="9"/>
        <v>1.9375000000000003E-2</v>
      </c>
      <c r="AC74" s="43"/>
      <c r="AD74" s="1"/>
      <c r="AE74" s="1"/>
      <c r="AF74" s="1"/>
      <c r="AG74" s="1"/>
      <c r="AH74" s="1"/>
      <c r="AI74" s="1"/>
      <c r="AJ74" s="1"/>
    </row>
    <row r="75" spans="2:36">
      <c r="B75" s="40"/>
      <c r="C75" s="71"/>
      <c r="D75" s="48"/>
      <c r="E75" s="130"/>
      <c r="F75" s="42"/>
      <c r="G75" s="79"/>
      <c r="H75" s="42"/>
      <c r="I75" s="82"/>
      <c r="J75" s="65"/>
      <c r="K75" s="72"/>
      <c r="L75" s="42"/>
      <c r="M75" s="82"/>
      <c r="N75" s="84"/>
      <c r="O75" s="12"/>
      <c r="P75" s="88"/>
      <c r="Q75" s="89"/>
      <c r="R75" s="42"/>
      <c r="S75" s="88"/>
      <c r="T75" s="89"/>
      <c r="U75" s="42"/>
      <c r="V75" s="71">
        <f t="shared" si="10"/>
        <v>0.24999999999999997</v>
      </c>
      <c r="W75" s="63">
        <f t="shared" si="11"/>
        <v>0.24719777206805996</v>
      </c>
      <c r="X75" s="63">
        <f t="shared" si="12"/>
        <v>0.26031317303051549</v>
      </c>
      <c r="Y75" s="63">
        <f t="shared" si="13"/>
        <v>0.83400851160515443</v>
      </c>
      <c r="Z75" s="63">
        <f t="shared" si="14"/>
        <v>0.24999999999999997</v>
      </c>
      <c r="AA75" s="104">
        <f t="shared" si="8"/>
        <v>1.4600212790128861E-2</v>
      </c>
      <c r="AB75" s="105">
        <f t="shared" si="9"/>
        <v>1.8750000000000003E-2</v>
      </c>
      <c r="AC75" s="43"/>
      <c r="AD75" s="1"/>
      <c r="AE75" s="1"/>
      <c r="AF75" s="1"/>
      <c r="AG75" s="1"/>
      <c r="AH75" s="1"/>
      <c r="AI75" s="1"/>
      <c r="AJ75" s="1"/>
    </row>
    <row r="76" spans="2:36">
      <c r="B76" s="40"/>
      <c r="C76" s="71"/>
      <c r="D76" s="48"/>
      <c r="E76" s="130"/>
      <c r="F76" s="42"/>
      <c r="G76" s="79"/>
      <c r="H76" s="42"/>
      <c r="I76" s="82"/>
      <c r="J76" s="65"/>
      <c r="K76" s="72"/>
      <c r="L76" s="42"/>
      <c r="M76" s="82"/>
      <c r="N76" s="84"/>
      <c r="O76" s="12"/>
      <c r="P76" s="88"/>
      <c r="Q76" s="89"/>
      <c r="R76" s="42"/>
      <c r="S76" s="88"/>
      <c r="T76" s="89"/>
      <c r="U76" s="42"/>
      <c r="V76" s="71">
        <f t="shared" si="10"/>
        <v>0.27499999999999997</v>
      </c>
      <c r="W76" s="63">
        <f t="shared" si="11"/>
        <v>0.27292339097248236</v>
      </c>
      <c r="X76" s="63">
        <f t="shared" si="12"/>
        <v>0.3101640829452072</v>
      </c>
      <c r="Y76" s="63">
        <f t="shared" si="13"/>
        <v>0.85079692297646448</v>
      </c>
      <c r="Z76" s="63">
        <f t="shared" si="14"/>
        <v>0.27499999999999997</v>
      </c>
      <c r="AA76" s="104">
        <f t="shared" si="8"/>
        <v>1.4394923074411614E-2</v>
      </c>
      <c r="AB76" s="105">
        <f t="shared" si="9"/>
        <v>1.8125000000000002E-2</v>
      </c>
      <c r="AC76" s="43"/>
      <c r="AD76" s="1"/>
      <c r="AE76" s="1"/>
      <c r="AF76" s="1"/>
      <c r="AG76" s="1"/>
      <c r="AH76" s="1"/>
      <c r="AI76" s="1"/>
      <c r="AJ76" s="1"/>
    </row>
    <row r="77" spans="2:36">
      <c r="B77" s="40"/>
      <c r="C77" s="71"/>
      <c r="D77" s="48"/>
      <c r="E77" s="130"/>
      <c r="F77" s="42"/>
      <c r="G77" s="79"/>
      <c r="H77" s="42"/>
      <c r="I77" s="82"/>
      <c r="J77" s="65"/>
      <c r="K77" s="72"/>
      <c r="L77" s="42"/>
      <c r="M77" s="82"/>
      <c r="N77" s="84"/>
      <c r="O77" s="12"/>
      <c r="P77" s="88"/>
      <c r="Q77" s="89"/>
      <c r="R77" s="42"/>
      <c r="S77" s="88"/>
      <c r="T77" s="89"/>
      <c r="U77" s="42"/>
      <c r="V77" s="71">
        <f t="shared" si="10"/>
        <v>0.3</v>
      </c>
      <c r="W77" s="63">
        <f t="shared" si="11"/>
        <v>0.27292339097248236</v>
      </c>
      <c r="X77" s="63">
        <f t="shared" si="12"/>
        <v>0.3101640829452072</v>
      </c>
      <c r="Y77" s="63">
        <f t="shared" si="13"/>
        <v>0.86564253994213713</v>
      </c>
      <c r="Z77" s="63">
        <f t="shared" si="14"/>
        <v>0.3</v>
      </c>
      <c r="AA77" s="104">
        <f t="shared" si="8"/>
        <v>1.414106349855343E-2</v>
      </c>
      <c r="AB77" s="105">
        <f t="shared" si="9"/>
        <v>1.7499999999999998E-2</v>
      </c>
      <c r="AC77" s="43"/>
      <c r="AD77" s="1"/>
      <c r="AE77" s="1"/>
      <c r="AF77" s="1"/>
      <c r="AG77" s="1"/>
      <c r="AH77" s="1"/>
      <c r="AI77" s="1"/>
      <c r="AJ77" s="1"/>
    </row>
    <row r="78" spans="2:36">
      <c r="B78" s="40"/>
      <c r="C78" s="71"/>
      <c r="D78" s="48"/>
      <c r="E78" s="130"/>
      <c r="F78" s="42"/>
      <c r="G78" s="79"/>
      <c r="H78" s="42"/>
      <c r="I78" s="82"/>
      <c r="J78" s="65"/>
      <c r="K78" s="72"/>
      <c r="L78" s="42"/>
      <c r="M78" s="82"/>
      <c r="N78" s="84"/>
      <c r="O78" s="12"/>
      <c r="P78" s="88"/>
      <c r="Q78" s="89"/>
      <c r="R78" s="42"/>
      <c r="S78" s="88"/>
      <c r="T78" s="89"/>
      <c r="U78" s="42"/>
      <c r="V78" s="71">
        <f t="shared" si="10"/>
        <v>0.32500000000000001</v>
      </c>
      <c r="W78" s="63">
        <f t="shared" si="11"/>
        <v>0.3101640829452072</v>
      </c>
      <c r="X78" s="63">
        <f t="shared" si="12"/>
        <v>0.33106059038914093</v>
      </c>
      <c r="Y78" s="63">
        <f t="shared" si="13"/>
        <v>0.88006893521003948</v>
      </c>
      <c r="Z78" s="63">
        <f t="shared" si="14"/>
        <v>0.32500000000000001</v>
      </c>
      <c r="AA78" s="104">
        <f t="shared" si="8"/>
        <v>1.3876723380250989E-2</v>
      </c>
      <c r="AB78" s="105">
        <f t="shared" si="9"/>
        <v>1.6875000000000001E-2</v>
      </c>
      <c r="AC78" s="43"/>
      <c r="AD78" s="1"/>
      <c r="AE78" s="1"/>
      <c r="AF78" s="1"/>
      <c r="AG78" s="1"/>
      <c r="AH78" s="1"/>
      <c r="AI78" s="1"/>
      <c r="AJ78" s="1"/>
    </row>
    <row r="79" spans="2:36">
      <c r="B79" s="40"/>
      <c r="C79" s="71"/>
      <c r="D79" s="48"/>
      <c r="E79" s="130"/>
      <c r="F79" s="42"/>
      <c r="G79" s="79"/>
      <c r="H79" s="42"/>
      <c r="I79" s="82"/>
      <c r="J79" s="65"/>
      <c r="K79" s="72"/>
      <c r="L79" s="42"/>
      <c r="M79" s="82"/>
      <c r="N79" s="84"/>
      <c r="O79" s="12"/>
      <c r="P79" s="88"/>
      <c r="Q79" s="89"/>
      <c r="R79" s="42"/>
      <c r="S79" s="88"/>
      <c r="T79" s="89"/>
      <c r="U79" s="42"/>
      <c r="V79" s="71">
        <f t="shared" si="10"/>
        <v>0.35000000000000003</v>
      </c>
      <c r="W79" s="63">
        <f t="shared" si="11"/>
        <v>0.34859567927085011</v>
      </c>
      <c r="X79" s="63">
        <f t="shared" si="12"/>
        <v>0.36337320564005859</v>
      </c>
      <c r="Y79" s="63">
        <f t="shared" si="13"/>
        <v>0.89387554571197136</v>
      </c>
      <c r="Z79" s="63">
        <f t="shared" si="14"/>
        <v>0.35000000000000003</v>
      </c>
      <c r="AA79" s="104">
        <f t="shared" si="8"/>
        <v>1.3596888642799282E-2</v>
      </c>
      <c r="AB79" s="105">
        <f t="shared" si="9"/>
        <v>1.6249999999999997E-2</v>
      </c>
      <c r="AC79" s="43"/>
      <c r="AD79" s="1"/>
      <c r="AE79" s="1"/>
      <c r="AF79" s="1"/>
      <c r="AG79" s="1"/>
      <c r="AH79" s="1"/>
      <c r="AI79" s="1"/>
      <c r="AJ79" s="1"/>
    </row>
    <row r="80" spans="2:36">
      <c r="B80" s="40"/>
      <c r="C80" s="71"/>
      <c r="D80" s="48"/>
      <c r="E80" s="130"/>
      <c r="F80" s="42"/>
      <c r="G80" s="79"/>
      <c r="H80" s="42"/>
      <c r="I80" s="82"/>
      <c r="J80" s="65"/>
      <c r="K80" s="72"/>
      <c r="L80" s="42"/>
      <c r="M80" s="82"/>
      <c r="N80" s="84"/>
      <c r="O80" s="12"/>
      <c r="P80" s="88"/>
      <c r="Q80" s="89"/>
      <c r="R80" s="42"/>
      <c r="S80" s="88"/>
      <c r="T80" s="89"/>
      <c r="U80" s="42"/>
      <c r="V80" s="71">
        <f t="shared" si="10"/>
        <v>0.37500000000000006</v>
      </c>
      <c r="W80" s="63">
        <f t="shared" si="11"/>
        <v>0.36337320564005859</v>
      </c>
      <c r="X80" s="63">
        <f t="shared" si="12"/>
        <v>0.38206081938514236</v>
      </c>
      <c r="Y80" s="63">
        <f t="shared" si="13"/>
        <v>0.90690366392515875</v>
      </c>
      <c r="Z80" s="63">
        <f t="shared" si="14"/>
        <v>0.37500000000000006</v>
      </c>
      <c r="AA80" s="104">
        <f t="shared" si="8"/>
        <v>1.3297591598128967E-2</v>
      </c>
      <c r="AB80" s="105">
        <f t="shared" si="9"/>
        <v>1.5625E-2</v>
      </c>
      <c r="AC80" s="43"/>
      <c r="AD80" s="1"/>
      <c r="AE80" s="1"/>
      <c r="AF80" s="1"/>
      <c r="AG80" s="1"/>
      <c r="AH80" s="1"/>
      <c r="AI80" s="1"/>
      <c r="AJ80" s="1"/>
    </row>
    <row r="81" spans="2:36">
      <c r="B81" s="40"/>
      <c r="C81" s="71"/>
      <c r="D81" s="48"/>
      <c r="E81" s="130"/>
      <c r="F81" s="42"/>
      <c r="G81" s="79"/>
      <c r="H81" s="42"/>
      <c r="I81" s="82"/>
      <c r="J81" s="65"/>
      <c r="K81" s="72"/>
      <c r="L81" s="42"/>
      <c r="M81" s="82"/>
      <c r="N81" s="84"/>
      <c r="O81" s="12"/>
      <c r="P81" s="88"/>
      <c r="Q81" s="89"/>
      <c r="R81" s="42"/>
      <c r="S81" s="88"/>
      <c r="T81" s="89"/>
      <c r="U81" s="42"/>
      <c r="V81" s="71">
        <f t="shared" si="10"/>
        <v>0.40000000000000008</v>
      </c>
      <c r="W81" s="63">
        <f t="shared" si="11"/>
        <v>0.396474322332312</v>
      </c>
      <c r="X81" s="63">
        <f t="shared" si="12"/>
        <v>0.41066175391431153</v>
      </c>
      <c r="Y81" s="63">
        <f t="shared" si="13"/>
        <v>0.91912133543562646</v>
      </c>
      <c r="Z81" s="63">
        <f t="shared" si="14"/>
        <v>0.40000000000000008</v>
      </c>
      <c r="AA81" s="104">
        <f t="shared" si="8"/>
        <v>1.297803338589066E-2</v>
      </c>
      <c r="AB81" s="105">
        <f t="shared" si="9"/>
        <v>1.4999999999999998E-2</v>
      </c>
      <c r="AC81" s="43"/>
      <c r="AD81" s="1"/>
      <c r="AE81" s="1"/>
      <c r="AF81" s="1"/>
      <c r="AG81" s="1"/>
      <c r="AH81" s="1"/>
      <c r="AI81" s="1"/>
      <c r="AJ81" s="1"/>
    </row>
    <row r="82" spans="2:36">
      <c r="B82" s="40"/>
      <c r="C82" s="71"/>
      <c r="D82" s="48"/>
      <c r="E82" s="130"/>
      <c r="F82" s="42"/>
      <c r="G82" s="79"/>
      <c r="H82" s="42"/>
      <c r="I82" s="82"/>
      <c r="J82" s="65"/>
      <c r="K82" s="72"/>
      <c r="L82" s="42"/>
      <c r="M82" s="82"/>
      <c r="N82" s="84"/>
      <c r="O82" s="12"/>
      <c r="P82" s="88"/>
      <c r="Q82" s="89"/>
      <c r="R82" s="42"/>
      <c r="S82" s="88"/>
      <c r="T82" s="89"/>
      <c r="U82" s="42"/>
      <c r="V82" s="71">
        <f t="shared" si="10"/>
        <v>0.4250000000000001</v>
      </c>
      <c r="W82" s="63">
        <f t="shared" si="11"/>
        <v>0.42360052775440837</v>
      </c>
      <c r="X82" s="63">
        <f t="shared" si="12"/>
        <v>0.4476524380479795</v>
      </c>
      <c r="Y82" s="63">
        <f t="shared" si="13"/>
        <v>0.93013777202777215</v>
      </c>
      <c r="Z82" s="63">
        <f t="shared" si="14"/>
        <v>0.4250000000000001</v>
      </c>
      <c r="AA82" s="104">
        <f t="shared" si="8"/>
        <v>1.2628444300694304E-2</v>
      </c>
      <c r="AB82" s="105">
        <f t="shared" si="9"/>
        <v>1.4374999999999999E-2</v>
      </c>
      <c r="AC82" s="43"/>
      <c r="AD82" s="1"/>
      <c r="AE82" s="1"/>
      <c r="AF82" s="1"/>
      <c r="AG82" s="1"/>
      <c r="AH82" s="1"/>
      <c r="AI82" s="1"/>
      <c r="AJ82" s="1"/>
    </row>
    <row r="83" spans="2:36">
      <c r="B83" s="40"/>
      <c r="C83" s="71"/>
      <c r="D83" s="48"/>
      <c r="E83" s="130"/>
      <c r="F83" s="42"/>
      <c r="G83" s="79"/>
      <c r="H83" s="42"/>
      <c r="I83" s="82"/>
      <c r="J83" s="65"/>
      <c r="K83" s="72"/>
      <c r="L83" s="42"/>
      <c r="M83" s="82"/>
      <c r="N83" s="84"/>
      <c r="O83" s="12"/>
      <c r="P83" s="88"/>
      <c r="Q83" s="89"/>
      <c r="R83" s="42"/>
      <c r="S83" s="88"/>
      <c r="T83" s="89"/>
      <c r="U83" s="42"/>
      <c r="V83" s="71">
        <f t="shared" si="10"/>
        <v>0.45000000000000012</v>
      </c>
      <c r="W83" s="63">
        <f t="shared" si="11"/>
        <v>0.4476524380479795</v>
      </c>
      <c r="X83" s="63">
        <f t="shared" si="12"/>
        <v>0.45612973139145824</v>
      </c>
      <c r="Y83" s="63">
        <f t="shared" si="13"/>
        <v>0.94067893856105844</v>
      </c>
      <c r="Z83" s="63">
        <f t="shared" si="14"/>
        <v>0.45000000000000012</v>
      </c>
      <c r="AA83" s="104">
        <f t="shared" si="8"/>
        <v>1.2266973464026458E-2</v>
      </c>
      <c r="AB83" s="105">
        <f t="shared" si="9"/>
        <v>1.3749999999999997E-2</v>
      </c>
      <c r="AC83" s="43"/>
      <c r="AD83" s="1"/>
      <c r="AE83" s="1"/>
      <c r="AF83" s="1"/>
      <c r="AG83" s="1"/>
      <c r="AH83" s="1"/>
      <c r="AI83" s="1"/>
      <c r="AJ83" s="1"/>
    </row>
    <row r="84" spans="2:36">
      <c r="B84" s="40"/>
      <c r="C84" s="71"/>
      <c r="D84" s="48"/>
      <c r="E84" s="130"/>
      <c r="F84" s="42"/>
      <c r="G84" s="79"/>
      <c r="H84" s="42"/>
      <c r="I84" s="82"/>
      <c r="J84" s="65"/>
      <c r="K84" s="72"/>
      <c r="L84" s="42"/>
      <c r="M84" s="82"/>
      <c r="N84" s="84"/>
      <c r="O84" s="12"/>
      <c r="P84" s="88"/>
      <c r="Q84" s="89"/>
      <c r="R84" s="42"/>
      <c r="S84" s="88"/>
      <c r="T84" s="89"/>
      <c r="U84" s="42"/>
      <c r="V84" s="71">
        <f t="shared" si="10"/>
        <v>0.47500000000000014</v>
      </c>
      <c r="W84" s="63">
        <f t="shared" si="11"/>
        <v>0.46984560799323438</v>
      </c>
      <c r="X84" s="63">
        <f t="shared" si="12"/>
        <v>0.48315909329943235</v>
      </c>
      <c r="Y84" s="63">
        <f t="shared" si="13"/>
        <v>0.94986475140177573</v>
      </c>
      <c r="Z84" s="63">
        <f t="shared" si="14"/>
        <v>0.47500000000000014</v>
      </c>
      <c r="AA84" s="104">
        <f t="shared" si="8"/>
        <v>1.1871618785044391E-2</v>
      </c>
      <c r="AB84" s="105">
        <f t="shared" si="9"/>
        <v>1.3124999999999998E-2</v>
      </c>
      <c r="AC84" s="43"/>
      <c r="AD84" s="1"/>
      <c r="AE84" s="1"/>
      <c r="AF84" s="1"/>
      <c r="AG84" s="1"/>
      <c r="AH84" s="1"/>
      <c r="AI84" s="1"/>
      <c r="AJ84" s="1"/>
    </row>
    <row r="85" spans="2:36">
      <c r="B85" s="40"/>
      <c r="C85" s="71"/>
      <c r="D85" s="48"/>
      <c r="E85" s="130"/>
      <c r="F85" s="42"/>
      <c r="G85" s="79"/>
      <c r="H85" s="42"/>
      <c r="I85" s="82"/>
      <c r="J85" s="65"/>
      <c r="K85" s="72"/>
      <c r="L85" s="42"/>
      <c r="M85" s="82"/>
      <c r="N85" s="84"/>
      <c r="O85" s="12"/>
      <c r="P85" s="88"/>
      <c r="Q85" s="89"/>
      <c r="R85" s="42"/>
      <c r="S85" s="88"/>
      <c r="T85" s="89"/>
      <c r="U85" s="42"/>
      <c r="V85" s="71">
        <f t="shared" si="10"/>
        <v>0.50000000000000011</v>
      </c>
      <c r="W85" s="63">
        <f t="shared" si="11"/>
        <v>0.49556680506939305</v>
      </c>
      <c r="X85" s="63">
        <f t="shared" si="12"/>
        <v>0.51015607700963772</v>
      </c>
      <c r="Y85" s="63">
        <f t="shared" si="13"/>
        <v>0.95767754756650214</v>
      </c>
      <c r="Z85" s="63">
        <f t="shared" si="14"/>
        <v>0.50000000000000011</v>
      </c>
      <c r="AA85" s="104">
        <f t="shared" si="8"/>
        <v>1.1441938689162552E-2</v>
      </c>
      <c r="AB85" s="105">
        <f t="shared" si="9"/>
        <v>1.2499999999999997E-2</v>
      </c>
      <c r="AC85" s="43"/>
      <c r="AD85" s="1"/>
      <c r="AE85" s="1"/>
      <c r="AF85" s="1"/>
      <c r="AG85" s="1"/>
      <c r="AH85" s="1"/>
      <c r="AI85" s="1"/>
      <c r="AJ85" s="1"/>
    </row>
    <row r="86" spans="2:36">
      <c r="B86" s="40"/>
      <c r="C86" s="71"/>
      <c r="D86" s="48"/>
      <c r="E86" s="130"/>
      <c r="F86" s="42"/>
      <c r="G86" s="79"/>
      <c r="H86" s="42"/>
      <c r="I86" s="82"/>
      <c r="J86" s="65"/>
      <c r="K86" s="72"/>
      <c r="L86" s="42"/>
      <c r="M86" s="82"/>
      <c r="N86" s="84"/>
      <c r="O86" s="12"/>
      <c r="P86" s="88"/>
      <c r="Q86" s="89"/>
      <c r="R86" s="42"/>
      <c r="S86" s="88"/>
      <c r="T86" s="89"/>
      <c r="U86" s="42"/>
      <c r="V86" s="71">
        <f t="shared" si="10"/>
        <v>0.52500000000000013</v>
      </c>
      <c r="W86" s="63">
        <f t="shared" si="11"/>
        <v>0.52154449567919337</v>
      </c>
      <c r="X86" s="63">
        <f t="shared" si="12"/>
        <v>0.53300777433262836</v>
      </c>
      <c r="Y86" s="63">
        <f t="shared" si="13"/>
        <v>0.96522298302858434</v>
      </c>
      <c r="Z86" s="63">
        <f t="shared" si="14"/>
        <v>0.52500000000000013</v>
      </c>
      <c r="AA86" s="104">
        <f t="shared" si="8"/>
        <v>1.1005574575714605E-2</v>
      </c>
      <c r="AB86" s="105">
        <f t="shared" si="9"/>
        <v>1.1874999999999997E-2</v>
      </c>
      <c r="AC86" s="43"/>
      <c r="AD86" s="1"/>
      <c r="AE86" s="1"/>
      <c r="AF86" s="1"/>
      <c r="AG86" s="1"/>
      <c r="AH86" s="1"/>
      <c r="AI86" s="1"/>
      <c r="AJ86" s="1"/>
    </row>
    <row r="87" spans="2:36">
      <c r="B87" s="40"/>
      <c r="C87" s="71"/>
      <c r="D87" s="48"/>
      <c r="E87" s="130"/>
      <c r="F87" s="42"/>
      <c r="G87" s="79"/>
      <c r="H87" s="42"/>
      <c r="I87" s="82"/>
      <c r="J87" s="65"/>
      <c r="K87" s="72"/>
      <c r="L87" s="42"/>
      <c r="M87" s="82"/>
      <c r="N87" s="84"/>
      <c r="O87" s="12"/>
      <c r="P87" s="88"/>
      <c r="Q87" s="89"/>
      <c r="R87" s="42"/>
      <c r="S87" s="88"/>
      <c r="T87" s="89"/>
      <c r="U87" s="42"/>
      <c r="V87" s="71">
        <f t="shared" si="10"/>
        <v>0.55000000000000016</v>
      </c>
      <c r="W87" s="63">
        <f t="shared" si="11"/>
        <v>0.53300777433262836</v>
      </c>
      <c r="X87" s="63">
        <f t="shared" si="12"/>
        <v>0.57967005474633604</v>
      </c>
      <c r="Y87" s="63">
        <f t="shared" si="13"/>
        <v>0.97216066583499205</v>
      </c>
      <c r="Z87" s="63">
        <f t="shared" si="14"/>
        <v>0.55000000000000016</v>
      </c>
      <c r="AA87" s="104">
        <f t="shared" si="8"/>
        <v>1.0554016645874797E-2</v>
      </c>
      <c r="AB87" s="105">
        <f t="shared" si="9"/>
        <v>1.1249999999999996E-2</v>
      </c>
      <c r="AC87" s="43"/>
      <c r="AD87" s="1"/>
      <c r="AE87" s="1"/>
      <c r="AF87" s="1"/>
      <c r="AG87" s="1"/>
      <c r="AH87" s="1"/>
      <c r="AI87" s="1"/>
      <c r="AJ87" s="1"/>
    </row>
    <row r="88" spans="2:36">
      <c r="B88" s="40"/>
      <c r="C88" s="71"/>
      <c r="D88" s="48"/>
      <c r="E88" s="130"/>
      <c r="F88" s="42"/>
      <c r="G88" s="79"/>
      <c r="H88" s="42"/>
      <c r="I88" s="82"/>
      <c r="J88" s="65"/>
      <c r="K88" s="72"/>
      <c r="L88" s="42"/>
      <c r="M88" s="82"/>
      <c r="N88" s="84"/>
      <c r="O88" s="12"/>
      <c r="P88" s="88"/>
      <c r="Q88" s="89"/>
      <c r="R88" s="42"/>
      <c r="S88" s="88"/>
      <c r="T88" s="89"/>
      <c r="U88" s="42"/>
      <c r="V88" s="71">
        <f t="shared" si="10"/>
        <v>0.57500000000000018</v>
      </c>
      <c r="W88" s="63">
        <f t="shared" si="11"/>
        <v>0.53300777433262836</v>
      </c>
      <c r="X88" s="63">
        <f t="shared" si="12"/>
        <v>0.57967005474633604</v>
      </c>
      <c r="Y88" s="63">
        <f t="shared" si="13"/>
        <v>0.97884221712485742</v>
      </c>
      <c r="Z88" s="63">
        <f t="shared" si="14"/>
        <v>0.57500000000000018</v>
      </c>
      <c r="AA88" s="104">
        <f t="shared" si="8"/>
        <v>1.0096055428121432E-2</v>
      </c>
      <c r="AB88" s="105">
        <f t="shared" si="9"/>
        <v>1.0624999999999996E-2</v>
      </c>
      <c r="AC88" s="43"/>
      <c r="AD88" s="1"/>
      <c r="AE88" s="1"/>
      <c r="AF88" s="1"/>
      <c r="AG88" s="1"/>
      <c r="AH88" s="1"/>
      <c r="AI88" s="1"/>
      <c r="AJ88" s="1"/>
    </row>
    <row r="89" spans="2:36">
      <c r="B89" s="40"/>
      <c r="C89" s="71"/>
      <c r="D89" s="48"/>
      <c r="E89" s="130"/>
      <c r="F89" s="42"/>
      <c r="G89" s="79"/>
      <c r="H89" s="42"/>
      <c r="I89" s="82"/>
      <c r="J89" s="65"/>
      <c r="K89" s="72"/>
      <c r="L89" s="42"/>
      <c r="M89" s="82"/>
      <c r="N89" s="84"/>
      <c r="O89" s="12"/>
      <c r="P89" s="88"/>
      <c r="Q89" s="89"/>
      <c r="R89" s="42"/>
      <c r="S89" s="88"/>
      <c r="T89" s="89"/>
      <c r="U89" s="42"/>
      <c r="V89" s="71">
        <f t="shared" si="10"/>
        <v>0.6000000000000002</v>
      </c>
      <c r="W89" s="63">
        <f t="shared" si="11"/>
        <v>0.59345235285116393</v>
      </c>
      <c r="X89" s="63">
        <f t="shared" si="12"/>
        <v>0.6079430717319374</v>
      </c>
      <c r="Y89" s="63">
        <f t="shared" si="13"/>
        <v>0.98507318290947399</v>
      </c>
      <c r="Z89" s="63">
        <f t="shared" si="14"/>
        <v>0.6000000000000002</v>
      </c>
      <c r="AA89" s="104">
        <f t="shared" si="8"/>
        <v>9.6268295727368457E-3</v>
      </c>
      <c r="AB89" s="105">
        <f t="shared" si="9"/>
        <v>9.999999999999995E-3</v>
      </c>
      <c r="AC89" s="43"/>
      <c r="AD89" s="1"/>
      <c r="AE89" s="1"/>
      <c r="AF89" s="1"/>
      <c r="AG89" s="1"/>
      <c r="AH89" s="1"/>
      <c r="AI89" s="1"/>
      <c r="AJ89" s="1"/>
    </row>
    <row r="90" spans="2:36">
      <c r="B90" s="40"/>
      <c r="C90" s="71"/>
      <c r="D90" s="48"/>
      <c r="E90" s="130"/>
      <c r="F90" s="42"/>
      <c r="G90" s="79"/>
      <c r="H90" s="42"/>
      <c r="I90" s="82"/>
      <c r="J90" s="65"/>
      <c r="K90" s="72"/>
      <c r="L90" s="42"/>
      <c r="M90" s="82"/>
      <c r="N90" s="84"/>
      <c r="O90" s="12"/>
      <c r="P90" s="88"/>
      <c r="Q90" s="89"/>
      <c r="R90" s="42"/>
      <c r="S90" s="88"/>
      <c r="T90" s="89"/>
      <c r="U90" s="42"/>
      <c r="V90" s="71">
        <f t="shared" si="10"/>
        <v>0.62500000000000022</v>
      </c>
      <c r="W90" s="63">
        <f t="shared" si="11"/>
        <v>0.62205400639632913</v>
      </c>
      <c r="X90" s="63">
        <f t="shared" si="12"/>
        <v>0.64280948628143497</v>
      </c>
      <c r="Y90" s="63">
        <f t="shared" si="13"/>
        <v>0.98950842705726749</v>
      </c>
      <c r="Z90" s="63">
        <f t="shared" si="14"/>
        <v>0.62500000000000022</v>
      </c>
      <c r="AA90" s="104">
        <f t="shared" si="8"/>
        <v>9.1127106764316828E-3</v>
      </c>
      <c r="AB90" s="105">
        <f t="shared" si="9"/>
        <v>9.3749999999999944E-3</v>
      </c>
      <c r="AC90" s="43"/>
      <c r="AD90" s="1"/>
      <c r="AE90" s="1"/>
      <c r="AF90" s="1"/>
      <c r="AG90" s="1"/>
      <c r="AH90" s="1"/>
      <c r="AI90" s="1"/>
      <c r="AJ90" s="1"/>
    </row>
    <row r="91" spans="2:36">
      <c r="B91" s="40"/>
      <c r="C91" s="71"/>
      <c r="D91" s="48"/>
      <c r="E91" s="130"/>
      <c r="F91" s="42"/>
      <c r="G91" s="79"/>
      <c r="H91" s="42"/>
      <c r="I91" s="82"/>
      <c r="J91" s="65"/>
      <c r="K91" s="72"/>
      <c r="L91" s="42"/>
      <c r="M91" s="82"/>
      <c r="N91" s="84"/>
      <c r="O91" s="12"/>
      <c r="P91" s="88"/>
      <c r="Q91" s="89"/>
      <c r="R91" s="42"/>
      <c r="S91" s="88"/>
      <c r="T91" s="89"/>
      <c r="U91" s="42"/>
      <c r="V91" s="71">
        <f t="shared" si="10"/>
        <v>0.65000000000000024</v>
      </c>
      <c r="W91" s="63">
        <f t="shared" si="11"/>
        <v>0.64280948628143497</v>
      </c>
      <c r="X91" s="63">
        <f t="shared" si="12"/>
        <v>0.65169152539214026</v>
      </c>
      <c r="Y91" s="63">
        <f t="shared" si="13"/>
        <v>0.99253672451270103</v>
      </c>
      <c r="Z91" s="63">
        <f t="shared" si="14"/>
        <v>0.65000000000000024</v>
      </c>
      <c r="AA91" s="104">
        <f t="shared" si="8"/>
        <v>8.5634181128175207E-3</v>
      </c>
      <c r="AB91" s="105">
        <f t="shared" si="9"/>
        <v>8.7499999999999939E-3</v>
      </c>
      <c r="AC91" s="43"/>
      <c r="AD91" s="1"/>
      <c r="AE91" s="1"/>
      <c r="AF91" s="1"/>
      <c r="AG91" s="1"/>
      <c r="AH91" s="1"/>
      <c r="AI91" s="1"/>
      <c r="AJ91" s="1"/>
    </row>
    <row r="92" spans="2:36">
      <c r="B92" s="40"/>
      <c r="C92" s="71"/>
      <c r="D92" s="48"/>
      <c r="E92" s="130"/>
      <c r="F92" s="42"/>
      <c r="G92" s="79"/>
      <c r="H92" s="42"/>
      <c r="I92" s="82"/>
      <c r="J92" s="65"/>
      <c r="K92" s="72"/>
      <c r="L92" s="42"/>
      <c r="M92" s="82"/>
      <c r="N92" s="84"/>
      <c r="O92" s="12"/>
      <c r="P92" s="88"/>
      <c r="Q92" s="89"/>
      <c r="R92" s="42"/>
      <c r="S92" s="88"/>
      <c r="T92" s="89"/>
      <c r="U92" s="42"/>
      <c r="V92" s="71">
        <f t="shared" si="10"/>
        <v>0.67500000000000027</v>
      </c>
      <c r="W92" s="63">
        <f t="shared" si="11"/>
        <v>0.67360267470150814</v>
      </c>
      <c r="X92" s="63">
        <f t="shared" si="12"/>
        <v>0.70184099041913683</v>
      </c>
      <c r="Y92" s="63">
        <f t="shared" si="13"/>
        <v>0.99410678647552664</v>
      </c>
      <c r="Z92" s="63">
        <f t="shared" si="14"/>
        <v>0.67500000000000027</v>
      </c>
      <c r="AA92" s="104">
        <f t="shared" si="8"/>
        <v>7.9776696618881603E-3</v>
      </c>
      <c r="AB92" s="105">
        <f t="shared" si="9"/>
        <v>8.1249999999999933E-3</v>
      </c>
      <c r="AC92" s="43"/>
      <c r="AD92" s="1"/>
      <c r="AE92" s="1"/>
      <c r="AF92" s="1"/>
      <c r="AG92" s="1"/>
      <c r="AH92" s="1"/>
      <c r="AI92" s="1"/>
      <c r="AJ92" s="1"/>
    </row>
    <row r="93" spans="2:36">
      <c r="B93" s="40"/>
      <c r="C93" s="71"/>
      <c r="D93" s="48"/>
      <c r="E93" s="130"/>
      <c r="F93" s="42"/>
      <c r="G93" s="79"/>
      <c r="H93" s="42"/>
      <c r="I93" s="82"/>
      <c r="J93" s="65"/>
      <c r="K93" s="72"/>
      <c r="L93" s="42"/>
      <c r="M93" s="82"/>
      <c r="N93" s="84"/>
      <c r="O93" s="12"/>
      <c r="P93" s="88"/>
      <c r="Q93" s="89"/>
      <c r="R93" s="42"/>
      <c r="S93" s="88"/>
      <c r="T93" s="89"/>
      <c r="U93" s="42"/>
      <c r="V93" s="71">
        <f t="shared" si="10"/>
        <v>0.70000000000000029</v>
      </c>
      <c r="W93" s="63">
        <f t="shared" si="11"/>
        <v>0.67360267470150814</v>
      </c>
      <c r="X93" s="63">
        <f t="shared" si="12"/>
        <v>0.70184099041913683</v>
      </c>
      <c r="Y93" s="63">
        <f t="shared" si="13"/>
        <v>0.99514522005859729</v>
      </c>
      <c r="Z93" s="63">
        <f t="shared" si="14"/>
        <v>0.70000000000000029</v>
      </c>
      <c r="AA93" s="104">
        <f t="shared" si="8"/>
        <v>7.3786305014649257E-3</v>
      </c>
      <c r="AB93" s="105">
        <f t="shared" si="9"/>
        <v>7.4999999999999928E-3</v>
      </c>
      <c r="AC93" s="43"/>
      <c r="AD93" s="1"/>
      <c r="AE93" s="1"/>
      <c r="AF93" s="1"/>
      <c r="AG93" s="1"/>
      <c r="AH93" s="1"/>
      <c r="AI93" s="1"/>
      <c r="AJ93" s="1"/>
    </row>
    <row r="94" spans="2:36">
      <c r="B94" s="40"/>
      <c r="C94" s="71"/>
      <c r="D94" s="48"/>
      <c r="E94" s="130"/>
      <c r="F94" s="42"/>
      <c r="G94" s="79"/>
      <c r="H94" s="42"/>
      <c r="I94" s="82"/>
      <c r="J94" s="65"/>
      <c r="K94" s="72"/>
      <c r="L94" s="42"/>
      <c r="M94" s="82"/>
      <c r="N94" s="84"/>
      <c r="O94" s="12"/>
      <c r="P94" s="88"/>
      <c r="Q94" s="89"/>
      <c r="R94" s="42"/>
      <c r="S94" s="88"/>
      <c r="T94" s="89"/>
      <c r="U94" s="42"/>
      <c r="V94" s="71">
        <f t="shared" si="10"/>
        <v>0.72500000000000031</v>
      </c>
      <c r="W94" s="63">
        <f t="shared" si="11"/>
        <v>0.71628136060425618</v>
      </c>
      <c r="X94" s="63">
        <f t="shared" si="12"/>
        <v>0.74662183314455832</v>
      </c>
      <c r="Y94" s="63">
        <f t="shared" si="13"/>
        <v>0.99608289280562035</v>
      </c>
      <c r="Z94" s="63">
        <f t="shared" si="14"/>
        <v>0.72500000000000031</v>
      </c>
      <c r="AA94" s="104">
        <f t="shared" si="8"/>
        <v>6.7770723201405012E-3</v>
      </c>
      <c r="AB94" s="105">
        <f t="shared" si="9"/>
        <v>6.8749999999999922E-3</v>
      </c>
      <c r="AC94" s="43"/>
      <c r="AD94" s="1"/>
      <c r="AE94" s="1"/>
      <c r="AF94" s="1"/>
      <c r="AG94" s="1"/>
      <c r="AH94" s="1"/>
      <c r="AI94" s="1"/>
      <c r="AJ94" s="1"/>
    </row>
    <row r="95" spans="2:36">
      <c r="B95" s="40"/>
      <c r="C95" s="71"/>
      <c r="D95" s="48"/>
      <c r="E95" s="130"/>
      <c r="F95" s="42"/>
      <c r="G95" s="79"/>
      <c r="H95" s="42"/>
      <c r="I95" s="82"/>
      <c r="J95" s="65"/>
      <c r="K95" s="72"/>
      <c r="L95" s="42"/>
      <c r="M95" s="82"/>
      <c r="N95" s="84"/>
      <c r="O95" s="12"/>
      <c r="P95" s="88"/>
      <c r="Q95" s="89"/>
      <c r="R95" s="42"/>
      <c r="S95" s="88"/>
      <c r="T95" s="89"/>
      <c r="U95" s="42"/>
      <c r="V95" s="71">
        <f t="shared" si="10"/>
        <v>0.75000000000000033</v>
      </c>
      <c r="W95" s="63">
        <f t="shared" si="11"/>
        <v>0.74662183314455832</v>
      </c>
      <c r="X95" s="63">
        <f t="shared" si="12"/>
        <v>0.76632203171493696</v>
      </c>
      <c r="Y95" s="63">
        <f t="shared" si="13"/>
        <v>0.99698062227982964</v>
      </c>
      <c r="Z95" s="63">
        <f t="shared" si="14"/>
        <v>0.75000000000000033</v>
      </c>
      <c r="AA95" s="104">
        <f t="shared" si="8"/>
        <v>6.1745155569957327E-3</v>
      </c>
      <c r="AB95" s="105">
        <f t="shared" si="9"/>
        <v>6.2499999999999917E-3</v>
      </c>
      <c r="AC95" s="43"/>
      <c r="AD95" s="1"/>
      <c r="AE95" s="1"/>
      <c r="AF95" s="1"/>
      <c r="AG95" s="1"/>
      <c r="AH95" s="1"/>
      <c r="AI95" s="1"/>
      <c r="AJ95" s="1"/>
    </row>
    <row r="96" spans="2:36">
      <c r="B96" s="40"/>
      <c r="C96" s="71"/>
      <c r="D96" s="48"/>
      <c r="E96" s="130"/>
      <c r="F96" s="42"/>
      <c r="G96" s="79"/>
      <c r="H96" s="42"/>
      <c r="I96" s="82"/>
      <c r="J96" s="65"/>
      <c r="K96" s="72"/>
      <c r="L96" s="42"/>
      <c r="M96" s="82"/>
      <c r="N96" s="84"/>
      <c r="O96" s="12"/>
      <c r="P96" s="88"/>
      <c r="Q96" s="89"/>
      <c r="R96" s="42"/>
      <c r="S96" s="88"/>
      <c r="T96" s="89"/>
      <c r="U96" s="42"/>
      <c r="V96" s="71">
        <f t="shared" si="10"/>
        <v>0.77500000000000036</v>
      </c>
      <c r="W96" s="63">
        <f t="shared" si="11"/>
        <v>0.76632203171493696</v>
      </c>
      <c r="X96" s="63">
        <f t="shared" si="12"/>
        <v>0.77775752813178123</v>
      </c>
      <c r="Y96" s="63">
        <f t="shared" si="13"/>
        <v>0.99775726894418793</v>
      </c>
      <c r="Z96" s="63">
        <f t="shared" si="14"/>
        <v>0.77500000000000036</v>
      </c>
      <c r="AA96" s="104">
        <f t="shared" si="8"/>
        <v>5.5689317236046892E-3</v>
      </c>
      <c r="AB96" s="105">
        <f t="shared" si="9"/>
        <v>5.6249999999999911E-3</v>
      </c>
      <c r="AC96" s="43"/>
      <c r="AD96" s="1"/>
      <c r="AE96" s="1"/>
      <c r="AF96" s="1"/>
      <c r="AG96" s="1"/>
      <c r="AH96" s="1"/>
      <c r="AI96" s="1"/>
      <c r="AJ96" s="1"/>
    </row>
    <row r="97" spans="2:36">
      <c r="B97" s="40"/>
      <c r="C97" s="71"/>
      <c r="D97" s="48"/>
      <c r="E97" s="130"/>
      <c r="F97" s="42"/>
      <c r="G97" s="79"/>
      <c r="H97" s="42"/>
      <c r="I97" s="82"/>
      <c r="J97" s="65"/>
      <c r="K97" s="72"/>
      <c r="L97" s="42"/>
      <c r="M97" s="82"/>
      <c r="N97" s="84"/>
      <c r="O97" s="12"/>
      <c r="P97" s="88"/>
      <c r="Q97" s="89"/>
      <c r="R97" s="42"/>
      <c r="S97" s="88"/>
      <c r="T97" s="89"/>
      <c r="U97" s="42"/>
      <c r="V97" s="71">
        <f t="shared" si="10"/>
        <v>0.80000000000000038</v>
      </c>
      <c r="W97" s="63">
        <f t="shared" si="11"/>
        <v>0.79032950838522442</v>
      </c>
      <c r="X97" s="63">
        <f t="shared" si="12"/>
        <v>0.81143893364929343</v>
      </c>
      <c r="Y97" s="63">
        <f t="shared" si="13"/>
        <v>0.99821679822495202</v>
      </c>
      <c r="Z97" s="63">
        <f t="shared" si="14"/>
        <v>0.80000000000000038</v>
      </c>
      <c r="AA97" s="104">
        <f t="shared" si="8"/>
        <v>4.955419955623791E-3</v>
      </c>
      <c r="AB97" s="105">
        <f t="shared" si="9"/>
        <v>4.9999999999999906E-3</v>
      </c>
      <c r="AC97" s="43"/>
      <c r="AD97" s="1"/>
      <c r="AE97" s="1"/>
      <c r="AF97" s="1"/>
      <c r="AG97" s="1"/>
      <c r="AH97" s="1"/>
      <c r="AI97" s="1"/>
      <c r="AJ97" s="1"/>
    </row>
    <row r="98" spans="2:36">
      <c r="B98" s="40"/>
      <c r="C98" s="71"/>
      <c r="D98" s="48"/>
      <c r="E98" s="130"/>
      <c r="F98" s="42"/>
      <c r="G98" s="79"/>
      <c r="H98" s="42"/>
      <c r="I98" s="82"/>
      <c r="J98" s="65"/>
      <c r="K98" s="72"/>
      <c r="L98" s="42"/>
      <c r="M98" s="82"/>
      <c r="N98" s="84"/>
      <c r="O98" s="12"/>
      <c r="P98" s="88"/>
      <c r="Q98" s="89"/>
      <c r="R98" s="42"/>
      <c r="S98" s="88"/>
      <c r="T98" s="89"/>
      <c r="U98" s="42"/>
      <c r="V98" s="71">
        <f t="shared" si="10"/>
        <v>0.8250000000000004</v>
      </c>
      <c r="W98" s="63">
        <f t="shared" si="11"/>
        <v>0.81143893364929343</v>
      </c>
      <c r="X98" s="63">
        <f t="shared" si="12"/>
        <v>0.83763973087827626</v>
      </c>
      <c r="Y98" s="63">
        <f t="shared" si="13"/>
        <v>0.99857789199582569</v>
      </c>
      <c r="Z98" s="63">
        <f t="shared" si="14"/>
        <v>0.8250000000000004</v>
      </c>
      <c r="AA98" s="104">
        <f t="shared" si="8"/>
        <v>4.3394472998956324E-3</v>
      </c>
      <c r="AB98" s="105">
        <f t="shared" si="9"/>
        <v>4.37499999999999E-3</v>
      </c>
      <c r="AC98" s="43"/>
      <c r="AD98" s="1"/>
      <c r="AE98" s="1"/>
      <c r="AF98" s="1"/>
      <c r="AG98" s="1"/>
      <c r="AH98" s="1"/>
      <c r="AI98" s="1"/>
      <c r="AJ98" s="1"/>
    </row>
    <row r="99" spans="2:36">
      <c r="B99" s="40"/>
      <c r="C99" s="71"/>
      <c r="D99" s="48"/>
      <c r="E99" s="130"/>
      <c r="F99" s="42"/>
      <c r="G99" s="79"/>
      <c r="H99" s="42"/>
      <c r="I99" s="82"/>
      <c r="J99" s="65"/>
      <c r="K99" s="72"/>
      <c r="L99" s="42"/>
      <c r="M99" s="82"/>
      <c r="N99" s="84"/>
      <c r="O99" s="12"/>
      <c r="P99" s="88"/>
      <c r="Q99" s="89"/>
      <c r="R99" s="42"/>
      <c r="S99" s="88"/>
      <c r="T99" s="89"/>
      <c r="U99" s="42"/>
      <c r="V99" s="71">
        <f t="shared" si="10"/>
        <v>0.85000000000000042</v>
      </c>
      <c r="W99" s="63">
        <f t="shared" si="11"/>
        <v>0.83763973087827626</v>
      </c>
      <c r="X99" s="63">
        <f t="shared" si="12"/>
        <v>0.87481036803588119</v>
      </c>
      <c r="Y99" s="63">
        <f t="shared" si="13"/>
        <v>0.99893017132689532</v>
      </c>
      <c r="Z99" s="63">
        <f t="shared" si="14"/>
        <v>0.85000000000000042</v>
      </c>
      <c r="AA99" s="104">
        <f t="shared" si="8"/>
        <v>3.7232542831723728E-3</v>
      </c>
      <c r="AB99" s="105">
        <f t="shared" si="9"/>
        <v>3.7499999999999895E-3</v>
      </c>
      <c r="AC99" s="43"/>
      <c r="AD99" s="1"/>
      <c r="AE99" s="1"/>
      <c r="AF99" s="1"/>
      <c r="AG99" s="1"/>
      <c r="AH99" s="1"/>
      <c r="AI99" s="1"/>
      <c r="AJ99" s="1"/>
    </row>
    <row r="100" spans="2:36">
      <c r="B100" s="40"/>
      <c r="C100" s="71"/>
      <c r="D100" s="48"/>
      <c r="E100" s="130"/>
      <c r="F100" s="42"/>
      <c r="G100" s="79"/>
      <c r="H100" s="42"/>
      <c r="I100" s="82"/>
      <c r="J100" s="65"/>
      <c r="K100" s="72"/>
      <c r="L100" s="42"/>
      <c r="M100" s="82"/>
      <c r="N100" s="84"/>
      <c r="O100" s="12"/>
      <c r="P100" s="88"/>
      <c r="Q100" s="89"/>
      <c r="R100" s="42"/>
      <c r="S100" s="88"/>
      <c r="T100" s="89"/>
      <c r="U100" s="42"/>
      <c r="V100" s="71">
        <f t="shared" si="10"/>
        <v>0.87500000000000044</v>
      </c>
      <c r="W100" s="63">
        <f t="shared" si="11"/>
        <v>0.87481036803588119</v>
      </c>
      <c r="X100" s="63">
        <f t="shared" si="12"/>
        <v>0.88611661454391677</v>
      </c>
      <c r="Y100" s="63">
        <f t="shared" si="13"/>
        <v>0.99927645479923022</v>
      </c>
      <c r="Z100" s="63">
        <f t="shared" si="14"/>
        <v>0.87500000000000044</v>
      </c>
      <c r="AA100" s="104">
        <f t="shared" si="8"/>
        <v>3.1069113699807444E-3</v>
      </c>
      <c r="AB100" s="105">
        <f t="shared" si="9"/>
        <v>3.1249999999999889E-3</v>
      </c>
      <c r="AC100" s="43"/>
      <c r="AD100" s="1"/>
      <c r="AE100" s="1"/>
      <c r="AF100" s="1"/>
      <c r="AG100" s="1"/>
      <c r="AH100" s="1"/>
      <c r="AI100" s="1"/>
      <c r="AJ100" s="1"/>
    </row>
    <row r="101" spans="2:36">
      <c r="B101" s="40"/>
      <c r="C101" s="71"/>
      <c r="D101" s="48"/>
      <c r="E101" s="130"/>
      <c r="F101" s="42"/>
      <c r="G101" s="79"/>
      <c r="H101" s="42"/>
      <c r="I101" s="82"/>
      <c r="J101" s="65"/>
      <c r="K101" s="72"/>
      <c r="L101" s="42"/>
      <c r="M101" s="82"/>
      <c r="N101" s="84"/>
      <c r="O101" s="12"/>
      <c r="P101" s="88"/>
      <c r="Q101" s="89"/>
      <c r="R101" s="42"/>
      <c r="S101" s="88"/>
      <c r="T101" s="89"/>
      <c r="U101" s="42"/>
      <c r="V101" s="71">
        <f t="shared" si="10"/>
        <v>0.90000000000000047</v>
      </c>
      <c r="W101" s="63">
        <f t="shared" si="11"/>
        <v>0.89745762824260533</v>
      </c>
      <c r="X101" s="63">
        <f t="shared" si="12"/>
        <v>0.91049543989790727</v>
      </c>
      <c r="Y101" s="63">
        <f t="shared" si="13"/>
        <v>0.99949565233317073</v>
      </c>
      <c r="Z101" s="63">
        <f t="shared" si="14"/>
        <v>0.90000000000000047</v>
      </c>
      <c r="AA101" s="104">
        <f t="shared" si="8"/>
        <v>2.4873913083292565E-3</v>
      </c>
      <c r="AB101" s="105">
        <f t="shared" si="9"/>
        <v>2.4999999999999883E-3</v>
      </c>
      <c r="AC101" s="43"/>
      <c r="AD101" s="1"/>
      <c r="AE101" s="1"/>
      <c r="AF101" s="1"/>
      <c r="AG101" s="1"/>
      <c r="AH101" s="1"/>
      <c r="AI101" s="1"/>
      <c r="AJ101" s="1"/>
    </row>
    <row r="102" spans="2:36">
      <c r="B102" s="40"/>
      <c r="C102" s="71"/>
      <c r="D102" s="48"/>
      <c r="E102" s="130"/>
      <c r="F102" s="42"/>
      <c r="G102" s="79"/>
      <c r="H102" s="42"/>
      <c r="I102" s="82"/>
      <c r="J102" s="65"/>
      <c r="K102" s="72"/>
      <c r="L102" s="42"/>
      <c r="M102" s="82"/>
      <c r="N102" s="84"/>
      <c r="O102" s="12"/>
      <c r="P102" s="88"/>
      <c r="Q102" s="89"/>
      <c r="R102" s="42"/>
      <c r="S102" s="88"/>
      <c r="T102" s="89"/>
      <c r="U102" s="42"/>
      <c r="V102" s="71">
        <f t="shared" si="10"/>
        <v>0.92500000000000049</v>
      </c>
      <c r="W102" s="63">
        <f t="shared" si="11"/>
        <v>0.91049543989790727</v>
      </c>
      <c r="X102" s="63">
        <f t="shared" si="12"/>
        <v>0.92870906504549366</v>
      </c>
      <c r="Y102" s="63">
        <f t="shared" si="13"/>
        <v>0.99965582759540339</v>
      </c>
      <c r="Z102" s="63">
        <f t="shared" si="14"/>
        <v>0.92500000000000049</v>
      </c>
      <c r="AA102" s="104">
        <f t="shared" si="8"/>
        <v>1.8663956898850725E-3</v>
      </c>
      <c r="AB102" s="105">
        <f t="shared" si="9"/>
        <v>1.8749999999999878E-3</v>
      </c>
      <c r="AC102" s="43"/>
      <c r="AD102" s="1"/>
      <c r="AE102" s="1"/>
      <c r="AF102" s="1"/>
      <c r="AG102" s="1"/>
      <c r="AH102" s="1"/>
      <c r="AI102" s="1"/>
      <c r="AJ102" s="1"/>
    </row>
    <row r="103" spans="2:36">
      <c r="B103" s="40"/>
      <c r="C103" s="71"/>
      <c r="D103" s="48"/>
      <c r="E103" s="130"/>
      <c r="F103" s="42"/>
      <c r="G103" s="79"/>
      <c r="H103" s="42"/>
      <c r="I103" s="82"/>
      <c r="J103" s="65"/>
      <c r="K103" s="72"/>
      <c r="L103" s="42"/>
      <c r="M103" s="82"/>
      <c r="N103" s="84"/>
      <c r="O103" s="12"/>
      <c r="P103" s="88"/>
      <c r="Q103" s="89"/>
      <c r="R103" s="42"/>
      <c r="S103" s="88"/>
      <c r="T103" s="89"/>
      <c r="U103" s="42"/>
      <c r="V103" s="71">
        <f t="shared" si="10"/>
        <v>0.95000000000000051</v>
      </c>
      <c r="W103" s="63">
        <f t="shared" si="11"/>
        <v>0.92870906504549366</v>
      </c>
      <c r="X103" s="63">
        <f t="shared" si="12"/>
        <v>0.9564495532031172</v>
      </c>
      <c r="Y103" s="63">
        <f t="shared" si="13"/>
        <v>0.99978122839682448</v>
      </c>
      <c r="Z103" s="63">
        <f t="shared" si="14"/>
        <v>0.95000000000000051</v>
      </c>
      <c r="AA103" s="104">
        <f t="shared" si="8"/>
        <v>1.2445307099205995E-3</v>
      </c>
      <c r="AB103" s="105">
        <f t="shared" si="9"/>
        <v>1.2499999999999872E-3</v>
      </c>
      <c r="AC103" s="43"/>
      <c r="AD103" s="1"/>
      <c r="AE103" s="1"/>
      <c r="AF103" s="1"/>
      <c r="AG103" s="1"/>
      <c r="AH103" s="1"/>
      <c r="AI103" s="1"/>
      <c r="AJ103" s="1"/>
    </row>
    <row r="104" spans="2:36">
      <c r="B104" s="40"/>
      <c r="C104" s="71"/>
      <c r="D104" s="48"/>
      <c r="E104" s="130"/>
      <c r="F104" s="42"/>
      <c r="G104" s="79"/>
      <c r="H104" s="42"/>
      <c r="I104" s="82"/>
      <c r="J104" s="65"/>
      <c r="K104" s="72"/>
      <c r="L104" s="42"/>
      <c r="M104" s="82"/>
      <c r="N104" s="84"/>
      <c r="O104" s="12"/>
      <c r="P104" s="88"/>
      <c r="Q104" s="89"/>
      <c r="R104" s="42"/>
      <c r="S104" s="88"/>
      <c r="T104" s="89"/>
      <c r="U104" s="42"/>
      <c r="V104" s="71">
        <f t="shared" si="10"/>
        <v>0.97500000000000053</v>
      </c>
      <c r="W104" s="63">
        <f t="shared" si="11"/>
        <v>0.9564495532031172</v>
      </c>
      <c r="X104" s="63">
        <f t="shared" si="12"/>
        <v>1</v>
      </c>
      <c r="Y104" s="63">
        <f t="shared" si="13"/>
        <v>0.99989243187034127</v>
      </c>
      <c r="Z104" s="63">
        <f t="shared" si="14"/>
        <v>0.97500000000000053</v>
      </c>
      <c r="AA104" s="104">
        <f t="shared" si="8"/>
        <v>6.2231079675851848E-4</v>
      </c>
      <c r="AB104" s="105">
        <f t="shared" si="9"/>
        <v>6.2499999999998668E-4</v>
      </c>
      <c r="AC104" s="43"/>
      <c r="AD104" s="1"/>
      <c r="AE104" s="1"/>
      <c r="AF104" s="1"/>
      <c r="AG104" s="1"/>
      <c r="AH104" s="1"/>
      <c r="AI104" s="1"/>
      <c r="AJ104" s="1"/>
    </row>
    <row r="105" spans="2:36" ht="16" thickBot="1">
      <c r="B105" s="40"/>
      <c r="C105" s="71"/>
      <c r="D105" s="48"/>
      <c r="E105" s="130"/>
      <c r="F105" s="42"/>
      <c r="G105" s="79"/>
      <c r="H105" s="42"/>
      <c r="I105" s="82"/>
      <c r="J105" s="65"/>
      <c r="K105" s="72"/>
      <c r="L105" s="42"/>
      <c r="M105" s="82"/>
      <c r="N105" s="84"/>
      <c r="O105" s="12"/>
      <c r="P105" s="88"/>
      <c r="Q105" s="89"/>
      <c r="R105" s="42"/>
      <c r="S105" s="88"/>
      <c r="T105" s="89"/>
      <c r="U105" s="42"/>
      <c r="V105" s="73">
        <f t="shared" si="10"/>
        <v>1.0000000000000004</v>
      </c>
      <c r="W105" s="63">
        <f t="shared" si="11"/>
        <v>1</v>
      </c>
      <c r="X105" s="63">
        <f t="shared" si="12"/>
        <v>0</v>
      </c>
      <c r="Y105" s="63">
        <f t="shared" si="13"/>
        <v>1.0000000000000002</v>
      </c>
      <c r="Z105" s="64">
        <f t="shared" si="14"/>
        <v>1.0000000000000004</v>
      </c>
      <c r="AA105" s="106">
        <f t="shared" si="8"/>
        <v>-5.551115123125783E-18</v>
      </c>
      <c r="AB105" s="107">
        <f t="shared" si="9"/>
        <v>-1.1102230246251566E-17</v>
      </c>
      <c r="AC105" s="43"/>
      <c r="AD105" s="1"/>
      <c r="AE105" s="1"/>
      <c r="AF105" s="1"/>
      <c r="AG105" s="1"/>
      <c r="AH105" s="1"/>
      <c r="AI105" s="1"/>
      <c r="AJ105" s="1"/>
    </row>
    <row r="106" spans="2:36">
      <c r="B106" s="40"/>
      <c r="C106" s="71"/>
      <c r="D106" s="48"/>
      <c r="E106" s="130"/>
      <c r="F106" s="42"/>
      <c r="G106" s="79"/>
      <c r="H106" s="42"/>
      <c r="I106" s="82"/>
      <c r="J106" s="65"/>
      <c r="K106" s="72"/>
      <c r="L106" s="42"/>
      <c r="M106" s="82"/>
      <c r="N106" s="84"/>
      <c r="O106" s="12"/>
      <c r="P106" s="88"/>
      <c r="Q106" s="89"/>
      <c r="R106" s="42"/>
      <c r="S106" s="88"/>
      <c r="T106" s="89"/>
      <c r="U106" s="42"/>
      <c r="V106" s="42"/>
      <c r="W106" s="42"/>
      <c r="X106" s="42"/>
      <c r="Y106" s="42"/>
      <c r="Z106" s="42"/>
      <c r="AA106" s="43"/>
      <c r="AC106" s="1"/>
      <c r="AD106" s="1"/>
      <c r="AE106" s="1"/>
      <c r="AF106" s="1"/>
      <c r="AG106" s="1"/>
      <c r="AH106" s="1"/>
    </row>
    <row r="107" spans="2:36">
      <c r="B107" s="40"/>
      <c r="C107" s="71"/>
      <c r="D107" s="48"/>
      <c r="E107" s="130"/>
      <c r="F107" s="42"/>
      <c r="G107" s="79"/>
      <c r="H107" s="42"/>
      <c r="I107" s="82"/>
      <c r="J107" s="65"/>
      <c r="K107" s="72"/>
      <c r="L107" s="42"/>
      <c r="M107" s="82"/>
      <c r="N107" s="84"/>
      <c r="O107" s="12"/>
      <c r="P107" s="88"/>
      <c r="Q107" s="89"/>
      <c r="R107" s="42"/>
      <c r="S107" s="88"/>
      <c r="T107" s="89"/>
      <c r="U107" s="42"/>
      <c r="V107" s="42"/>
      <c r="W107" s="42"/>
      <c r="X107" s="42"/>
      <c r="Y107" s="42"/>
      <c r="Z107" s="42"/>
      <c r="AA107" s="43"/>
      <c r="AC107" s="1"/>
      <c r="AD107" s="1"/>
      <c r="AE107" s="1"/>
      <c r="AF107" s="1"/>
      <c r="AG107" s="1"/>
      <c r="AH107" s="1"/>
    </row>
    <row r="108" spans="2:36">
      <c r="B108" s="40"/>
      <c r="C108" s="71"/>
      <c r="D108" s="48"/>
      <c r="E108" s="130"/>
      <c r="F108" s="42"/>
      <c r="G108" s="79"/>
      <c r="H108" s="42"/>
      <c r="I108" s="82"/>
      <c r="J108" s="65"/>
      <c r="K108" s="72"/>
      <c r="L108" s="42"/>
      <c r="M108" s="82"/>
      <c r="N108" s="84"/>
      <c r="O108" s="12"/>
      <c r="P108" s="88"/>
      <c r="Q108" s="89"/>
      <c r="R108" s="42"/>
      <c r="S108" s="88"/>
      <c r="T108" s="89"/>
      <c r="U108" s="42"/>
      <c r="V108" s="42"/>
      <c r="W108" s="42"/>
      <c r="X108" s="42"/>
      <c r="Y108" s="42"/>
      <c r="Z108" s="42"/>
      <c r="AA108" s="43"/>
      <c r="AC108" s="1"/>
      <c r="AD108" s="1"/>
      <c r="AE108" s="1"/>
      <c r="AF108" s="1"/>
      <c r="AG108" s="1"/>
      <c r="AH108" s="1"/>
    </row>
    <row r="109" spans="2:36">
      <c r="B109" s="40"/>
      <c r="C109" s="71"/>
      <c r="D109" s="48"/>
      <c r="E109" s="130"/>
      <c r="F109" s="42"/>
      <c r="G109" s="79"/>
      <c r="H109" s="42"/>
      <c r="I109" s="82"/>
      <c r="J109" s="65"/>
      <c r="K109" s="72"/>
      <c r="L109" s="42"/>
      <c r="M109" s="82"/>
      <c r="N109" s="84"/>
      <c r="O109" s="12"/>
      <c r="P109" s="88"/>
      <c r="Q109" s="89"/>
      <c r="R109" s="42"/>
      <c r="S109" s="88"/>
      <c r="T109" s="89"/>
      <c r="U109" s="42"/>
      <c r="V109" s="42"/>
      <c r="W109" s="42"/>
      <c r="X109" s="42"/>
      <c r="Y109" s="42"/>
      <c r="Z109" s="42"/>
      <c r="AA109" s="43"/>
      <c r="AC109" s="1"/>
      <c r="AD109" s="1"/>
      <c r="AE109" s="1"/>
      <c r="AF109" s="1"/>
      <c r="AG109" s="1"/>
      <c r="AH109" s="1"/>
    </row>
    <row r="110" spans="2:36">
      <c r="B110" s="40"/>
      <c r="C110" s="71"/>
      <c r="D110" s="48"/>
      <c r="E110" s="130"/>
      <c r="F110" s="42"/>
      <c r="G110" s="79"/>
      <c r="H110" s="42"/>
      <c r="I110" s="82"/>
      <c r="J110" s="65"/>
      <c r="K110" s="72"/>
      <c r="L110" s="42"/>
      <c r="M110" s="82"/>
      <c r="N110" s="84"/>
      <c r="O110" s="12"/>
      <c r="P110" s="88"/>
      <c r="Q110" s="89"/>
      <c r="R110" s="42"/>
      <c r="S110" s="88"/>
      <c r="T110" s="89"/>
      <c r="U110" s="42"/>
      <c r="V110" s="42"/>
      <c r="W110" s="42"/>
      <c r="X110" s="42"/>
      <c r="Y110" s="42"/>
      <c r="Z110" s="42"/>
      <c r="AA110" s="43"/>
      <c r="AC110" s="1"/>
      <c r="AD110" s="1"/>
      <c r="AE110" s="1"/>
      <c r="AF110" s="1"/>
      <c r="AG110" s="1"/>
      <c r="AH110" s="1"/>
    </row>
    <row r="111" spans="2:36">
      <c r="B111" s="40"/>
      <c r="C111" s="71"/>
      <c r="D111" s="48"/>
      <c r="E111" s="130"/>
      <c r="F111" s="42"/>
      <c r="G111" s="79"/>
      <c r="H111" s="42"/>
      <c r="I111" s="82"/>
      <c r="J111" s="65"/>
      <c r="K111" s="72"/>
      <c r="L111" s="42"/>
      <c r="M111" s="82"/>
      <c r="N111" s="84"/>
      <c r="O111" s="12"/>
      <c r="P111" s="88"/>
      <c r="Q111" s="89"/>
      <c r="R111" s="42"/>
      <c r="S111" s="88"/>
      <c r="T111" s="89"/>
      <c r="U111" s="42"/>
      <c r="V111" s="42"/>
      <c r="W111" s="42"/>
      <c r="X111" s="42"/>
      <c r="Y111" s="42"/>
      <c r="Z111" s="42"/>
      <c r="AA111" s="43"/>
      <c r="AC111" s="1"/>
      <c r="AD111" s="1"/>
      <c r="AE111" s="1"/>
      <c r="AF111" s="1"/>
      <c r="AG111" s="1"/>
      <c r="AH111" s="1"/>
    </row>
    <row r="112" spans="2:36">
      <c r="B112" s="40"/>
      <c r="C112" s="71"/>
      <c r="D112" s="48"/>
      <c r="E112" s="130"/>
      <c r="F112" s="42"/>
      <c r="G112" s="79"/>
      <c r="H112" s="42"/>
      <c r="I112" s="82"/>
      <c r="J112" s="65"/>
      <c r="K112" s="72"/>
      <c r="L112" s="42"/>
      <c r="M112" s="82"/>
      <c r="N112" s="84"/>
      <c r="O112" s="12"/>
      <c r="P112" s="88"/>
      <c r="Q112" s="89"/>
      <c r="R112" s="42"/>
      <c r="S112" s="88"/>
      <c r="T112" s="89"/>
      <c r="U112" s="42"/>
      <c r="V112" s="42"/>
      <c r="W112" s="42"/>
      <c r="X112" s="42"/>
      <c r="Y112" s="42"/>
      <c r="Z112" s="42"/>
      <c r="AA112" s="43"/>
      <c r="AC112" s="1"/>
      <c r="AD112" s="1"/>
      <c r="AE112" s="1"/>
      <c r="AF112" s="1"/>
      <c r="AG112" s="1"/>
      <c r="AH112" s="1"/>
    </row>
    <row r="113" spans="2:34">
      <c r="B113" s="40"/>
      <c r="C113" s="71"/>
      <c r="D113" s="48"/>
      <c r="E113" s="130"/>
      <c r="F113" s="42"/>
      <c r="G113" s="79"/>
      <c r="H113" s="42"/>
      <c r="I113" s="82"/>
      <c r="J113" s="65"/>
      <c r="K113" s="72"/>
      <c r="L113" s="42"/>
      <c r="M113" s="82"/>
      <c r="N113" s="84"/>
      <c r="O113" s="12"/>
      <c r="P113" s="88"/>
      <c r="Q113" s="89"/>
      <c r="R113" s="42"/>
      <c r="S113" s="88"/>
      <c r="T113" s="89"/>
      <c r="U113" s="42"/>
      <c r="V113" s="42"/>
      <c r="W113" s="42"/>
      <c r="X113" s="42"/>
      <c r="Y113" s="42"/>
      <c r="Z113" s="42"/>
      <c r="AA113" s="43"/>
      <c r="AC113" s="1"/>
      <c r="AD113" s="1"/>
      <c r="AE113" s="1"/>
      <c r="AF113" s="1"/>
      <c r="AG113" s="1"/>
      <c r="AH113" s="1"/>
    </row>
    <row r="114" spans="2:34" ht="16" thickBot="1">
      <c r="B114" s="40"/>
      <c r="C114" s="73"/>
      <c r="D114" s="48"/>
      <c r="E114" s="130"/>
      <c r="F114" s="42"/>
      <c r="G114" s="80"/>
      <c r="H114" s="42"/>
      <c r="I114" s="83"/>
      <c r="J114" s="74"/>
      <c r="K114" s="75"/>
      <c r="L114" s="42"/>
      <c r="M114" s="83"/>
      <c r="N114" s="85"/>
      <c r="O114" s="12"/>
      <c r="P114" s="90"/>
      <c r="Q114" s="91"/>
      <c r="R114" s="42"/>
      <c r="S114" s="90"/>
      <c r="T114" s="91"/>
      <c r="U114" s="42"/>
      <c r="V114" s="42"/>
      <c r="W114" s="42"/>
      <c r="X114" s="42"/>
      <c r="Y114" s="42"/>
      <c r="Z114" s="42"/>
      <c r="AA114" s="43"/>
      <c r="AC114" s="1"/>
      <c r="AD114" s="1"/>
      <c r="AE114" s="1"/>
      <c r="AF114" s="1"/>
      <c r="AG114" s="1"/>
      <c r="AH114" s="1"/>
    </row>
    <row r="115" spans="2:34" ht="16" thickBot="1">
      <c r="B115" s="40"/>
      <c r="C115" s="71"/>
      <c r="D115" s="48"/>
      <c r="E115" s="130"/>
      <c r="F115" s="42"/>
      <c r="G115" s="80"/>
      <c r="H115" s="42"/>
      <c r="I115" s="83"/>
      <c r="J115" s="74"/>
      <c r="K115" s="75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3"/>
      <c r="AC115" s="1"/>
      <c r="AD115" s="1"/>
      <c r="AE115" s="1"/>
      <c r="AF115" s="1"/>
      <c r="AG115" s="1"/>
      <c r="AH115" s="1"/>
    </row>
    <row r="116" spans="2:34" ht="16" thickBot="1">
      <c r="B116" s="54"/>
      <c r="C116" s="71"/>
      <c r="D116" s="48"/>
      <c r="E116" s="130"/>
      <c r="F116" s="55"/>
      <c r="G116" s="80"/>
      <c r="H116" s="55"/>
      <c r="I116" s="83"/>
      <c r="J116" s="74"/>
      <c r="K116" s="7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6"/>
      <c r="AC116" s="1"/>
      <c r="AD116" s="1"/>
      <c r="AE116" s="1"/>
      <c r="AF116" s="1"/>
      <c r="AG116" s="1"/>
      <c r="AH116" s="1"/>
    </row>
    <row r="117" spans="2:34" ht="16" thickBot="1">
      <c r="B117" s="1"/>
      <c r="C117" s="73"/>
      <c r="D117" s="48"/>
      <c r="E117" s="130"/>
      <c r="F117" s="1"/>
      <c r="G117" s="80"/>
      <c r="H117" s="1"/>
      <c r="I117" s="83"/>
      <c r="J117" s="74"/>
      <c r="K117" s="75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C117" s="1"/>
      <c r="AD117" s="1"/>
      <c r="AE117" s="1"/>
      <c r="AF117" s="1"/>
      <c r="AG117" s="1"/>
      <c r="AH117" s="1"/>
    </row>
    <row r="118" spans="2:34" ht="16" thickBot="1">
      <c r="B118" s="1"/>
      <c r="C118" s="71"/>
      <c r="D118" s="48"/>
      <c r="E118" s="130"/>
      <c r="F118" s="1"/>
      <c r="G118" s="80"/>
      <c r="H118" s="1"/>
      <c r="I118" s="83"/>
      <c r="J118" s="74"/>
      <c r="K118" s="75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C118" s="1"/>
      <c r="AD118" s="1"/>
      <c r="AE118" s="1"/>
      <c r="AF118" s="1"/>
      <c r="AG118" s="1"/>
      <c r="AH118" s="1"/>
    </row>
    <row r="119" spans="2:34" ht="16" thickBot="1">
      <c r="B119" s="1"/>
      <c r="C119" s="71"/>
      <c r="D119" s="48"/>
      <c r="E119" s="130"/>
      <c r="F119" s="1"/>
      <c r="G119" s="80"/>
      <c r="H119" s="1"/>
      <c r="I119" s="83"/>
      <c r="J119" s="74"/>
      <c r="K119" s="75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C119" s="1"/>
      <c r="AD119" s="1"/>
      <c r="AE119" s="1"/>
      <c r="AF119" s="1"/>
      <c r="AG119" s="1"/>
      <c r="AH119" s="1"/>
    </row>
    <row r="120" spans="2:34" ht="16" thickBot="1">
      <c r="B120" s="1"/>
      <c r="C120" s="73"/>
      <c r="D120" s="48"/>
      <c r="E120" s="130"/>
      <c r="F120" s="1"/>
      <c r="G120" s="80"/>
      <c r="H120" s="1"/>
      <c r="I120" s="83"/>
      <c r="J120" s="74"/>
      <c r="K120" s="75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C120" s="1"/>
      <c r="AD120" s="1"/>
      <c r="AE120" s="1"/>
      <c r="AF120" s="1"/>
      <c r="AG120" s="1"/>
      <c r="AH120" s="1"/>
    </row>
    <row r="121" spans="2:34" ht="16" thickBot="1">
      <c r="B121" s="1"/>
      <c r="C121" s="73"/>
      <c r="D121" s="131"/>
      <c r="E121" s="132"/>
      <c r="F121" s="1"/>
      <c r="G121" s="80"/>
      <c r="H121" s="1"/>
      <c r="I121" s="83"/>
      <c r="J121" s="74"/>
      <c r="K121" s="75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C121" s="1"/>
      <c r="AD121" s="1"/>
      <c r="AE121" s="1"/>
      <c r="AF121" s="1"/>
      <c r="AG121" s="1"/>
      <c r="AH121" s="1"/>
    </row>
    <row r="122" spans="2:34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C122" s="1"/>
      <c r="AD122" s="1"/>
      <c r="AE122" s="1"/>
      <c r="AF122" s="1"/>
      <c r="AG122" s="1"/>
      <c r="AH122" s="1"/>
    </row>
    <row r="123" spans="2:34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C123" s="1"/>
      <c r="AD123" s="1"/>
      <c r="AE123" s="1"/>
      <c r="AF123" s="1"/>
      <c r="AG123" s="1"/>
      <c r="AH123" s="1"/>
    </row>
    <row r="124" spans="2:34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C124" s="1"/>
      <c r="AD124" s="1"/>
      <c r="AE124" s="1"/>
      <c r="AF124" s="1"/>
      <c r="AG124" s="1"/>
      <c r="AH124" s="1"/>
    </row>
    <row r="125" spans="2:34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C125" s="1"/>
      <c r="AD125" s="1"/>
      <c r="AE125" s="1"/>
      <c r="AF125" s="1"/>
      <c r="AG125" s="1"/>
      <c r="AH125" s="1"/>
    </row>
    <row r="126" spans="2:34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C126" s="1"/>
      <c r="AD126" s="1"/>
      <c r="AE126" s="1"/>
      <c r="AF126" s="1"/>
      <c r="AG126" s="1"/>
      <c r="AH126" s="1"/>
    </row>
    <row r="127" spans="2:34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C127" s="1"/>
      <c r="AD127" s="1"/>
      <c r="AE127" s="1"/>
      <c r="AF127" s="1"/>
      <c r="AG127" s="1"/>
      <c r="AH127" s="1"/>
    </row>
    <row r="128" spans="2:34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C128" s="1"/>
      <c r="AD128" s="1"/>
      <c r="AE128" s="1"/>
      <c r="AF128" s="1"/>
      <c r="AG128" s="1"/>
      <c r="AH128" s="1"/>
    </row>
    <row r="129" spans="2:34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C129" s="1"/>
      <c r="AD129" s="1"/>
      <c r="AE129" s="1"/>
      <c r="AF129" s="1"/>
      <c r="AG129" s="1"/>
      <c r="AH129" s="1"/>
    </row>
    <row r="130" spans="2:34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C130" s="1"/>
      <c r="AD130" s="1"/>
      <c r="AE130" s="1"/>
      <c r="AF130" s="1"/>
      <c r="AG130" s="1"/>
      <c r="AH130" s="1"/>
    </row>
    <row r="131" spans="2:34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C131" s="1"/>
      <c r="AD131" s="1"/>
      <c r="AE131" s="1"/>
      <c r="AF131" s="1"/>
      <c r="AG131" s="1"/>
      <c r="AH131" s="1"/>
    </row>
    <row r="132" spans="2:34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C132" s="1"/>
      <c r="AD132" s="1"/>
      <c r="AE132" s="1"/>
      <c r="AF132" s="1"/>
      <c r="AG132" s="1"/>
      <c r="AH132" s="1"/>
    </row>
    <row r="133" spans="2:34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C133" s="1"/>
      <c r="AD133" s="1"/>
      <c r="AE133" s="1"/>
      <c r="AF133" s="1"/>
      <c r="AG133" s="1"/>
      <c r="AH133" s="1"/>
    </row>
    <row r="134" spans="2:34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C134" s="1"/>
      <c r="AD134" s="1"/>
      <c r="AE134" s="1"/>
      <c r="AF134" s="1"/>
      <c r="AG134" s="1"/>
      <c r="AH134" s="1"/>
    </row>
  </sheetData>
  <sortState xmlns:xlrd2="http://schemas.microsoft.com/office/spreadsheetml/2017/richdata2" ref="I10:K65">
    <sortCondition descending="1" ref="I10:I65"/>
  </sortState>
  <mergeCells count="6">
    <mergeCell ref="C8:E8"/>
    <mergeCell ref="V8:Y8"/>
    <mergeCell ref="S8:T8"/>
    <mergeCell ref="P8:Q8"/>
    <mergeCell ref="M8:N8"/>
    <mergeCell ref="I8:K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Lorenz-sand</vt:lpstr>
      <vt:lpstr>Por-Perm-Logs</vt:lpstr>
      <vt:lpstr>Lorenz-shale</vt:lpstr>
      <vt:lpstr>'Lorenz-sand'!x</vt:lpstr>
      <vt:lpstr>x</vt:lpstr>
      <vt:lpstr>'Lorenz-sand'!y</vt:lpstr>
      <vt:lpstr>y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Pyrcz, Michael</dc:creator>
  <cp:lastModifiedBy>Microsoft Office User</cp:lastModifiedBy>
  <dcterms:created xsi:type="dcterms:W3CDTF">2018-01-03T20:26:28Z</dcterms:created>
  <dcterms:modified xsi:type="dcterms:W3CDTF">2019-02-19T13:53:59Z</dcterms:modified>
</cp:coreProperties>
</file>