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codeName="ThisWorkbook"/>
  <mc:AlternateContent xmlns:mc="http://schemas.openxmlformats.org/markup-compatibility/2006">
    <mc:Choice Requires="x15">
      <x15ac:absPath xmlns:x15ac="http://schemas.microsoft.com/office/spreadsheetml/2010/11/ac" url="https://onevmw.sharepoint.com/teams/ISBUVVDDevToolsTeam/Shared Documents/General/Dev Tools - Testbed Deployment Details/Master XLS Files/"/>
    </mc:Choice>
  </mc:AlternateContent>
  <xr:revisionPtr revIDLastSave="56" documentId="13_ncr:1_{634D19D9-FD13-CB4D-8B0A-B5A68C4C0FB0}" xr6:coauthVersionLast="40" xr6:coauthVersionMax="40" xr10:uidLastSave="{A935677B-B24A-D14A-9AB7-846EA7DD2B04}"/>
  <bookViews>
    <workbookView xWindow="940" yWindow="460" windowWidth="28800" windowHeight="16120" tabRatio="932" activeTab="2" xr2:uid="{00000000-000D-0000-FFFF-FFFF00000000}"/>
  </bookViews>
  <sheets>
    <sheet name="Prerequisite Checklist" sheetId="22" r:id="rId1"/>
    <sheet name="Management Workloads" sheetId="17" r:id="rId2"/>
    <sheet name="Users and Groups" sheetId="15" r:id="rId3"/>
    <sheet name="Hosts and Networks" sheetId="4" r:id="rId4"/>
    <sheet name="Deploy Parameters" sheetId="2" r:id="rId5"/>
    <sheet name="Config_File_Build" sheetId="16" state="hidden" r:id="rId6"/>
    <sheet name="Change Log" sheetId="32" state="hidden" r:id="rId7"/>
  </sheets>
  <definedNames>
    <definedName name="Authentication" localSheetId="0">#REF!</definedName>
    <definedName name="Authentication">#REF!</definedName>
    <definedName name="Configuration_Mode" localSheetId="0">#REF!</definedName>
    <definedName name="Database_Type" localSheetId="0">#REF!</definedName>
    <definedName name="_xlnm.Print_Area" localSheetId="4">'Deploy Parameters'!$B$1:$D$41</definedName>
    <definedName name="_xlnm.Print_Area" localSheetId="2">'Users and Groups'!$B$1:$B$1</definedName>
    <definedName name="SRM_Certificates" localSheetId="1">#REF!</definedName>
    <definedName name="SRM_Certificates" localSheetId="0">#REF!</definedName>
    <definedName name="SSL_Policy" localSheetId="1">#REF!</definedName>
    <definedName name="SSL_Policy" localSheetId="0">#REF!</definedName>
    <definedName name="System_Type" localSheetId="1">#REF!</definedName>
    <definedName name="System_Type" localSheetId="0">#REF!</definedName>
    <definedName name="Timezone_Index">#REF!</definedName>
    <definedName name="valuevx">42.314159</definedName>
    <definedName name="VR_Database_Type" localSheetId="1">#REF!</definedName>
    <definedName name="VR_Database_Type" localSheetId="0">#REF!</definedName>
    <definedName name="vRB_Currencies">#REF!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60" i="16" l="1"/>
  <c r="A229" i="16" l="1"/>
  <c r="A231" i="16"/>
  <c r="A139" i="16" l="1"/>
  <c r="A275" i="16"/>
  <c r="A189" i="16"/>
  <c r="B7" i="2" l="1"/>
  <c r="A21" i="16"/>
  <c r="A20" i="16"/>
  <c r="H17" i="4" l="1"/>
  <c r="H18" i="4"/>
  <c r="H19" i="4"/>
  <c r="H20" i="4"/>
  <c r="A93" i="16" l="1"/>
  <c r="A92" i="16"/>
  <c r="A91" i="16"/>
  <c r="A90" i="16"/>
  <c r="A89" i="16"/>
  <c r="A88" i="16"/>
  <c r="A87" i="16"/>
  <c r="A48" i="16" l="1"/>
  <c r="A47" i="16"/>
  <c r="E18" i="17" l="1"/>
  <c r="D18" i="17"/>
  <c r="F8" i="17"/>
  <c r="E8" i="17"/>
  <c r="D8" i="17"/>
  <c r="A75" i="16" l="1"/>
  <c r="A86" i="16"/>
  <c r="A84" i="16"/>
  <c r="A83" i="16"/>
  <c r="A82" i="16"/>
  <c r="A81" i="16"/>
  <c r="A80" i="16"/>
  <c r="A79" i="16"/>
  <c r="A78" i="16"/>
  <c r="A77" i="16"/>
  <c r="A96" i="16"/>
  <c r="H16" i="4"/>
  <c r="H15" i="4"/>
  <c r="H14" i="4"/>
  <c r="H13" i="4"/>
  <c r="E20" i="17" l="1"/>
  <c r="E19" i="17"/>
  <c r="D20" i="17"/>
  <c r="D19" i="17"/>
  <c r="A287" i="16"/>
  <c r="A59" i="16" l="1"/>
  <c r="A176" i="16" l="1"/>
  <c r="A175" i="16" l="1"/>
  <c r="A174" i="16"/>
  <c r="A173" i="16"/>
  <c r="B10" i="2" l="1"/>
  <c r="B38" i="2"/>
  <c r="A12" i="16"/>
  <c r="A140" i="16"/>
  <c r="A136" i="16"/>
  <c r="A63" i="16"/>
  <c r="A143" i="16"/>
  <c r="A144" i="16"/>
  <c r="A2" i="16"/>
  <c r="A148" i="16"/>
  <c r="A147" i="16"/>
  <c r="A36" i="16"/>
  <c r="A35" i="16"/>
  <c r="A219" i="16"/>
  <c r="A214" i="16"/>
  <c r="A218" i="16"/>
  <c r="A217" i="16"/>
  <c r="A216" i="16"/>
  <c r="A215" i="16"/>
  <c r="A213" i="16"/>
  <c r="A211" i="16"/>
  <c r="A212" i="16"/>
  <c r="A210" i="16"/>
  <c r="A182" i="16"/>
  <c r="A265" i="16"/>
  <c r="A263" i="16"/>
  <c r="A11" i="16"/>
  <c r="F21" i="17"/>
  <c r="E21" i="17"/>
  <c r="D21" i="17"/>
  <c r="G20" i="17"/>
  <c r="G19" i="17"/>
  <c r="G18" i="17"/>
  <c r="A256" i="16"/>
  <c r="A255" i="16"/>
  <c r="A253" i="16"/>
  <c r="A254" i="16"/>
  <c r="A20" i="17"/>
  <c r="A19" i="17"/>
  <c r="A18" i="17"/>
  <c r="A278" i="16"/>
  <c r="B37" i="2"/>
  <c r="B36" i="2"/>
  <c r="A279" i="16"/>
  <c r="A281" i="16"/>
  <c r="B35" i="2"/>
  <c r="A259" i="16"/>
  <c r="A260" i="16"/>
  <c r="A280" i="16"/>
  <c r="A258" i="16"/>
  <c r="A56" i="16"/>
  <c r="A55" i="16"/>
  <c r="A207" i="16"/>
  <c r="A15" i="17"/>
  <c r="G14" i="17"/>
  <c r="A138" i="16"/>
  <c r="A137" i="16"/>
  <c r="A42" i="16"/>
  <c r="A41" i="16"/>
  <c r="A39" i="16"/>
  <c r="A40" i="16"/>
  <c r="B44" i="2"/>
  <c r="B43" i="2"/>
  <c r="B42" i="2"/>
  <c r="B20" i="2"/>
  <c r="B16" i="2"/>
  <c r="A34" i="16"/>
  <c r="A33" i="16"/>
  <c r="A32" i="16"/>
  <c r="B32" i="2"/>
  <c r="B30" i="2"/>
  <c r="B17" i="2"/>
  <c r="B31" i="2"/>
  <c r="B12" i="2"/>
  <c r="B11" i="2"/>
  <c r="A289" i="16"/>
  <c r="J29" i="17"/>
  <c r="J32" i="17" s="1"/>
  <c r="A69" i="16"/>
  <c r="A197" i="16"/>
  <c r="A5" i="16"/>
  <c r="A7" i="16"/>
  <c r="A9" i="16"/>
  <c r="A10" i="16"/>
  <c r="A16" i="16"/>
  <c r="A17" i="16"/>
  <c r="A24" i="16"/>
  <c r="A27" i="16"/>
  <c r="A51" i="16"/>
  <c r="A53" i="16"/>
  <c r="A65" i="16"/>
  <c r="A68" i="16"/>
  <c r="A72" i="16"/>
  <c r="A97" i="16"/>
  <c r="A98" i="16"/>
  <c r="A99" i="16"/>
  <c r="A100" i="16"/>
  <c r="A101" i="16"/>
  <c r="A102" i="16"/>
  <c r="A103" i="16"/>
  <c r="A104" i="16"/>
  <c r="A105" i="16"/>
  <c r="A106" i="16"/>
  <c r="A107" i="16"/>
  <c r="A108" i="16"/>
  <c r="A109" i="16"/>
  <c r="A110" i="16"/>
  <c r="A111" i="16"/>
  <c r="A113" i="16"/>
  <c r="A114" i="16"/>
  <c r="A115" i="16"/>
  <c r="A116" i="16"/>
  <c r="A117" i="16"/>
  <c r="A118" i="16"/>
  <c r="A119" i="16"/>
  <c r="A120" i="16"/>
  <c r="A121" i="16"/>
  <c r="A122" i="16"/>
  <c r="A124" i="16"/>
  <c r="A125" i="16"/>
  <c r="A126" i="16"/>
  <c r="A127" i="16"/>
  <c r="A128" i="16"/>
  <c r="A129" i="16"/>
  <c r="A130" i="16"/>
  <c r="A131" i="16"/>
  <c r="A132" i="16"/>
  <c r="A133" i="16"/>
  <c r="A157" i="16"/>
  <c r="A163" i="16"/>
  <c r="A164" i="16"/>
  <c r="A165" i="16"/>
  <c r="A166" i="16"/>
  <c r="A167" i="16"/>
  <c r="A168" i="16"/>
  <c r="A169" i="16"/>
  <c r="A170" i="16"/>
  <c r="A186" i="16"/>
  <c r="A187" i="16"/>
  <c r="A188" i="16"/>
  <c r="A190" i="16"/>
  <c r="A193" i="16"/>
  <c r="A194" i="16"/>
  <c r="A201" i="16"/>
  <c r="A203" i="16"/>
  <c r="A205" i="16"/>
  <c r="A223" i="16"/>
  <c r="A225" i="16"/>
  <c r="A227" i="16"/>
  <c r="A234" i="16"/>
  <c r="A235" i="16"/>
  <c r="A236" i="16"/>
  <c r="A237" i="16"/>
  <c r="A246" i="16"/>
  <c r="A247" i="16"/>
  <c r="A248" i="16"/>
  <c r="A274" i="16"/>
  <c r="A151" i="16"/>
  <c r="B19" i="2"/>
  <c r="A160" i="16"/>
  <c r="B22" i="2"/>
  <c r="A9" i="17"/>
  <c r="A272" i="16"/>
  <c r="F16" i="17"/>
  <c r="F25" i="17" s="1"/>
  <c r="F26" i="17" s="1"/>
  <c r="E16" i="17"/>
  <c r="D16" i="17"/>
  <c r="B8" i="2"/>
  <c r="H32" i="2"/>
  <c r="G12" i="17"/>
  <c r="G13" i="17"/>
  <c r="G15" i="17"/>
  <c r="G9" i="17"/>
  <c r="G10" i="17"/>
  <c r="G11" i="17"/>
  <c r="J36" i="17"/>
  <c r="J37" i="17"/>
  <c r="E43" i="17"/>
  <c r="E44" i="17" s="1"/>
  <c r="E31" i="17"/>
  <c r="H30" i="2"/>
  <c r="B21" i="2"/>
  <c r="B9" i="2"/>
  <c r="B6" i="2"/>
  <c r="B18" i="2"/>
  <c r="J30" i="17"/>
  <c r="B15" i="2"/>
  <c r="A240" i="16"/>
  <c r="A273" i="16"/>
  <c r="B29" i="2"/>
  <c r="A11" i="17"/>
  <c r="A179" i="16"/>
  <c r="A152" i="16"/>
  <c r="A10" i="17"/>
  <c r="A181" i="16"/>
  <c r="A8" i="17"/>
  <c r="A271" i="16"/>
  <c r="A183" i="16"/>
  <c r="A270" i="16"/>
  <c r="A243" i="16"/>
  <c r="A242" i="16"/>
  <c r="A241" i="16"/>
  <c r="C14" i="4"/>
  <c r="C19" i="4"/>
  <c r="C16" i="4"/>
  <c r="C17" i="4"/>
  <c r="E25" i="17" l="1"/>
  <c r="E34" i="17" s="1"/>
  <c r="E36" i="17" s="1"/>
  <c r="D25" i="17"/>
  <c r="E46" i="17" s="1"/>
  <c r="E37" i="17" l="1"/>
  <c r="E38" i="17" s="1"/>
  <c r="E4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Blake</author>
  </authors>
  <commentList>
    <comment ref="C17" authorId="0" shapeId="0" xr:uid="{00000000-0006-0000-0400-000001000000}">
      <text>
        <r>
          <rPr>
            <b/>
            <sz val="9"/>
            <color rgb="FF000000"/>
            <rFont val="Tahoma"/>
            <family val="2"/>
          </rPr>
          <t xml:space="preserve">PSE:
</t>
        </r>
        <r>
          <rPr>
            <sz val="9"/>
            <color rgb="FF000000"/>
            <rFont val="Tahoma"/>
            <family val="2"/>
          </rPr>
          <t xml:space="preserve">Use the Technical Checklist and ensure that each item has been verified. Completing these tasks affects the status of this item.
</t>
        </r>
      </text>
    </comment>
    <comment ref="C31" authorId="0" shapeId="0" xr:uid="{00000000-0006-0000-0400-000002000000}">
      <text>
        <r>
          <rPr>
            <b/>
            <sz val="9"/>
            <color indexed="81"/>
            <rFont val="Tahoma"/>
            <family val="2"/>
          </rPr>
          <t xml:space="preserve">PSE:
</t>
        </r>
        <r>
          <rPr>
            <sz val="9"/>
            <color indexed="81"/>
            <rFont val="Tahoma"/>
            <family val="2"/>
          </rPr>
          <t xml:space="preserve">Use the Technical Checklist and ensure that each item has been verified. Completing these tasks affects the status of this item.
</t>
        </r>
      </text>
    </comment>
    <comment ref="C38" authorId="0" shapeId="0" xr:uid="{00000000-0006-0000-0400-000003000000}">
      <text>
        <r>
          <rPr>
            <b/>
            <sz val="9"/>
            <color rgb="FF000000"/>
            <rFont val="Tahoma"/>
            <family val="2"/>
          </rPr>
          <t xml:space="preserve">PSE:
</t>
        </r>
        <r>
          <rPr>
            <sz val="9"/>
            <color rgb="FF000000"/>
            <rFont val="Tahoma"/>
            <family val="2"/>
          </rPr>
          <t xml:space="preserve">Use the Technical Checklist and ensure that each item has been verified. Completing these tasks affects the status of this item.
</t>
        </r>
      </text>
    </comment>
    <comment ref="C44" authorId="0" shapeId="0" xr:uid="{00000000-0006-0000-0400-000004000000}">
      <text>
        <r>
          <rPr>
            <b/>
            <sz val="9"/>
            <color indexed="81"/>
            <rFont val="Tahoma"/>
            <family val="2"/>
          </rPr>
          <t xml:space="preserve">PSE:
</t>
        </r>
        <r>
          <rPr>
            <sz val="9"/>
            <color indexed="81"/>
            <rFont val="Tahoma"/>
            <family val="2"/>
          </rPr>
          <t xml:space="preserve">Use the Technical Checklist and ensure that each item has been verified. Completing these tasks affects the status of this item.
</t>
        </r>
      </text>
    </comment>
  </commentList>
</comments>
</file>

<file path=xl/sharedStrings.xml><?xml version="1.0" encoding="utf-8"?>
<sst xmlns="http://schemas.openxmlformats.org/spreadsheetml/2006/main" count="492" uniqueCount="389">
  <si>
    <t>IP Address</t>
  </si>
  <si>
    <t>NSX</t>
  </si>
  <si>
    <t>Infrastructure Information</t>
  </si>
  <si>
    <t>Hosts</t>
  </si>
  <si>
    <t>VLAN #</t>
  </si>
  <si>
    <t>Description</t>
  </si>
  <si>
    <t>Gateway</t>
  </si>
  <si>
    <t>n/a</t>
  </si>
  <si>
    <t>Status</t>
  </si>
  <si>
    <t>Notes</t>
  </si>
  <si>
    <t>Management Cluster</t>
  </si>
  <si>
    <t>root</t>
  </si>
  <si>
    <t xml:space="preserve">NSX Manager </t>
  </si>
  <si>
    <t>Hostname</t>
  </si>
  <si>
    <t>NSX Controller IP Pool Start Address</t>
  </si>
  <si>
    <t>NSX Controller IP Pool End Address</t>
  </si>
  <si>
    <t>IP Pool for NSX Controllers</t>
  </si>
  <si>
    <t>Username</t>
  </si>
  <si>
    <t>Users</t>
  </si>
  <si>
    <t>vRealize Log Insight</t>
  </si>
  <si>
    <t>Value</t>
  </si>
  <si>
    <t>Infrastructure</t>
  </si>
  <si>
    <t>vCenter Objects</t>
  </si>
  <si>
    <t>vSphere Infrastructure</t>
  </si>
  <si>
    <t>vCenter Server</t>
  </si>
  <si>
    <t>MTU</t>
  </si>
  <si>
    <t># Default credentials for all ESXi servers, all installations must have the same user name and password.</t>
  </si>
  <si>
    <t># Management network settings</t>
  </si>
  <si>
    <t># Static IPs on the management network</t>
  </si>
  <si>
    <t># IP pools on the main network</t>
  </si>
  <si>
    <t>VM Network</t>
  </si>
  <si>
    <t>Proposed VM Name</t>
  </si>
  <si>
    <t>Application</t>
  </si>
  <si>
    <t>Operating System</t>
  </si>
  <si>
    <t>vCPUs</t>
  </si>
  <si>
    <t>vRAM</t>
  </si>
  <si>
    <t>Storage</t>
  </si>
  <si>
    <t>Version</t>
  </si>
  <si>
    <t>Virtual Appliance</t>
  </si>
  <si>
    <t>NSX Manager(Management Cluster)</t>
  </si>
  <si>
    <t>vCPU</t>
  </si>
  <si>
    <t>Total Resources</t>
  </si>
  <si>
    <t>Total with 30% free</t>
  </si>
  <si>
    <t>Cluster Configuration</t>
  </si>
  <si>
    <t>Storage Calculation</t>
  </si>
  <si>
    <t>Total Hosts</t>
  </si>
  <si>
    <t>GB</t>
  </si>
  <si>
    <t>Host Failure</t>
  </si>
  <si>
    <t>FTT</t>
  </si>
  <si>
    <t>Remaining Hosts</t>
  </si>
  <si>
    <t>Overhead</t>
  </si>
  <si>
    <t>%</t>
  </si>
  <si>
    <t>Host Config</t>
  </si>
  <si>
    <t>Disks per host</t>
  </si>
  <si>
    <t>Host Memory Utilization</t>
  </si>
  <si>
    <t>Host Utilization Host Down</t>
  </si>
  <si>
    <t>Host Memory Utilization Host Down</t>
  </si>
  <si>
    <t>CPU Calculation</t>
  </si>
  <si>
    <t>Host Sockets</t>
  </si>
  <si>
    <t>CPUs</t>
  </si>
  <si>
    <t>Host Cores</t>
  </si>
  <si>
    <t>Cores</t>
  </si>
  <si>
    <t>Total Cluster Cores</t>
  </si>
  <si>
    <t>License Key</t>
  </si>
  <si>
    <t>Default password for ESXi Hosts</t>
  </si>
  <si>
    <t>DNS Servers</t>
  </si>
  <si>
    <t>NTP Servers</t>
  </si>
  <si>
    <t>vSphere components resolvable in DNS</t>
  </si>
  <si>
    <t># NTP server to configure for the deployed products. This should match the root Active Directory server if not deploying with an external AD.</t>
  </si>
  <si>
    <t># Datacenter/cluster names (if not specified, the default values will be used)</t>
  </si>
  <si>
    <t>#EVC cluster mode. If not specified, EVC will be disabled on all clusters. Allowed values are:</t>
  </si>
  <si>
    <t># - "intel-merom", "intel-penryn", "intel-nehalem", "intel-westmere", "intel-sandybridge", "intel-ivybridge", "intel-haswell",</t>
  </si>
  <si>
    <t># - "amd-rev-e", "amd-rev-f", "amd-greyhound-no3dnow", "amd-greyhound", "amd-bulldozer", "amd-piledriver"</t>
  </si>
  <si>
    <t># ******************* S D D C    I N F R A S T R U C T U R E *******************</t>
  </si>
  <si>
    <t># ******************* L I C E N S E    K E Y S *******************</t>
  </si>
  <si>
    <t># VM Names for management products</t>
  </si>
  <si>
    <t># ******************* E X T E R N A L    I N F R A S T R U C T U R E    C O M P O N E N T S *******************</t>
  </si>
  <si>
    <t># Network VLAN ID Configuration</t>
  </si>
  <si>
    <t># vMotion Portgroup  - VLAN Settings</t>
  </si>
  <si>
    <t># Management Portgroup - VLAN Settings</t>
  </si>
  <si>
    <t># VSAN Portgroup  - VLAN Settings</t>
  </si>
  <si>
    <t># VLAN MTU configuration</t>
  </si>
  <si>
    <t># Management Portgroup - MTU Settings</t>
  </si>
  <si>
    <t># vCenter OS credentials (for the root user)</t>
  </si>
  <si>
    <t># vCenter product credentials (for the Administrator@vsphere.local user)</t>
  </si>
  <si>
    <t># NSX product credentials (for the admin user)</t>
  </si>
  <si>
    <t>administrator@vsphere.local</t>
  </si>
  <si>
    <t>admin</t>
  </si>
  <si>
    <t>NSX Manager Administrator Account</t>
  </si>
  <si>
    <t>#Network settings and static IPs for vMotion VMKernel DV portgroups</t>
  </si>
  <si>
    <t>#Network settings and static IPs for VSAN VMKernel DV portgroups</t>
  </si>
  <si>
    <t>Datacenter Name Defined</t>
  </si>
  <si>
    <t>Cluster Names Defined</t>
  </si>
  <si>
    <t>EVC Settings Defined</t>
  </si>
  <si>
    <t>NSX components resolvable in DNS</t>
  </si>
  <si>
    <t>NSX Manager - Static IPs Defined</t>
  </si>
  <si>
    <t>NSX Manager - Hostnames Defined</t>
  </si>
  <si>
    <t>Portgroup Name</t>
  </si>
  <si>
    <t>Default Password</t>
  </si>
  <si>
    <t>Single-Sign-On Site Name</t>
  </si>
  <si>
    <t># Distributed Virtual Switch Names and Portgroups</t>
  </si>
  <si>
    <t>Cluster Name - Management</t>
  </si>
  <si>
    <t>Single-Sign-On Site Name Defined</t>
  </si>
  <si>
    <t>Distributed Virtual Switch Names Defined</t>
  </si>
  <si>
    <t>ESXi Hosts Ready for Deployment</t>
  </si>
  <si>
    <t># *******************  D N S   V A L I D A T I O N  *******************</t>
  </si>
  <si>
    <t># Core</t>
  </si>
  <si>
    <t># *******************  E N D   O F   F I L E  *******************</t>
  </si>
  <si>
    <t># Physical NIC name which will be used when the hosts are attached to vDS</t>
  </si>
  <si>
    <t># VM Kernel Adaptors migrated to vDS</t>
  </si>
  <si>
    <t>VMKernel Adaptor for Management</t>
  </si>
  <si>
    <t>vmk0</t>
  </si>
  <si>
    <t>vmnic1</t>
  </si>
  <si>
    <t>Physical NIC to Assign to vDS - Management</t>
  </si>
  <si>
    <t># Default Portgroup for VM Deployments</t>
  </si>
  <si>
    <t>Virtual Networking - ESXi Hosts</t>
  </si>
  <si>
    <t># VSAN datastores names</t>
  </si>
  <si>
    <t># IP pool on the Management VTEP network</t>
  </si>
  <si>
    <t xml:space="preserve">#  VMs/RESOURCES SIZES </t>
  </si>
  <si>
    <t>Physical Hardware and ESXi Hosts</t>
  </si>
  <si>
    <t>Datastores Defined</t>
  </si>
  <si>
    <t>Existing Infrastructure Details</t>
  </si>
  <si>
    <t>DNS Zone Defined</t>
  </si>
  <si>
    <t># Vmotion MTU</t>
  </si>
  <si>
    <t># vSAN MTU</t>
  </si>
  <si>
    <t>NTP Server #1</t>
  </si>
  <si>
    <t>NTP Server #2</t>
  </si>
  <si>
    <t>vCenter Server (Management Cluster)</t>
  </si>
  <si>
    <t>Storage Total GB</t>
  </si>
  <si>
    <t>CIDR Notation</t>
  </si>
  <si>
    <t># Management vDS Portgroup Naming</t>
  </si>
  <si>
    <t>All hosts must be installed with a basic installation of ESXi.</t>
  </si>
  <si>
    <t>Disk Size (GB)</t>
  </si>
  <si>
    <t>Total Needed Per Host</t>
  </si>
  <si>
    <t>RAM Calculations (Without ESXi effeciencies)</t>
  </si>
  <si>
    <t>vCPU Per Core</t>
  </si>
  <si>
    <t>vCPU Per Core Host Down</t>
  </si>
  <si>
    <t>Server Configuration</t>
  </si>
  <si>
    <t>SSD</t>
  </si>
  <si>
    <t>HDD</t>
  </si>
  <si>
    <t>Total VSAN Storage</t>
  </si>
  <si>
    <t>Total RAW by Host</t>
  </si>
  <si>
    <t>Total RAW by Cluster</t>
  </si>
  <si>
    <t>Storage Needed per Host</t>
  </si>
  <si>
    <t># This license is applied to ESX hosts, SRM</t>
  </si>
  <si>
    <t>NSX Controller #1</t>
  </si>
  <si>
    <t>NSX Controller #3</t>
  </si>
  <si>
    <t>NSX Controller #2</t>
  </si>
  <si>
    <t>NSX_Controller01</t>
  </si>
  <si>
    <t>NSX_Controller02</t>
  </si>
  <si>
    <t>NSX_Controller03</t>
  </si>
  <si>
    <t># This license is applied to management VCenter</t>
  </si>
  <si>
    <t># This license is applied to compute VCenter</t>
  </si>
  <si>
    <t>vSwitch0</t>
  </si>
  <si>
    <t>#If no value is provided, then a single standard switch is expected on each host</t>
  </si>
  <si>
    <t>vCenter &amp; PSC - Hostnames Defined</t>
  </si>
  <si>
    <t>vCenter &amp; PSC - Static IPs Defined</t>
  </si>
  <si>
    <t>Account Type</t>
  </si>
  <si>
    <t>Local</t>
  </si>
  <si>
    <t># Host Profile Names (2 POD Only)</t>
  </si>
  <si>
    <t># Hosts needed for the management cluster, this is where we deploy all the solutions. Up to 8 hosts, 2 is the minimum.</t>
  </si>
  <si>
    <t>Virtual Infrastructure Totals</t>
  </si>
  <si>
    <t>DNS Zones</t>
  </si>
  <si>
    <t xml:space="preserve">DNS Server #1 </t>
  </si>
  <si>
    <t>DNS Server #2</t>
  </si>
  <si>
    <t># Site Name to be used for vSphere Single-Sign-on in mgmt and comp</t>
  </si>
  <si>
    <t># Resource Pools for Shared Edge and Compute Cluster</t>
  </si>
  <si>
    <t>vSphere Networking</t>
  </si>
  <si>
    <t># Folder Names Mgmt Cluster - Automatically formulated in XLS using sso-site-name@value= + static values</t>
  </si>
  <si>
    <t>Thick Provisioned</t>
  </si>
  <si>
    <t>Management Workload Domain</t>
  </si>
  <si>
    <t>Management Workload Domain Calculations</t>
  </si>
  <si>
    <t>Default Single-Sign On Domain User</t>
  </si>
  <si>
    <t>vCenter Server and Platform Services Controller Virtual Appliances - root account</t>
  </si>
  <si>
    <t>sfo01-m01-vsan</t>
  </si>
  <si>
    <t>Date</t>
  </si>
  <si>
    <t># NSX Controller Names</t>
  </si>
  <si>
    <t>vmnic0</t>
  </si>
  <si>
    <t>vmnic Allocated to vSS - Management</t>
  </si>
  <si>
    <t>vSphere Standard Switch - Management</t>
  </si>
  <si>
    <t>Datacenter Name - Management</t>
  </si>
  <si>
    <t># Name of vSphere Standard Switch to be migrated. The other standard switches are left intact.</t>
  </si>
  <si>
    <t># *******************  R U N    P A R A M E T E R S *******************</t>
  </si>
  <si>
    <t># LogInsight Virtual Appliance Size - valid values are xsmall, small, medium, large</t>
  </si>
  <si>
    <t>Customer Comment</t>
  </si>
  <si>
    <t>Component</t>
  </si>
  <si>
    <t>Physical Servers Racked with Cabling</t>
  </si>
  <si>
    <t>DNS Configuration - Pre-Configured</t>
  </si>
  <si>
    <r>
      <rPr>
        <b/>
        <sz val="10"/>
        <color theme="1"/>
        <rFont val="Metropolis"/>
      </rPr>
      <t>ESXi Configuration</t>
    </r>
    <r>
      <rPr>
        <sz val="10"/>
        <color theme="1"/>
        <rFont val="Metropolis"/>
      </rPr>
      <t xml:space="preserve"> - All ESXi hosts must be configured with the following settings:
  - Static IP Address assigned to the Management interface (vmk0)
  - Management Network portgroup configured with correct VLAN ID
  - VM Network portgroup configured with tha same VLAN ID as the Management Network
  - TSM-SSH Service enabled and policy set to 'Start and Stop with Host'
  - NTP Service enabled, configured and policy set to 'Start and Stop with Host'</t>
    </r>
  </si>
  <si>
    <t>Platform Service Controller (PSC #1)</t>
  </si>
  <si>
    <t>Platform Service Controller (PSC #2)</t>
  </si>
  <si>
    <t>Cloud Builder IP Address</t>
  </si>
  <si>
    <t>Cloud Builder Build Number</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</si>
  <si>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</si>
  <si>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 *******************      V C F - E M S  -  M a n a g e m e n t   W o r k l o a d   D o m a i n       *******************</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</si>
  <si>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</si>
  <si>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SDDC Manager Super User</t>
  </si>
  <si>
    <t>vcf</t>
  </si>
  <si>
    <t>SDDC Manager</t>
  </si>
  <si>
    <t>SDDC Manager Appliance Root Account</t>
  </si>
  <si>
    <t>SDDC Manager REST API User</t>
  </si>
  <si>
    <t># ******************* S D D C    M A N A G E R  *******************</t>
  </si>
  <si>
    <t xml:space="preserve"># Default credentials for SDDC Manager </t>
  </si>
  <si>
    <t># SDDC Manager Appliance</t>
  </si>
  <si>
    <t>SDDC Manager - Hostnames Defined</t>
  </si>
  <si>
    <t>SDDC Manager - Static IPs Defined</t>
  </si>
  <si>
    <t>SDDC components resolvable in DNS</t>
  </si>
  <si>
    <t>SDDC Manager Hostname</t>
  </si>
  <si>
    <t>SDDC Manager IP Address</t>
  </si>
  <si>
    <t>SDDC Manager Subnet Mask</t>
  </si>
  <si>
    <t>sddc-manager</t>
  </si>
  <si>
    <t>255.255.255.0</t>
  </si>
  <si>
    <t>Host Pool Name</t>
  </si>
  <si>
    <t>VXLAN (VTEP) - DHCP Network</t>
  </si>
  <si>
    <t># VTEP network for Management NSX</t>
  </si>
  <si>
    <t>SDDC Manager Appliance</t>
  </si>
  <si>
    <t># VXLAN Portgroup - VLAN Settings</t>
  </si>
  <si>
    <t># VDS MTU - Used for VDS, VTEP, ESGs</t>
  </si>
  <si>
    <t>Added VLAN and MTU for VTEP Network
Added property for automationUserSsoPassword</t>
  </si>
  <si>
    <t># Automation SSO Admin User</t>
  </si>
  <si>
    <t>automation</t>
  </si>
  <si>
    <t>Start</t>
  </si>
  <si>
    <t>End</t>
  </si>
  <si>
    <t>Renamed  'workflowName.mgmt' to 'workflowName.vcf-ems'
Added Inclusion Ranges for vSAN and vMotion:
  - exclusion-range-start-vmotion=
  - exclusion-range-end-vmotion=
  - exclusion-range-start-vsan=
  - exclusion-range-end-vsan=</t>
  </si>
  <si>
    <t>Hostnames Defined for all components</t>
  </si>
  <si>
    <t>Static IP Addresses Defined for all components</t>
  </si>
  <si>
    <t>Static IP Address for Load Balancer</t>
  </si>
  <si>
    <t>vRealize Log Insight components resolvable in DNS</t>
  </si>
  <si>
    <r>
      <rPr>
        <b/>
        <sz val="10"/>
        <color theme="1"/>
        <rFont val="Metropolis"/>
      </rPr>
      <t>Virtual Infrastructure Layer</t>
    </r>
    <r>
      <rPr>
        <sz val="10"/>
        <color theme="1"/>
        <rFont val="Metropolis"/>
      </rPr>
      <t xml:space="preserve"> - All proposed hostnames are resolvable for forward, reverse, short name and long name resolution.
  - Platform Services Controller 
  - vCenter Server
  - NSX Manager
  - vRealize Log Insight
  - SDDC Manager</t>
    </r>
  </si>
  <si>
    <t># ******************** vRealize Log Insight ********************</t>
  </si>
  <si>
    <t># Log Insight - Static IPs on the RegionA VXLAN</t>
  </si>
  <si>
    <t>#Log Insight - VM Names</t>
  </si>
  <si>
    <t># Operations</t>
  </si>
  <si>
    <t>Inclusion Ranges</t>
  </si>
  <si>
    <t># Network IP Inclusion Ranges</t>
  </si>
  <si>
    <t>Added basic vRLI Config for 3 node cluster
Switch IP Ranges to Inclusion from Exclusion</t>
  </si>
  <si>
    <t>vRealize Log Insight - Master Node</t>
  </si>
  <si>
    <t>vRealize Log Insight - Worker Node</t>
  </si>
  <si>
    <t>Operations Management Totals</t>
  </si>
  <si>
    <t>vRealize Log Insight Admin Account</t>
  </si>
  <si>
    <t>vRealize Log Insight Root Account</t>
  </si>
  <si>
    <t># LogInsight "admin" password</t>
  </si>
  <si>
    <t># LogInsight "root" password</t>
  </si>
  <si>
    <t>Added vRLI elements:
 - License Key
 - Admin and Root Users
 - Archive Location
 - Admin Email</t>
  </si>
  <si>
    <t>Datastores</t>
  </si>
  <si>
    <t>Default vSS Portgroup Name</t>
  </si>
  <si>
    <t>Removed:
   - SMTP Server Settings
   - Active Directory Details
   - Platform Services Controller Load Balancer
   - VVD Special Settings</t>
  </si>
  <si>
    <t># DNS Zones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</si>
  <si>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</si>
  <si>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</si>
  <si>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</si>
  <si>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Management - Segment IDs and Multicast Ranges</t>
  </si>
  <si>
    <t>NSX Segment ID Range</t>
  </si>
  <si>
    <t># Segment ID ranges (Management NSX)</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</si>
  <si>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</si>
  <si>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</si>
  <si>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</si>
  <si>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</si>
  <si>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172.16.11.0/24</t>
  </si>
  <si>
    <t xml:space="preserve">172.16.11.253 </t>
  </si>
  <si>
    <t>172.16.12.0/24</t>
  </si>
  <si>
    <t>172.16.12.253</t>
  </si>
  <si>
    <t>172.16.13.0/24</t>
  </si>
  <si>
    <t>172.16.13.253</t>
  </si>
  <si>
    <t>sfo01-m01-vds</t>
  </si>
  <si>
    <t>172.16.11.4</t>
  </si>
  <si>
    <t>sfo01</t>
  </si>
  <si>
    <t>sfo01.rainpole.local</t>
  </si>
  <si>
    <t>sfo01m01vc01</t>
  </si>
  <si>
    <t>sfo01m01psc01</t>
  </si>
  <si>
    <t>sfo01w01psc01</t>
  </si>
  <si>
    <t>172.16.11.61</t>
  </si>
  <si>
    <t>172.16.11.62</t>
  </si>
  <si>
    <t>172.16.11.63</t>
  </si>
  <si>
    <t>172.16.11.64</t>
  </si>
  <si>
    <t>172.16.11.101</t>
  </si>
  <si>
    <t>172.16.11.102</t>
  </si>
  <si>
    <t>172.16.11.103</t>
  </si>
  <si>
    <t>172.16.11.104</t>
  </si>
  <si>
    <t>sfo01m01esx01</t>
  </si>
  <si>
    <t>sfo01m01esx02</t>
  </si>
  <si>
    <t>sfo01m01esx03</t>
  </si>
  <si>
    <t>sfo01m01esx04</t>
  </si>
  <si>
    <t>172.16.11.250</t>
  </si>
  <si>
    <t>172.16.12.101</t>
  </si>
  <si>
    <t>172.16.12.104</t>
  </si>
  <si>
    <t>172.16.13.101</t>
  </si>
  <si>
    <t>172.16.13.104</t>
  </si>
  <si>
    <t>sfo01-m01-dc</t>
  </si>
  <si>
    <t>sfo01-m01-mgmt01</t>
  </si>
  <si>
    <t>172.16.11.118</t>
  </si>
  <si>
    <t>172.16.11.120</t>
  </si>
  <si>
    <t>sfo01m01nsx01</t>
  </si>
  <si>
    <t>sfo01vrli01</t>
  </si>
  <si>
    <t>sfo01vrli01a</t>
  </si>
  <si>
    <t>sfo01vrli01c</t>
  </si>
  <si>
    <t>sfo01vrli01b</t>
  </si>
  <si>
    <t>172.16.11.10</t>
  </si>
  <si>
    <t>172.16.11.11</t>
  </si>
  <si>
    <t>172.16.11.12</t>
  </si>
  <si>
    <t>172.16.11.13</t>
  </si>
  <si>
    <t>172.16.11.60</t>
  </si>
  <si>
    <t>sfo01-networkpool</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</si>
  <si>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</si>
  <si>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</si>
  <si>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</si>
  <si>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</si>
  <si>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</si>
  <si>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NTP and DNS settings must be the same as the  Cloud Foundation Builder VM</t>
  </si>
  <si>
    <t>Platform Service Controller #2</t>
  </si>
  <si>
    <t>Platform Service Controller #1</t>
  </si>
  <si>
    <r>
      <t xml:space="preserve">Instructions: </t>
    </r>
    <r>
      <rPr>
        <sz val="10"/>
        <color rgb="FFFF0000"/>
        <rFont val="Metropolis"/>
      </rPr>
      <t xml:space="preserve">Use this tab to capture the configuration paramaters required in order to deploy an SDDC platform. Supply information against each yellow box during the planning phase of the engagement in order for the platform to be built. </t>
    </r>
    <r>
      <rPr>
        <b/>
        <sz val="10"/>
        <color rgb="FFFF0000"/>
        <rFont val="Metropolis"/>
      </rPr>
      <t>If a value is not required enter 'n/a</t>
    </r>
    <r>
      <rPr>
        <sz val="10"/>
        <color rgb="FFFF0000"/>
        <rFont val="Metropolis"/>
      </rPr>
      <t xml:space="preserve">' </t>
    </r>
    <r>
      <rPr>
        <sz val="10"/>
        <rFont val="Metropolis"/>
      </rPr>
      <t>(Existing values are just examples)</t>
    </r>
    <r>
      <rPr>
        <sz val="10"/>
        <color rgb="FFFF0000"/>
        <rFont val="Metropolis"/>
      </rPr>
      <t xml:space="preserve">. </t>
    </r>
    <r>
      <rPr>
        <b/>
        <sz val="10"/>
        <color rgb="FFFF0000"/>
        <rFont val="Metropolis"/>
      </rPr>
      <t xml:space="preserve">If a cell turns red then the property is a required value or the data entered has failed some basic Excel validation and it should be fixed before proceeding. </t>
    </r>
    <r>
      <rPr>
        <b/>
        <sz val="10"/>
        <color theme="1"/>
        <rFont val="Metropolis"/>
      </rPr>
      <t>Grey cells are populated automatically, the values can be over-ridden but you will lose the original formula in such scenarios.</t>
    </r>
  </si>
  <si>
    <t>SDDC-DPortGroup-Mgmt</t>
  </si>
  <si>
    <t>SDDC-DPortGroup-vMotion</t>
  </si>
  <si>
    <t xml:space="preserve">SDDC-DPortGroup-VSAN </t>
  </si>
  <si>
    <r>
      <t xml:space="preserve">Instructions: </t>
    </r>
    <r>
      <rPr>
        <sz val="10.5"/>
        <color rgb="FFFF0000"/>
        <rFont val="Metropolis"/>
      </rPr>
      <t xml:space="preserve">Use this tab to understand the pre-requisites required in order to implement the SDDC solution. Information against each yellow box during the planning phase of the engagement.  If a value is not required enter 'n/a'. </t>
    </r>
    <r>
      <rPr>
        <b/>
        <sz val="11"/>
        <color theme="1"/>
        <rFont val="Metropolis"/>
      </rPr>
      <t>Grey cells are populated with default values, they cannot be changed.</t>
    </r>
  </si>
  <si>
    <t>vSAN Datastore Name - Management</t>
  </si>
  <si>
    <r>
      <rPr>
        <b/>
        <sz val="10"/>
        <color theme="1"/>
        <rFont val="Metropolis"/>
      </rPr>
      <t>Physical Hardware</t>
    </r>
    <r>
      <rPr>
        <sz val="10"/>
        <color theme="1"/>
        <rFont val="Metropolis"/>
      </rPr>
      <t xml:space="preserve"> - Racked and cabled and must be installed with ESXi (up to 8 hosts for the Management Workload Domain). (Minimum of 4 hosts per cluster type if using vSAN as a datastore.</t>
    </r>
  </si>
  <si>
    <r>
      <rPr>
        <b/>
        <sz val="10"/>
        <color theme="1"/>
        <rFont val="Metropolis"/>
      </rPr>
      <t>vSAN Configuration</t>
    </r>
    <r>
      <rPr>
        <sz val="10"/>
        <color theme="1"/>
        <rFont val="Metropolis"/>
      </rPr>
      <t xml:space="preserve"> - All disks available for use.</t>
    </r>
  </si>
  <si>
    <t>Prefix for vCenter User created by SDDC Manager for Automation</t>
  </si>
  <si>
    <t>vSphere Resource Pools</t>
  </si>
  <si>
    <t>sfo01-w01-sddc-edge</t>
  </si>
  <si>
    <t>sfo01-w01-user-edge</t>
  </si>
  <si>
    <t>Addressed PR 2165982 Added Resource Pool Values</t>
  </si>
  <si>
    <t># vSphere Resource Pools</t>
  </si>
  <si>
    <t>172.16.11.253</t>
  </si>
  <si>
    <t>Resource Pool SDDC Mgmt</t>
  </si>
  <si>
    <t>Resource Pool SDDC Edge</t>
  </si>
  <si>
    <t>Resource Pool User Edge</t>
  </si>
  <si>
    <t>Resource Pool User VM</t>
  </si>
  <si>
    <t>sfo01-w01-sddc-mgmt</t>
  </si>
  <si>
    <t>sfo01-w01-user-vm</t>
  </si>
  <si>
    <t>ESXi</t>
  </si>
  <si>
    <t>Renamed `vSphere/vcloud suite` to `ESXi` as per PR 2202723</t>
  </si>
  <si>
    <t>Added 4th resource Pool as per PR 2075390
Added NSX Controller Root Password</t>
  </si>
  <si>
    <t>vCenter Server Appliance Size (Default Small)</t>
  </si>
  <si>
    <t>vRealize Log Insight Node Size ( Default Medium)</t>
  </si>
  <si>
    <t>vRealize Log Insight Servers</t>
  </si>
  <si>
    <t>vRealize Log Insight Node Load Balancer</t>
  </si>
  <si>
    <t>vRealize Log Insight Node #1 (Master)</t>
  </si>
  <si>
    <t>vRealize Log Insight Node #2 (Worker)</t>
  </si>
  <si>
    <t>vRealize Log Insight Node #3 (Worker)</t>
  </si>
  <si>
    <t># VCenter sizes - valid values are "tiny", "small", "medium", "large", "xlarge"</t>
  </si>
  <si>
    <t>ESXi Host Security Thumbprints</t>
  </si>
  <si>
    <t>ESXi Hosts</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</si>
  <si>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</si>
  <si>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 ESXi Security Thumbprints</t>
  </si>
  <si>
    <t># SSH Thumbprints</t>
  </si>
  <si>
    <t># SSL Thumbprints</t>
  </si>
  <si>
    <t>Adjusted the layout of the SSL/SSH Thumbprint inputs cells</t>
  </si>
  <si>
    <r>
      <t xml:space="preserve">Instructions: </t>
    </r>
    <r>
      <rPr>
        <sz val="10"/>
        <color theme="1"/>
        <rFont val="Metropolis"/>
      </rPr>
      <t xml:space="preserve">Use this tab to capture the service accounts, groups and passwords in order to implement the SDDC platform. Supply information against each yellow box in order for the platform to be built.
</t>
    </r>
    <r>
      <rPr>
        <b/>
        <sz val="10"/>
        <color theme="1"/>
        <rFont val="Metropolis"/>
      </rPr>
      <t>Password Policy:</t>
    </r>
    <r>
      <rPr>
        <sz val="10"/>
        <color theme="1"/>
        <rFont val="Metropolis"/>
      </rPr>
      <t xml:space="preserve"> </t>
    </r>
    <r>
      <rPr>
        <i/>
        <sz val="10"/>
        <color theme="1"/>
        <rFont val="Metropolis"/>
      </rPr>
      <t>Minimum 8 characters in length and atleast one uppercase, lowercase, number and special character (e.g: @!#$%?^)</t>
    </r>
    <r>
      <rPr>
        <sz val="10"/>
        <color theme="1"/>
        <rFont val="Metropolis"/>
      </rPr>
      <t>.</t>
    </r>
    <r>
      <rPr>
        <sz val="10"/>
        <color rgb="FFFF0000"/>
        <rFont val="Metropolis"/>
      </rPr>
      <t xml:space="preserve"> </t>
    </r>
    <r>
      <rPr>
        <i/>
        <sz val="10"/>
        <color theme="1"/>
        <rFont val="Metropolis"/>
      </rPr>
      <t xml:space="preserve">Unsupported: Ambiguous Characters (e.g: { } [ ] ( ) / \' " ` ~ , ; : .&lt; &gt;) </t>
    </r>
    <r>
      <rPr>
        <sz val="10"/>
        <color theme="1"/>
        <rFont val="Metropolis"/>
      </rPr>
      <t xml:space="preserve">
</t>
    </r>
    <r>
      <rPr>
        <sz val="10"/>
        <color rgb="FFFF0000"/>
        <rFont val="Metropolis"/>
      </rPr>
      <t>If a cell turns red then the property information is missing or validation on the password length has failed (minimum of 8 characters)</t>
    </r>
  </si>
  <si>
    <t>small</t>
  </si>
  <si>
    <t>ESXi Hosts - Root Account (Same for all ESXi hosts)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</si>
  <si>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</si>
  <si>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 xml:space="preserve"> Validate ESXi Thumbprints</t>
  </si>
  <si>
    <t>SHA256:RBA2O5XImupEfJSaoBcYYzc0aR9gWjlkY8VqptIub9w</t>
  </si>
  <si>
    <t>SHA256:gC6mtEWkCIcYH/AvrP68XTOkynMFVqgN3OsI292dnWE</t>
  </si>
  <si>
    <t>SHA256:8XZOzXNJrTFV1pAsWcran3EXpvRmA8NbWBZ8UyCII0Q</t>
  </si>
  <si>
    <t>SHA256:OIPBfY9cc1huP0VLY8zNJLBcAM3UPmDBbzMVZvjmnLo</t>
  </si>
  <si>
    <t>27:09:80:C3:59:00:73:F0:80:93:15:36:7E:5D:C9:72:69:32:EF:99</t>
  </si>
  <si>
    <t>E3:33:4D:5B:87:5C:5E:39:B1:06:CA:0B:23:B4:43:BA:1D:AE:8B:AB</t>
  </si>
  <si>
    <t>EB:A3:F2:55:00:46:EE:2B:9F:89:3D:A3:5A:A8:65:6B:A3:77:57:87</t>
  </si>
  <si>
    <t>13:42:5E:6A:B7:1A:3A:5E:5E:AA:54:0E:24:0A:AD:FF:55:FA:14:4D</t>
  </si>
  <si>
    <t>SSL Thumbprints (SHA1)</t>
  </si>
  <si>
    <t>SSH RSA Key Fingerprints (SHA256)</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</si>
  <si>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</si>
  <si>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</si>
  <si>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</si>
  <si>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6.7 U1</t>
  </si>
  <si>
    <t>-</t>
  </si>
  <si>
    <t>6.4.3</t>
  </si>
  <si>
    <t>vSAN</t>
  </si>
  <si>
    <t xml:space="preserve">Copyright © 2018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</si>
  <si>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Addressed PR 2217703 Added Copyright information to first worksheet</t>
  </si>
  <si>
    <t>NSX Controller Admin Password</t>
  </si>
  <si>
    <t>Addressed PR 2224169 Renamed NSX Controller user in XLS to Admin and not Root</t>
  </si>
  <si>
    <t>medium</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</si>
  <si>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</si>
  <si>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</si>
  <si>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DNS Zone Name</t>
  </si>
  <si>
    <t>Address PR 2227198 Removed Child DNS Zone value</t>
  </si>
  <si>
    <t>vSphere Distributed Switch Name</t>
  </si>
  <si>
    <t>vSphere Distributed Switch MTU Size</t>
  </si>
  <si>
    <t>Addressed PR 2228197 - Add configurable setting for vDS MTU Size</t>
  </si>
  <si>
    <t># DVS MTU</t>
  </si>
  <si>
    <t>Management Domain ESXi Hosts</t>
  </si>
  <si>
    <t>Management Domain Networks</t>
  </si>
  <si>
    <t>Added additional cell formatting:
    - Added duplicate check for SDDC Manager and vRLI Ips
    - Added subnet check for SDDC Manager
    - Added duplicate hostname check in Deployment Prameters XLS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</si>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</sst>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52">
    <font>
      <sz val="11"/>
      <color theme="1"/>
      <name val="Calibri"/>
      <family val="2"/>
      <scheme val="minor"/>
    </font>
    <font>
      <sz val="12"/>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sz val="9"/>
      <color indexed="81"/>
      <name val="Tahoma"/>
      <family val="2"/>
    </font>
    <font>
      <b/>
      <sz val="9"/>
      <color indexed="81"/>
      <name val="Tahoma"/>
      <family val="2"/>
    </font>
    <font>
      <b/>
      <sz val="11"/>
      <color rgb="FFFF0000"/>
      <name val="Calibri"/>
      <family val="2"/>
      <scheme val="minor"/>
    </font>
    <font>
      <u/>
      <sz val="11"/>
      <color theme="11"/>
      <name val="Calibri"/>
      <family val="2"/>
      <scheme val="minor"/>
    </font>
    <font>
      <sz val="11"/>
      <color rgb="FF000000"/>
      <name val="Calibri"/>
      <family val="2"/>
      <scheme val="minor"/>
    </font>
    <font>
      <b/>
      <sz val="9"/>
      <color rgb="FF000000"/>
      <name val="Tahoma"/>
      <family val="2"/>
    </font>
    <font>
      <sz val="9"/>
      <color rgb="FF000000"/>
      <name val="Tahoma"/>
      <family val="2"/>
    </font>
    <font>
      <sz val="10.5"/>
      <color theme="0"/>
      <name val="Metropolis"/>
    </font>
    <font>
      <sz val="10.5"/>
      <color theme="1"/>
      <name val="Metropolis"/>
    </font>
    <font>
      <sz val="11"/>
      <color theme="1"/>
      <name val="Metropolis"/>
    </font>
    <font>
      <sz val="10"/>
      <color theme="0"/>
      <name val="Metropolis"/>
    </font>
    <font>
      <sz val="10"/>
      <color theme="1"/>
      <name val="Metropolis"/>
    </font>
    <font>
      <b/>
      <sz val="11"/>
      <color theme="1"/>
      <name val="Metropolis"/>
    </font>
    <font>
      <b/>
      <sz val="12"/>
      <color theme="1"/>
      <name val="Metropolis"/>
    </font>
    <font>
      <b/>
      <sz val="14"/>
      <color theme="0"/>
      <name val="Metropolis"/>
    </font>
    <font>
      <b/>
      <sz val="16"/>
      <color theme="0"/>
      <name val="Metropolis"/>
    </font>
    <font>
      <b/>
      <sz val="18"/>
      <color theme="0"/>
      <name val="Metropolis"/>
    </font>
    <font>
      <b/>
      <sz val="18"/>
      <color theme="1"/>
      <name val="Metropolis"/>
    </font>
    <font>
      <sz val="10.5"/>
      <name val="Metropolis"/>
    </font>
    <font>
      <b/>
      <sz val="10"/>
      <color theme="1"/>
      <name val="Metropolis"/>
    </font>
    <font>
      <sz val="10"/>
      <name val="Metropolis"/>
    </font>
    <font>
      <b/>
      <sz val="10"/>
      <name val="Metropolis"/>
    </font>
    <font>
      <sz val="10"/>
      <color rgb="FFFF000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2"/>
      <name val="Metropolis"/>
    </font>
    <font>
      <b/>
      <sz val="10"/>
      <color rgb="FFFF0000"/>
      <name val="Metropolis"/>
    </font>
    <font>
      <b/>
      <u/>
      <sz val="10"/>
      <name val="Metropolis"/>
    </font>
    <font>
      <b/>
      <u/>
      <sz val="10"/>
      <color theme="0"/>
      <name val="Metropolis"/>
    </font>
    <font>
      <b/>
      <sz val="10.5"/>
      <name val="Metropolis"/>
    </font>
    <font>
      <sz val="10.5"/>
      <color rgb="FFFF0000"/>
      <name val="Metropolis"/>
    </font>
    <font>
      <b/>
      <sz val="10"/>
      <color theme="4"/>
      <name val="Metropolis"/>
    </font>
    <font>
      <sz val="11"/>
      <color theme="0"/>
      <name val="Calibri"/>
      <family val="2"/>
      <scheme val="minor"/>
    </font>
    <font>
      <sz val="10"/>
      <color theme="6"/>
      <name val="Metropolis"/>
    </font>
    <font>
      <sz val="10"/>
      <color theme="0" tint="-0.14999847407452621"/>
      <name val="Metropolis"/>
    </font>
    <font>
      <sz val="12"/>
      <color rgb="FF454545"/>
      <name val="Helvetica Neue"/>
      <family val="2"/>
    </font>
    <font>
      <i/>
      <sz val="10"/>
      <color theme="1"/>
      <name val="Metropolis"/>
    </font>
    <font>
      <sz val="10"/>
      <color theme="1"/>
      <name val="Calibri"/>
      <family val="2"/>
      <scheme val="minor"/>
    </font>
    <font>
      <b/>
      <sz val="12"/>
      <color theme="0"/>
      <name val="Metropolis"/>
    </font>
  </fonts>
  <fills count="14">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s>
  <cellStyleXfs count="47">
    <xf numFmtId="0" fontId="0" fillId="0" borderId="0"/>
    <xf numFmtId="0" fontId="3"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xf numFmtId="0" fontId="7" fillId="5" borderId="0" applyNumberFormat="0" applyBorder="0" applyAlignment="0" applyProtection="0"/>
    <xf numFmtId="0" fontId="8" fillId="0" borderId="0" applyNumberFormat="0" applyFill="0" applyBorder="0" applyAlignment="0" applyProtection="0"/>
    <xf numFmtId="0" fontId="7" fillId="4" borderId="0" applyNumberFormat="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14">
    <xf numFmtId="0" fontId="0" fillId="0" borderId="0" xfId="0"/>
    <xf numFmtId="0" fontId="9" fillId="0" borderId="0" xfId="0" applyFont="1" applyAlignment="1"/>
    <xf numFmtId="0" fontId="9" fillId="0" borderId="0" xfId="0" applyFont="1"/>
    <xf numFmtId="0" fontId="0" fillId="0" borderId="0" xfId="0" applyFont="1"/>
    <xf numFmtId="0" fontId="9" fillId="8" borderId="0" xfId="0" applyFont="1" applyFill="1"/>
    <xf numFmtId="0" fontId="9" fillId="8" borderId="0" xfId="0" applyFont="1" applyFill="1" applyAlignment="1"/>
    <xf numFmtId="0" fontId="9" fillId="0" borderId="0" xfId="0" applyFont="1" applyFill="1" applyAlignment="1"/>
    <xf numFmtId="0" fontId="9" fillId="8" borderId="0" xfId="3" applyFont="1" applyFill="1" applyAlignment="1" applyProtection="1"/>
    <xf numFmtId="0" fontId="9" fillId="8" borderId="0" xfId="3" applyFont="1" applyFill="1" applyAlignment="1" applyProtection="1">
      <alignment wrapText="1"/>
    </xf>
    <xf numFmtId="0" fontId="9" fillId="0" borderId="0" xfId="0" applyFont="1" applyFill="1"/>
    <xf numFmtId="0" fontId="0" fillId="8" borderId="0" xfId="0" applyFill="1"/>
    <xf numFmtId="0" fontId="0" fillId="0" borderId="0" xfId="0" applyFill="1"/>
    <xf numFmtId="0" fontId="0" fillId="8" borderId="0" xfId="0" applyFont="1" applyFill="1"/>
    <xf numFmtId="0" fontId="12" fillId="0" borderId="0" xfId="0" applyFont="1"/>
    <xf numFmtId="0" fontId="14" fillId="8" borderId="0" xfId="0" applyFont="1" applyFill="1"/>
    <xf numFmtId="0" fontId="14" fillId="0" borderId="0" xfId="0" applyFont="1" applyFill="1"/>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8" fillId="6" borderId="0" xfId="0" applyFont="1" applyFill="1" applyBorder="1" applyAlignment="1">
      <alignment horizontal="center" vertical="center"/>
    </xf>
    <xf numFmtId="0" fontId="18" fillId="3" borderId="0" xfId="0" applyFont="1" applyFill="1" applyAlignment="1">
      <alignment horizontal="center" vertical="center"/>
    </xf>
    <xf numFmtId="0" fontId="18" fillId="3" borderId="0" xfId="0" applyFont="1" applyFill="1"/>
    <xf numFmtId="0" fontId="21" fillId="2" borderId="0" xfId="0" applyFont="1" applyFill="1" applyBorder="1" applyAlignment="1">
      <alignment horizontal="center" vertical="center"/>
    </xf>
    <xf numFmtId="0" fontId="21" fillId="0"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18" fillId="6" borderId="0" xfId="0" applyFont="1" applyFill="1" applyBorder="1" applyAlignment="1">
      <alignment horizontal="center" vertical="center" wrapText="1"/>
    </xf>
    <xf numFmtId="0" fontId="26" fillId="0" borderId="0" xfId="0" applyFont="1" applyFill="1" applyBorder="1" applyAlignment="1">
      <alignment horizontal="left" vertical="center"/>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8" fillId="6" borderId="0" xfId="0" applyFont="1" applyFill="1" applyBorder="1" applyAlignment="1">
      <alignment horizontal="left" vertical="center" wrapText="1"/>
    </xf>
    <xf numFmtId="0" fontId="25" fillId="6" borderId="0" xfId="0" applyFont="1" applyFill="1" applyBorder="1" applyAlignment="1">
      <alignment horizontal="left" vertical="center" wrapText="1"/>
    </xf>
    <xf numFmtId="0" fontId="18" fillId="11" borderId="0" xfId="0" applyFont="1" applyFill="1"/>
    <xf numFmtId="0" fontId="18" fillId="11" borderId="0" xfId="0" applyFont="1" applyFill="1" applyAlignment="1">
      <alignment horizontal="center" vertical="center"/>
    </xf>
    <xf numFmtId="0" fontId="18" fillId="11" borderId="0" xfId="0" applyFont="1" applyFill="1" applyBorder="1" applyAlignment="1">
      <alignment horizontal="center" vertical="center"/>
    </xf>
    <xf numFmtId="0" fontId="21" fillId="0" borderId="0" xfId="0" applyFont="1"/>
    <xf numFmtId="0" fontId="21" fillId="0" borderId="0" xfId="0" applyFont="1" applyAlignment="1">
      <alignment horizontal="center"/>
    </xf>
    <xf numFmtId="0" fontId="21" fillId="11" borderId="0" xfId="0" applyFont="1" applyFill="1"/>
    <xf numFmtId="0" fontId="29" fillId="7" borderId="0" xfId="0" applyFont="1" applyFill="1" applyAlignment="1">
      <alignment horizontal="center" vertical="center" wrapText="1"/>
    </xf>
    <xf numFmtId="0" fontId="21" fillId="11" borderId="0" xfId="0" applyFont="1" applyFill="1" applyAlignment="1">
      <alignment wrapText="1"/>
    </xf>
    <xf numFmtId="0" fontId="21" fillId="0" borderId="0" xfId="0" applyFont="1" applyAlignment="1">
      <alignment wrapText="1"/>
    </xf>
    <xf numFmtId="0" fontId="29" fillId="13" borderId="0" xfId="0" applyFont="1" applyFill="1" applyAlignment="1">
      <alignment horizontal="center" vertical="center" wrapText="1"/>
    </xf>
    <xf numFmtId="0" fontId="21" fillId="11" borderId="0" xfId="0" applyFont="1" applyFill="1" applyAlignment="1">
      <alignment horizontal="center"/>
    </xf>
    <xf numFmtId="0" fontId="28" fillId="0" borderId="0" xfId="1" applyFont="1" applyFill="1" applyBorder="1" applyAlignment="1"/>
    <xf numFmtId="0" fontId="28" fillId="0" borderId="0" xfId="1" applyFont="1" applyFill="1" applyBorder="1" applyAlignment="1">
      <alignment horizontal="left" wrapText="1"/>
    </xf>
    <xf numFmtId="0" fontId="28" fillId="0" borderId="0" xfId="1" applyFont="1" applyFill="1" applyBorder="1" applyAlignment="1">
      <alignment horizontal="center"/>
    </xf>
    <xf numFmtId="0" fontId="28" fillId="0" borderId="0" xfId="1" applyFont="1" applyFill="1" applyBorder="1" applyAlignment="1">
      <alignment horizontal="left"/>
    </xf>
    <xf numFmtId="0" fontId="28" fillId="0" borderId="0" xfId="1" applyFont="1" applyFill="1" applyBorder="1" applyAlignment="1">
      <alignment vertical="center"/>
    </xf>
    <xf numFmtId="0" fontId="28" fillId="0" borderId="0" xfId="1" applyFont="1" applyFill="1" applyBorder="1" applyAlignment="1">
      <alignment horizontal="left" vertical="center"/>
    </xf>
    <xf numFmtId="0" fontId="28" fillId="0" borderId="0" xfId="1" applyFont="1" applyFill="1" applyBorder="1" applyAlignment="1">
      <alignment horizontal="left" vertical="top"/>
    </xf>
    <xf numFmtId="0" fontId="28" fillId="0" borderId="0" xfId="1" applyFont="1" applyFill="1" applyBorder="1" applyAlignment="1">
      <alignment horizontal="left" vertical="top" wrapText="1"/>
    </xf>
    <xf numFmtId="0" fontId="28" fillId="0" borderId="0" xfId="1" applyFont="1" applyFill="1" applyBorder="1" applyAlignment="1">
      <alignment horizontal="center" vertical="top"/>
    </xf>
    <xf numFmtId="0" fontId="30" fillId="0" borderId="0" xfId="1" applyFont="1" applyFill="1" applyBorder="1" applyAlignment="1">
      <alignment horizontal="left"/>
    </xf>
    <xf numFmtId="0" fontId="31" fillId="7" borderId="9" xfId="1" applyFont="1" applyFill="1" applyBorder="1" applyAlignment="1">
      <alignment horizontal="center" vertical="center" wrapText="1"/>
    </xf>
    <xf numFmtId="0" fontId="31" fillId="7" borderId="2" xfId="1" applyFont="1" applyFill="1" applyBorder="1" applyAlignment="1">
      <alignment horizontal="center" vertical="center" wrapText="1"/>
    </xf>
    <xf numFmtId="0" fontId="31" fillId="7" borderId="10" xfId="1" applyFont="1" applyFill="1" applyBorder="1" applyAlignment="1">
      <alignment horizontal="center" vertical="center" wrapText="1"/>
    </xf>
    <xf numFmtId="0" fontId="30" fillId="0" borderId="0" xfId="1" applyFont="1" applyFill="1" applyBorder="1" applyAlignment="1">
      <alignment horizontal="left" vertical="top"/>
    </xf>
    <xf numFmtId="0" fontId="30" fillId="8" borderId="9" xfId="1" applyFont="1" applyFill="1" applyBorder="1" applyAlignment="1">
      <alignment horizontal="left" vertical="center"/>
    </xf>
    <xf numFmtId="0" fontId="30" fillId="0" borderId="2" xfId="1" applyFont="1" applyFill="1" applyBorder="1" applyAlignment="1">
      <alignment horizontal="left" vertical="center" wrapText="1"/>
    </xf>
    <xf numFmtId="0" fontId="30" fillId="0" borderId="2" xfId="1" applyFont="1" applyFill="1" applyBorder="1" applyAlignment="1">
      <alignment horizontal="center" vertical="center"/>
    </xf>
    <xf numFmtId="0" fontId="30" fillId="0" borderId="10" xfId="1" applyFont="1" applyFill="1" applyBorder="1" applyAlignment="1">
      <alignment horizontal="left" vertical="center" wrapText="1"/>
    </xf>
    <xf numFmtId="0" fontId="30" fillId="0" borderId="0" xfId="1" applyFont="1" applyFill="1" applyBorder="1" applyAlignment="1">
      <alignment horizontal="left" vertical="top" wrapText="1"/>
    </xf>
    <xf numFmtId="0" fontId="30" fillId="0" borderId="0" xfId="1" applyFont="1" applyFill="1" applyBorder="1" applyAlignment="1">
      <alignment horizontal="center" vertical="top"/>
    </xf>
    <xf numFmtId="0" fontId="28" fillId="11" borderId="0" xfId="1" applyFont="1" applyFill="1" applyBorder="1" applyAlignment="1">
      <alignment horizontal="left" vertical="center"/>
    </xf>
    <xf numFmtId="0" fontId="28" fillId="11" borderId="0" xfId="1" applyFont="1" applyFill="1" applyBorder="1" applyAlignment="1">
      <alignment vertical="center"/>
    </xf>
    <xf numFmtId="0" fontId="21" fillId="11" borderId="0" xfId="4" applyFont="1" applyFill="1"/>
    <xf numFmtId="0" fontId="30" fillId="11" borderId="0" xfId="1" applyFont="1" applyFill="1" applyBorder="1" applyAlignment="1">
      <alignment horizontal="left"/>
    </xf>
    <xf numFmtId="0" fontId="30" fillId="11" borderId="0" xfId="1" applyFont="1" applyFill="1" applyBorder="1" applyAlignment="1"/>
    <xf numFmtId="0" fontId="35" fillId="11" borderId="0" xfId="1" applyFont="1" applyFill="1"/>
    <xf numFmtId="0" fontId="30" fillId="11" borderId="0" xfId="1" applyFont="1" applyFill="1" applyBorder="1" applyAlignment="1">
      <alignment horizontal="left" vertical="center"/>
    </xf>
    <xf numFmtId="0" fontId="30" fillId="11" borderId="0" xfId="1" applyFont="1" applyFill="1" applyBorder="1" applyAlignment="1">
      <alignment vertical="center"/>
    </xf>
    <xf numFmtId="0" fontId="30" fillId="0" borderId="0" xfId="1" applyFont="1" applyFill="1" applyBorder="1" applyAlignment="1">
      <alignment horizontal="left" vertical="center"/>
    </xf>
    <xf numFmtId="0" fontId="21" fillId="0" borderId="0" xfId="4" applyFont="1"/>
    <xf numFmtId="0" fontId="37" fillId="11" borderId="0" xfId="4" applyFont="1" applyFill="1" applyBorder="1" applyAlignment="1">
      <alignment horizontal="center"/>
    </xf>
    <xf numFmtId="0" fontId="37" fillId="11" borderId="0" xfId="4" applyFont="1" applyFill="1"/>
    <xf numFmtId="0" fontId="24" fillId="9" borderId="6" xfId="1" applyFont="1" applyFill="1" applyBorder="1" applyAlignment="1">
      <alignment horizontal="left" vertical="center"/>
    </xf>
    <xf numFmtId="0" fontId="33" fillId="2" borderId="2" xfId="1" applyFont="1" applyFill="1" applyBorder="1" applyAlignment="1">
      <alignment vertical="center"/>
    </xf>
    <xf numFmtId="0" fontId="21" fillId="11" borderId="0" xfId="0" applyFont="1" applyFill="1" applyAlignment="1">
      <alignment vertical="center" wrapText="1"/>
    </xf>
    <xf numFmtId="0" fontId="21" fillId="0" borderId="0" xfId="0" applyFont="1" applyAlignment="1">
      <alignment vertical="center" wrapText="1"/>
    </xf>
    <xf numFmtId="0" fontId="21" fillId="12" borderId="0" xfId="0" applyFont="1" applyFill="1" applyAlignment="1">
      <alignment vertical="center"/>
    </xf>
    <xf numFmtId="0" fontId="29" fillId="12" borderId="0" xfId="0" applyFont="1" applyFill="1" applyAlignment="1">
      <alignment horizontal="center" vertical="center"/>
    </xf>
    <xf numFmtId="0" fontId="21" fillId="12" borderId="0" xfId="0" applyFont="1" applyFill="1" applyAlignment="1">
      <alignment horizontal="center" vertical="center"/>
    </xf>
    <xf numFmtId="0" fontId="21" fillId="11" borderId="0" xfId="0" applyFont="1" applyFill="1" applyAlignment="1">
      <alignment vertical="center"/>
    </xf>
    <xf numFmtId="0" fontId="21" fillId="0" borderId="0" xfId="0" applyFont="1" applyAlignment="1">
      <alignment vertical="center"/>
    </xf>
    <xf numFmtId="0" fontId="29" fillId="3" borderId="2" xfId="0" applyFont="1" applyFill="1" applyBorder="1" applyAlignment="1">
      <alignment vertical="center"/>
    </xf>
    <xf numFmtId="0" fontId="21" fillId="3" borderId="2" xfId="0" applyFont="1" applyFill="1" applyBorder="1" applyAlignment="1">
      <alignment vertical="center"/>
    </xf>
    <xf numFmtId="0" fontId="29" fillId="3" borderId="2" xfId="0" applyFont="1" applyFill="1" applyBorder="1" applyAlignment="1">
      <alignment horizontal="center" vertical="center"/>
    </xf>
    <xf numFmtId="0" fontId="21" fillId="3" borderId="2" xfId="0" applyFont="1" applyFill="1" applyBorder="1" applyAlignment="1">
      <alignment horizontal="center" vertical="center"/>
    </xf>
    <xf numFmtId="0" fontId="30" fillId="3" borderId="2" xfId="0" applyFont="1" applyFill="1" applyBorder="1" applyAlignment="1">
      <alignment vertical="center"/>
    </xf>
    <xf numFmtId="9" fontId="21" fillId="3" borderId="2" xfId="0" applyNumberFormat="1" applyFont="1" applyFill="1" applyBorder="1" applyAlignment="1">
      <alignment horizontal="center" vertical="center"/>
    </xf>
    <xf numFmtId="0" fontId="21" fillId="8" borderId="2" xfId="0" applyFont="1" applyFill="1" applyBorder="1" applyAlignment="1">
      <alignment horizontal="center" vertical="center"/>
    </xf>
    <xf numFmtId="0" fontId="30" fillId="11" borderId="0" xfId="0" applyFont="1" applyFill="1" applyBorder="1" applyAlignment="1">
      <alignment vertical="center"/>
    </xf>
    <xf numFmtId="0" fontId="21" fillId="11" borderId="0" xfId="0" applyFont="1" applyFill="1" applyBorder="1" applyAlignment="1">
      <alignment vertical="center"/>
    </xf>
    <xf numFmtId="0" fontId="31" fillId="11" borderId="0" xfId="0" applyFont="1" applyFill="1" applyBorder="1" applyAlignment="1">
      <alignment horizontal="right" vertical="center"/>
    </xf>
    <xf numFmtId="0" fontId="29" fillId="11" borderId="0" xfId="0" applyFont="1" applyFill="1" applyBorder="1" applyAlignment="1">
      <alignment horizontal="center" vertical="center"/>
    </xf>
    <xf numFmtId="0" fontId="21" fillId="11" borderId="0" xfId="0" applyFont="1" applyFill="1" applyBorder="1" applyAlignment="1">
      <alignment horizontal="center" vertical="center"/>
    </xf>
    <xf numFmtId="9" fontId="21" fillId="11" borderId="0" xfId="0" applyNumberFormat="1" applyFont="1" applyFill="1" applyBorder="1" applyAlignment="1">
      <alignment horizontal="center" vertical="center"/>
    </xf>
    <xf numFmtId="164" fontId="21" fillId="11" borderId="0" xfId="0" applyNumberFormat="1" applyFont="1" applyFill="1" applyBorder="1" applyAlignment="1">
      <alignment horizontal="center" vertical="center"/>
    </xf>
    <xf numFmtId="0" fontId="29" fillId="11" borderId="0" xfId="0" applyFont="1" applyFill="1" applyAlignment="1">
      <alignment vertical="center"/>
    </xf>
    <xf numFmtId="0" fontId="21" fillId="11" borderId="0" xfId="0" applyFont="1" applyFill="1" applyAlignment="1">
      <alignment horizontal="center" vertical="center"/>
    </xf>
    <xf numFmtId="0" fontId="29" fillId="11" borderId="18" xfId="0" applyFont="1" applyFill="1" applyBorder="1" applyAlignment="1">
      <alignment horizontal="center" vertical="center"/>
    </xf>
    <xf numFmtId="0" fontId="21" fillId="11" borderId="18" xfId="0" applyFont="1" applyFill="1" applyBorder="1" applyAlignment="1">
      <alignment horizontal="center" vertical="center"/>
    </xf>
    <xf numFmtId="0" fontId="29" fillId="8" borderId="3" xfId="0" applyFont="1" applyFill="1" applyBorder="1" applyAlignment="1">
      <alignment vertical="center"/>
    </xf>
    <xf numFmtId="0" fontId="21" fillId="8" borderId="4" xfId="0" applyFont="1" applyFill="1" applyBorder="1" applyAlignment="1">
      <alignment vertical="center"/>
    </xf>
    <xf numFmtId="0" fontId="21" fillId="8" borderId="5" xfId="0" applyFont="1" applyFill="1" applyBorder="1" applyAlignment="1">
      <alignment vertical="center"/>
    </xf>
    <xf numFmtId="0" fontId="21" fillId="0" borderId="0" xfId="0" applyFont="1" applyFill="1" applyBorder="1" applyAlignment="1">
      <alignment vertical="center"/>
    </xf>
    <xf numFmtId="0" fontId="21" fillId="11" borderId="19" xfId="0" applyFont="1" applyFill="1" applyBorder="1" applyAlignment="1">
      <alignment vertical="center"/>
    </xf>
    <xf numFmtId="0" fontId="21" fillId="11" borderId="17" xfId="0" applyFont="1" applyFill="1" applyBorder="1" applyAlignment="1">
      <alignment vertical="center"/>
    </xf>
    <xf numFmtId="1" fontId="21" fillId="11" borderId="0" xfId="0" applyNumberFormat="1" applyFont="1" applyFill="1" applyBorder="1" applyAlignment="1">
      <alignment horizontal="right" vertical="center"/>
    </xf>
    <xf numFmtId="0" fontId="21" fillId="11" borderId="21" xfId="0" applyFont="1" applyFill="1" applyBorder="1" applyAlignment="1">
      <alignment vertical="center"/>
    </xf>
    <xf numFmtId="1" fontId="21" fillId="11" borderId="0" xfId="0" applyNumberFormat="1" applyFont="1" applyFill="1" applyBorder="1" applyAlignment="1">
      <alignment vertical="center"/>
    </xf>
    <xf numFmtId="0" fontId="29" fillId="13" borderId="17" xfId="0" applyFont="1" applyFill="1" applyBorder="1" applyAlignment="1">
      <alignment vertical="center"/>
    </xf>
    <xf numFmtId="0" fontId="29" fillId="13" borderId="0" xfId="0" applyFont="1" applyFill="1" applyBorder="1" applyAlignment="1">
      <alignment vertical="center"/>
    </xf>
    <xf numFmtId="0" fontId="29" fillId="13" borderId="0" xfId="0" applyFont="1" applyFill="1" applyBorder="1" applyAlignment="1">
      <alignment horizontal="center" vertical="center"/>
    </xf>
    <xf numFmtId="0" fontId="29" fillId="13" borderId="19" xfId="0" applyFont="1" applyFill="1" applyBorder="1" applyAlignment="1">
      <alignment horizontal="center" vertical="center"/>
    </xf>
    <xf numFmtId="0" fontId="29" fillId="11" borderId="17" xfId="0" applyFont="1" applyFill="1" applyBorder="1" applyAlignment="1">
      <alignment vertical="center"/>
    </xf>
    <xf numFmtId="0" fontId="29" fillId="11" borderId="19" xfId="0" applyFont="1" applyFill="1" applyBorder="1" applyAlignment="1">
      <alignment horizontal="center" vertical="center"/>
    </xf>
    <xf numFmtId="1" fontId="21" fillId="11" borderId="0" xfId="0" applyNumberFormat="1" applyFont="1" applyFill="1" applyBorder="1" applyAlignment="1">
      <alignment horizontal="center" vertical="center"/>
    </xf>
    <xf numFmtId="1" fontId="21" fillId="11" borderId="19" xfId="0" applyNumberFormat="1" applyFont="1" applyFill="1" applyBorder="1" applyAlignment="1">
      <alignment horizontal="center" vertical="center"/>
    </xf>
    <xf numFmtId="0" fontId="21" fillId="11" borderId="20" xfId="0" applyFont="1" applyFill="1" applyBorder="1" applyAlignment="1">
      <alignment vertical="center"/>
    </xf>
    <xf numFmtId="0" fontId="21" fillId="11" borderId="18" xfId="0" applyFont="1" applyFill="1" applyBorder="1" applyAlignment="1">
      <alignment vertical="center"/>
    </xf>
    <xf numFmtId="1" fontId="21" fillId="11" borderId="18" xfId="0" applyNumberFormat="1" applyFont="1" applyFill="1" applyBorder="1" applyAlignment="1">
      <alignment horizontal="right" vertical="center"/>
    </xf>
    <xf numFmtId="1" fontId="21" fillId="11" borderId="18" xfId="0" applyNumberFormat="1" applyFont="1" applyFill="1" applyBorder="1" applyAlignment="1">
      <alignment vertical="center"/>
    </xf>
    <xf numFmtId="0" fontId="29" fillId="11" borderId="0" xfId="0" applyFont="1" applyFill="1" applyBorder="1" applyAlignment="1">
      <alignment vertical="center"/>
    </xf>
    <xf numFmtId="0" fontId="21" fillId="11" borderId="17" xfId="0" applyFont="1" applyFill="1" applyBorder="1" applyAlignment="1">
      <alignment horizontal="right" vertical="center"/>
    </xf>
    <xf numFmtId="2" fontId="21" fillId="11" borderId="0" xfId="0" applyNumberFormat="1" applyFont="1" applyFill="1" applyBorder="1" applyAlignment="1">
      <alignment horizontal="right" vertical="center"/>
    </xf>
    <xf numFmtId="0" fontId="21" fillId="11" borderId="20" xfId="0" applyFont="1" applyFill="1" applyBorder="1" applyAlignment="1">
      <alignment horizontal="right" vertical="center"/>
    </xf>
    <xf numFmtId="2" fontId="21" fillId="11" borderId="18" xfId="0" applyNumberFormat="1" applyFont="1" applyFill="1" applyBorder="1" applyAlignment="1">
      <alignment horizontal="right" vertical="center"/>
    </xf>
    <xf numFmtId="0" fontId="22" fillId="12" borderId="0" xfId="0" applyFont="1" applyFill="1" applyAlignment="1">
      <alignment vertical="center"/>
    </xf>
    <xf numFmtId="0" fontId="21" fillId="11" borderId="0" xfId="4" applyFont="1" applyFill="1" applyAlignment="1">
      <alignment vertical="center"/>
    </xf>
    <xf numFmtId="0" fontId="20" fillId="11" borderId="0" xfId="4" applyFont="1" applyFill="1" applyBorder="1" applyAlignment="1">
      <alignment vertical="center"/>
    </xf>
    <xf numFmtId="0" fontId="21" fillId="0" borderId="0" xfId="4" applyFont="1" applyAlignment="1">
      <alignment vertical="center"/>
    </xf>
    <xf numFmtId="0" fontId="29" fillId="7" borderId="9" xfId="4" applyFont="1" applyFill="1" applyBorder="1" applyAlignment="1">
      <alignment horizontal="center" vertical="center"/>
    </xf>
    <xf numFmtId="0" fontId="29" fillId="7" borderId="2" xfId="4" applyFont="1" applyFill="1" applyBorder="1" applyAlignment="1">
      <alignment horizontal="center" vertical="center"/>
    </xf>
    <xf numFmtId="0" fontId="29" fillId="7" borderId="10" xfId="4" applyFont="1" applyFill="1" applyBorder="1" applyAlignment="1">
      <alignment horizontal="center" vertical="center"/>
    </xf>
    <xf numFmtId="0" fontId="29" fillId="11" borderId="0" xfId="4" applyFont="1" applyFill="1" applyBorder="1" applyAlignment="1">
      <alignment horizontal="center" vertical="center"/>
    </xf>
    <xf numFmtId="0" fontId="37" fillId="11" borderId="0" xfId="4" applyFont="1" applyFill="1" applyBorder="1" applyAlignment="1">
      <alignment horizontal="center" vertical="center"/>
    </xf>
    <xf numFmtId="0" fontId="37" fillId="8" borderId="2" xfId="4" applyFont="1" applyFill="1" applyBorder="1" applyAlignment="1">
      <alignment horizontal="left" vertical="center"/>
    </xf>
    <xf numFmtId="0" fontId="33" fillId="9" borderId="6" xfId="4" applyFont="1" applyFill="1" applyBorder="1" applyAlignment="1">
      <alignment vertical="center"/>
    </xf>
    <xf numFmtId="0" fontId="33" fillId="9" borderId="11" xfId="4" applyFont="1" applyFill="1" applyBorder="1" applyAlignment="1">
      <alignment vertical="center"/>
    </xf>
    <xf numFmtId="0" fontId="37" fillId="11" borderId="0" xfId="4" applyFont="1" applyFill="1" applyAlignment="1">
      <alignment vertical="center"/>
    </xf>
    <xf numFmtId="0" fontId="37" fillId="11" borderId="0" xfId="4" applyFont="1" applyFill="1" applyBorder="1" applyAlignment="1">
      <alignment vertical="center"/>
    </xf>
    <xf numFmtId="2" fontId="21" fillId="11" borderId="0" xfId="4" applyNumberFormat="1" applyFont="1" applyFill="1" applyAlignment="1">
      <alignment vertical="center"/>
    </xf>
    <xf numFmtId="0" fontId="33" fillId="9" borderId="7" xfId="1" applyFont="1" applyFill="1" applyBorder="1" applyAlignment="1">
      <alignment horizontal="left" vertical="center"/>
    </xf>
    <xf numFmtId="0" fontId="20" fillId="9" borderId="7" xfId="1" applyFont="1" applyFill="1" applyBorder="1" applyAlignment="1">
      <alignment horizontal="left" vertical="center" wrapText="1"/>
    </xf>
    <xf numFmtId="0" fontId="20" fillId="9" borderId="7" xfId="1" applyFont="1" applyFill="1" applyBorder="1" applyAlignment="1">
      <alignment horizontal="center" vertical="center"/>
    </xf>
    <xf numFmtId="0" fontId="20" fillId="9" borderId="8" xfId="1" applyFont="1" applyFill="1" applyBorder="1" applyAlignment="1">
      <alignment horizontal="left" vertical="center"/>
    </xf>
    <xf numFmtId="0" fontId="33" fillId="9" borderId="2" xfId="1" applyFont="1" applyFill="1" applyBorder="1" applyAlignment="1">
      <alignment horizontal="center" vertical="center"/>
    </xf>
    <xf numFmtId="0" fontId="20" fillId="2" borderId="2" xfId="1" applyFont="1" applyFill="1" applyBorder="1" applyAlignment="1">
      <alignment vertical="center"/>
    </xf>
    <xf numFmtId="0" fontId="30" fillId="8" borderId="2" xfId="1" applyFont="1" applyFill="1" applyBorder="1" applyAlignment="1">
      <alignment vertical="center"/>
    </xf>
    <xf numFmtId="0" fontId="25" fillId="9" borderId="0" xfId="1" applyFont="1" applyFill="1" applyBorder="1" applyAlignment="1">
      <alignment horizontal="left" vertical="center"/>
    </xf>
    <xf numFmtId="43" fontId="31" fillId="10" borderId="2" xfId="2" applyFont="1" applyFill="1" applyBorder="1" applyAlignment="1">
      <alignment horizontal="center" vertical="center"/>
    </xf>
    <xf numFmtId="43" fontId="31" fillId="10" borderId="1" xfId="2" applyFont="1" applyFill="1" applyBorder="1" applyAlignment="1">
      <alignment horizontal="center" vertical="center"/>
    </xf>
    <xf numFmtId="43" fontId="31" fillId="10" borderId="1" xfId="2" applyFont="1" applyFill="1" applyBorder="1" applyAlignment="1" applyProtection="1">
      <alignment horizontal="center" vertical="center"/>
      <protection locked="0"/>
    </xf>
    <xf numFmtId="0" fontId="35" fillId="0" borderId="0" xfId="1" applyFont="1"/>
    <xf numFmtId="0" fontId="30" fillId="0" borderId="0" xfId="1" applyFont="1" applyFill="1" applyBorder="1" applyAlignment="1"/>
    <xf numFmtId="0" fontId="30" fillId="0" borderId="0" xfId="1" applyFont="1" applyFill="1" applyBorder="1" applyAlignment="1">
      <alignment vertical="center"/>
    </xf>
    <xf numFmtId="0" fontId="33" fillId="9" borderId="0" xfId="1" applyFont="1" applyFill="1" applyBorder="1" applyAlignment="1">
      <alignment horizontal="left" vertical="center"/>
    </xf>
    <xf numFmtId="0" fontId="33" fillId="9" borderId="0" xfId="1" applyFont="1" applyFill="1" applyBorder="1" applyAlignment="1">
      <alignment horizontal="left" vertical="center" indent="1"/>
    </xf>
    <xf numFmtId="0" fontId="40" fillId="0" borderId="0" xfId="1" applyFont="1" applyFill="1" applyBorder="1"/>
    <xf numFmtId="0" fontId="33" fillId="2" borderId="22" xfId="1" applyFont="1" applyFill="1" applyBorder="1" applyAlignment="1">
      <alignment vertical="center"/>
    </xf>
    <xf numFmtId="0" fontId="30" fillId="8" borderId="2" xfId="1" applyFont="1" applyFill="1" applyBorder="1" applyAlignment="1" applyProtection="1">
      <alignment horizontal="left" vertical="center"/>
    </xf>
    <xf numFmtId="0" fontId="33" fillId="2" borderId="0" xfId="1" applyFont="1" applyFill="1" applyBorder="1" applyAlignment="1">
      <alignment horizontal="left" vertical="center"/>
    </xf>
    <xf numFmtId="0" fontId="33" fillId="2" borderId="2" xfId="1" applyFont="1" applyFill="1" applyBorder="1" applyAlignment="1">
      <alignment horizontal="left" vertical="center"/>
    </xf>
    <xf numFmtId="0" fontId="40" fillId="0" borderId="0" xfId="1" applyFont="1" applyFill="1" applyBorder="1" applyAlignment="1">
      <alignment vertical="center"/>
    </xf>
    <xf numFmtId="0" fontId="36" fillId="10" borderId="2" xfId="1" applyFont="1" applyFill="1" applyBorder="1" applyAlignment="1" applyProtection="1">
      <alignment vertical="center"/>
      <protection locked="0"/>
    </xf>
    <xf numFmtId="0" fontId="41" fillId="0" borderId="0" xfId="1" applyFont="1" applyFill="1" applyBorder="1" applyAlignment="1">
      <alignment vertical="center"/>
    </xf>
    <xf numFmtId="0" fontId="20" fillId="0" borderId="0" xfId="1" applyFont="1" applyFill="1" applyBorder="1" applyAlignment="1">
      <alignment vertical="center"/>
    </xf>
    <xf numFmtId="0" fontId="21" fillId="11" borderId="0" xfId="0" applyFont="1" applyFill="1" applyAlignment="1">
      <alignment vertical="center"/>
    </xf>
    <xf numFmtId="0" fontId="21" fillId="0" borderId="0" xfId="0" applyFont="1" applyAlignment="1">
      <alignment vertical="center"/>
    </xf>
    <xf numFmtId="0" fontId="30" fillId="0" borderId="12" xfId="1" applyFont="1" applyFill="1" applyBorder="1" applyAlignment="1">
      <alignment horizontal="left" vertical="center" wrapText="1"/>
    </xf>
    <xf numFmtId="0" fontId="30" fillId="0" borderId="12" xfId="1" applyFont="1" applyFill="1" applyBorder="1" applyAlignment="1">
      <alignment horizontal="center" vertical="center"/>
    </xf>
    <xf numFmtId="0" fontId="30" fillId="0" borderId="13" xfId="1" applyFont="1" applyFill="1" applyBorder="1" applyAlignment="1">
      <alignment horizontal="left" vertical="center" wrapText="1"/>
    </xf>
    <xf numFmtId="0" fontId="33" fillId="9" borderId="2" xfId="1" applyFont="1" applyFill="1" applyBorder="1" applyAlignment="1">
      <alignment horizontal="center" vertical="center"/>
    </xf>
    <xf numFmtId="0" fontId="21" fillId="11" borderId="0" xfId="0" applyFont="1" applyFill="1" applyAlignment="1">
      <alignment vertical="center"/>
    </xf>
    <xf numFmtId="0" fontId="21" fillId="0" borderId="0" xfId="0" applyFont="1" applyAlignment="1">
      <alignment vertical="center"/>
    </xf>
    <xf numFmtId="0" fontId="45" fillId="0" borderId="0" xfId="0" applyFont="1" applyAlignment="1"/>
    <xf numFmtId="0" fontId="0" fillId="0" borderId="0" xfId="0" applyFont="1" applyFill="1" applyAlignment="1"/>
    <xf numFmtId="0" fontId="25" fillId="9" borderId="0" xfId="1" applyFont="1" applyFill="1" applyBorder="1" applyAlignment="1">
      <alignment horizontal="left"/>
    </xf>
    <xf numFmtId="164" fontId="21" fillId="12" borderId="0" xfId="0" applyNumberFormat="1" applyFont="1" applyFill="1" applyAlignment="1">
      <alignment horizontal="center" vertical="center"/>
    </xf>
    <xf numFmtId="164" fontId="21" fillId="3" borderId="2" xfId="0" applyNumberFormat="1" applyFont="1" applyFill="1" applyBorder="1" applyAlignment="1">
      <alignment horizontal="center" vertical="center"/>
    </xf>
    <xf numFmtId="0" fontId="30" fillId="0" borderId="0" xfId="1" applyFont="1" applyFill="1" applyBorder="1" applyAlignment="1">
      <alignment horizontal="left" vertical="center" wrapText="1"/>
    </xf>
    <xf numFmtId="15" fontId="0" fillId="0" borderId="0" xfId="0" applyNumberFormat="1" applyAlignment="1">
      <alignment horizontal="center" vertical="center"/>
    </xf>
    <xf numFmtId="0" fontId="0" fillId="8" borderId="11" xfId="0" applyFill="1" applyBorder="1" applyAlignment="1">
      <alignment horizontal="left" vertical="center"/>
    </xf>
    <xf numFmtId="0" fontId="33" fillId="9" borderId="2" xfId="1" applyFont="1" applyFill="1" applyBorder="1" applyAlignment="1">
      <alignment horizontal="center" vertical="center"/>
    </xf>
    <xf numFmtId="0" fontId="20" fillId="2" borderId="2" xfId="1" applyFont="1" applyFill="1" applyBorder="1" applyAlignment="1">
      <alignment horizontal="left" vertical="center"/>
    </xf>
    <xf numFmtId="0" fontId="30" fillId="10" borderId="2" xfId="1" applyFont="1" applyFill="1" applyBorder="1" applyAlignment="1" applyProtection="1">
      <alignment vertical="center"/>
      <protection locked="0"/>
    </xf>
    <xf numFmtId="0" fontId="21" fillId="10" borderId="2" xfId="0" applyFont="1" applyFill="1" applyBorder="1" applyAlignment="1" applyProtection="1">
      <alignment horizontal="center" vertical="center"/>
      <protection locked="0"/>
    </xf>
    <xf numFmtId="0" fontId="30" fillId="10" borderId="2" xfId="1" applyFont="1" applyFill="1" applyBorder="1" applyAlignment="1" applyProtection="1">
      <alignment horizontal="left"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36" fillId="10" borderId="9" xfId="4" applyFont="1" applyFill="1" applyBorder="1" applyAlignment="1" applyProtection="1">
      <alignment horizontal="center" vertical="center"/>
      <protection locked="0"/>
    </xf>
    <xf numFmtId="0" fontId="21" fillId="10" borderId="9" xfId="4" applyFont="1" applyFill="1" applyBorder="1" applyAlignment="1" applyProtection="1">
      <alignment horizontal="center" vertical="center"/>
      <protection locked="0"/>
    </xf>
    <xf numFmtId="0" fontId="44" fillId="10" borderId="11" xfId="4" applyFont="1" applyFill="1" applyBorder="1" applyAlignment="1" applyProtection="1">
      <alignment horizontal="center" vertical="center"/>
      <protection locked="0"/>
    </xf>
    <xf numFmtId="0" fontId="21" fillId="10" borderId="2" xfId="4" applyFont="1" applyFill="1" applyBorder="1" applyAlignment="1" applyProtection="1">
      <alignment horizontal="center" vertical="center"/>
      <protection locked="0"/>
    </xf>
    <xf numFmtId="0" fontId="21" fillId="10" borderId="10" xfId="4" applyFont="1" applyFill="1" applyBorder="1" applyAlignment="1" applyProtection="1">
      <alignment horizontal="center" vertical="center"/>
      <protection locked="0"/>
    </xf>
    <xf numFmtId="0" fontId="36" fillId="10" borderId="2" xfId="4" applyFont="1" applyFill="1" applyBorder="1" applyAlignment="1" applyProtection="1">
      <alignment horizontal="center" vertical="center"/>
      <protection locked="0"/>
    </xf>
    <xf numFmtId="0" fontId="36" fillId="10" borderId="10" xfId="4" applyFont="1" applyFill="1" applyBorder="1" applyAlignment="1" applyProtection="1">
      <alignment horizontal="center" vertical="center"/>
      <protection locked="0"/>
    </xf>
    <xf numFmtId="0" fontId="44" fillId="10" borderId="13" xfId="4" applyFont="1" applyFill="1" applyBorder="1" applyAlignment="1" applyProtection="1">
      <alignment horizontal="center" vertical="center"/>
      <protection locked="0"/>
    </xf>
    <xf numFmtId="0" fontId="21" fillId="11" borderId="8" xfId="4" applyFont="1" applyFill="1" applyBorder="1" applyAlignment="1" applyProtection="1">
      <alignment horizontal="center" vertical="center"/>
      <protection locked="0"/>
    </xf>
    <xf numFmtId="0" fontId="29" fillId="8" borderId="13" xfId="4" applyFont="1" applyFill="1" applyBorder="1" applyAlignment="1" applyProtection="1">
      <alignment horizontal="center" vertical="center"/>
      <protection locked="0"/>
    </xf>
    <xf numFmtId="0" fontId="20" fillId="0" borderId="10" xfId="1" applyFont="1" applyFill="1" applyBorder="1" applyAlignment="1">
      <alignment horizontal="left" vertical="center" wrapText="1"/>
    </xf>
    <xf numFmtId="0" fontId="0" fillId="8" borderId="9" xfId="0" applyFill="1" applyBorder="1" applyAlignment="1">
      <alignment horizontal="left" vertical="center"/>
    </xf>
    <xf numFmtId="0" fontId="46" fillId="8" borderId="2" xfId="4" applyFont="1" applyFill="1" applyBorder="1" applyAlignment="1">
      <alignment horizontal="left" vertical="center" wrapText="1"/>
    </xf>
    <xf numFmtId="0" fontId="35" fillId="8" borderId="12" xfId="4" applyFont="1" applyFill="1" applyBorder="1" applyAlignment="1">
      <alignment horizontal="left" vertical="center"/>
    </xf>
    <xf numFmtId="0" fontId="47" fillId="8" borderId="2" xfId="1" applyNumberFormat="1" applyFont="1" applyFill="1" applyBorder="1" applyAlignment="1" applyProtection="1">
      <alignment vertical="center"/>
    </xf>
    <xf numFmtId="0" fontId="29" fillId="8" borderId="12" xfId="4" applyFont="1" applyFill="1" applyBorder="1" applyAlignment="1" applyProtection="1">
      <alignment horizontal="center" vertical="center"/>
    </xf>
    <xf numFmtId="15" fontId="0" fillId="0" borderId="0" xfId="0" applyNumberFormat="1" applyAlignment="1">
      <alignment horizontal="center" vertical="center"/>
    </xf>
    <xf numFmtId="0" fontId="48" fillId="0" borderId="0" xfId="0" applyFont="1"/>
    <xf numFmtId="0" fontId="30" fillId="10" borderId="2" xfId="1" applyFont="1" applyFill="1" applyBorder="1" applyAlignment="1" applyProtection="1">
      <alignment horizontal="left" vertical="center"/>
      <protection locked="0"/>
    </xf>
    <xf numFmtId="15" fontId="0" fillId="0" borderId="0" xfId="0" applyNumberFormat="1" applyAlignment="1">
      <alignment horizontal="center" vertical="center"/>
    </xf>
    <xf numFmtId="0" fontId="21" fillId="10" borderId="2" xfId="4" applyFont="1" applyFill="1" applyBorder="1" applyAlignment="1" applyProtection="1">
      <alignment horizontal="center" vertical="center"/>
      <protection locked="0"/>
    </xf>
    <xf numFmtId="15" fontId="0" fillId="0" borderId="0" xfId="0" applyNumberFormat="1" applyAlignment="1">
      <alignment horizontal="center" vertical="center"/>
    </xf>
    <xf numFmtId="0" fontId="30" fillId="10" borderId="2" xfId="1" applyFont="1" applyFill="1" applyBorder="1" applyAlignment="1" applyProtection="1">
      <alignment horizontal="left" vertical="center"/>
      <protection locked="0"/>
    </xf>
    <xf numFmtId="0" fontId="30" fillId="10" borderId="2" xfId="1" applyFont="1" applyFill="1" applyBorder="1" applyAlignment="1" applyProtection="1">
      <alignment vertical="center"/>
      <protection locked="0"/>
    </xf>
    <xf numFmtId="15" fontId="0" fillId="0" borderId="0" xfId="0" applyNumberFormat="1" applyAlignment="1">
      <alignment horizontal="center" vertical="center"/>
    </xf>
    <xf numFmtId="0" fontId="21" fillId="8" borderId="9" xfId="4" applyFont="1" applyFill="1" applyBorder="1" applyProtection="1"/>
    <xf numFmtId="0" fontId="21" fillId="8" borderId="11" xfId="4" applyFont="1" applyFill="1" applyBorder="1" applyProtection="1"/>
    <xf numFmtId="0" fontId="30" fillId="10" borderId="12" xfId="1" applyFont="1" applyFill="1" applyBorder="1" applyAlignment="1" applyProtection="1">
      <alignment horizontal="left" vertical="center"/>
      <protection locked="0"/>
    </xf>
    <xf numFmtId="0" fontId="21" fillId="0" borderId="0" xfId="0" applyFont="1" applyBorder="1" applyAlignment="1">
      <alignment vertical="center" wrapText="1"/>
    </xf>
    <xf numFmtId="0" fontId="19" fillId="0" borderId="0" xfId="0" applyFont="1" applyBorder="1" applyAlignment="1">
      <alignment vertical="center" wrapText="1"/>
    </xf>
    <xf numFmtId="0" fontId="33" fillId="9" borderId="30" xfId="4" applyFont="1" applyFill="1" applyBorder="1" applyAlignment="1" applyProtection="1">
      <alignment vertical="center"/>
    </xf>
    <xf numFmtId="0" fontId="20" fillId="2" borderId="31" xfId="1" applyFont="1" applyFill="1" applyBorder="1" applyAlignment="1" applyProtection="1">
      <alignment vertical="center"/>
    </xf>
    <xf numFmtId="0" fontId="21" fillId="10" borderId="32" xfId="4" applyFont="1" applyFill="1" applyBorder="1" applyAlignment="1" applyProtection="1">
      <alignment horizontal="center" vertical="center"/>
      <protection locked="0"/>
    </xf>
    <xf numFmtId="0" fontId="29" fillId="7" borderId="6" xfId="4" applyFont="1" applyFill="1" applyBorder="1" applyAlignment="1" applyProtection="1">
      <alignment horizontal="center" vertical="center"/>
    </xf>
    <xf numFmtId="15" fontId="0" fillId="0" borderId="0" xfId="0" applyNumberFormat="1" applyAlignment="1">
      <alignment horizontal="center" vertical="center"/>
    </xf>
    <xf numFmtId="0" fontId="30" fillId="10" borderId="2" xfId="1" applyFont="1" applyFill="1" applyBorder="1" applyAlignment="1" applyProtection="1">
      <alignment horizontal="left" vertical="center"/>
      <protection locked="0"/>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30" fillId="8" borderId="11" xfId="1" applyFont="1" applyFill="1" applyBorder="1" applyAlignment="1" applyProtection="1">
      <alignment horizontal="left" vertical="center"/>
    </xf>
    <xf numFmtId="15" fontId="0" fillId="0" borderId="0" xfId="0" applyNumberFormat="1" applyAlignment="1">
      <alignment horizontal="center" vertical="center"/>
    </xf>
    <xf numFmtId="0" fontId="30" fillId="10" borderId="2" xfId="1" applyFont="1" applyFill="1" applyBorder="1" applyAlignment="1" applyProtection="1">
      <alignment horizontal="left" vertical="center"/>
      <protection locked="0"/>
    </xf>
    <xf numFmtId="0" fontId="29" fillId="10" borderId="2" xfId="4" applyFont="1" applyFill="1" applyBorder="1" applyAlignment="1" applyProtection="1">
      <alignment horizontal="center" vertical="center"/>
      <protection locked="0"/>
    </xf>
    <xf numFmtId="0" fontId="29" fillId="10" borderId="9" xfId="4" applyFont="1" applyFill="1" applyBorder="1" applyAlignment="1" applyProtection="1">
      <alignment horizontal="center" vertical="center"/>
      <protection locked="0"/>
    </xf>
    <xf numFmtId="0" fontId="29" fillId="10" borderId="10" xfId="4" applyFont="1" applyFill="1" applyBorder="1" applyAlignment="1" applyProtection="1">
      <alignment horizontal="center" vertical="center"/>
      <protection locked="0"/>
    </xf>
    <xf numFmtId="2" fontId="36" fillId="10" borderId="11" xfId="4" applyNumberFormat="1" applyFont="1" applyFill="1" applyBorder="1" applyAlignment="1" applyProtection="1">
      <alignment horizontal="center" vertical="center"/>
      <protection locked="0"/>
    </xf>
    <xf numFmtId="2" fontId="36" fillId="10" borderId="12" xfId="4" applyNumberFormat="1" applyFont="1" applyFill="1" applyBorder="1" applyAlignment="1" applyProtection="1">
      <alignment horizontal="center" vertical="center"/>
      <protection locked="0"/>
    </xf>
    <xf numFmtId="2" fontId="36" fillId="10" borderId="13" xfId="4" applyNumberFormat="1" applyFont="1" applyFill="1" applyBorder="1" applyAlignment="1" applyProtection="1">
      <alignment horizontal="center" vertical="center"/>
      <protection locked="0"/>
    </xf>
    <xf numFmtId="15" fontId="0" fillId="0" borderId="0" xfId="0" applyNumberFormat="1" applyAlignment="1">
      <alignment horizontal="center" vertical="center"/>
    </xf>
    <xf numFmtId="0" fontId="21" fillId="8" borderId="14" xfId="0" applyFont="1" applyFill="1" applyBorder="1" applyAlignment="1">
      <alignment horizontal="left" vertical="center" wrapText="1"/>
    </xf>
    <xf numFmtId="0" fontId="50" fillId="8" borderId="15" xfId="0" applyFont="1" applyFill="1" applyBorder="1" applyAlignment="1">
      <alignment horizontal="left" vertical="center" wrapText="1"/>
    </xf>
    <xf numFmtId="0" fontId="50" fillId="8" borderId="16" xfId="0" applyFont="1" applyFill="1" applyBorder="1" applyAlignment="1">
      <alignment horizontal="left" vertical="center" wrapText="1"/>
    </xf>
    <xf numFmtId="0" fontId="21" fillId="10" borderId="22" xfId="0" applyFont="1" applyFill="1" applyBorder="1" applyAlignment="1" applyProtection="1">
      <alignment horizontal="center" vertical="center"/>
      <protection locked="0"/>
    </xf>
    <xf numFmtId="0" fontId="21" fillId="0" borderId="26"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29" fillId="13" borderId="3" xfId="0" applyFont="1" applyFill="1" applyBorder="1" applyAlignment="1">
      <alignment vertical="center"/>
    </xf>
    <xf numFmtId="0" fontId="21" fillId="13" borderId="4" xfId="0" applyFont="1" applyFill="1" applyBorder="1" applyAlignment="1">
      <alignment vertical="center"/>
    </xf>
    <xf numFmtId="0" fontId="21" fillId="13" borderId="5" xfId="0" applyFont="1" applyFill="1" applyBorder="1" applyAlignment="1">
      <alignment vertical="center"/>
    </xf>
    <xf numFmtId="0" fontId="23" fillId="13" borderId="0" xfId="0" applyFont="1" applyFill="1" applyAlignment="1">
      <alignment horizontal="left" vertical="center" wrapText="1"/>
    </xf>
    <xf numFmtId="0" fontId="23" fillId="0" borderId="0" xfId="0" applyFont="1" applyAlignment="1">
      <alignment horizontal="left" vertical="center" wrapText="1"/>
    </xf>
    <xf numFmtId="0" fontId="29" fillId="13" borderId="0" xfId="0" applyFont="1" applyFill="1" applyAlignment="1">
      <alignment horizontal="center" vertical="center"/>
    </xf>
    <xf numFmtId="0" fontId="21" fillId="13" borderId="0" xfId="0" applyFont="1" applyFill="1" applyAlignment="1">
      <alignment horizontal="center" vertical="center"/>
    </xf>
    <xf numFmtId="0" fontId="21" fillId="13" borderId="0" xfId="0" applyFont="1" applyFill="1" applyAlignment="1">
      <alignment vertical="center"/>
    </xf>
    <xf numFmtId="0" fontId="21" fillId="11" borderId="17" xfId="0" applyFont="1" applyFill="1" applyBorder="1" applyAlignment="1">
      <alignment horizontal="right" vertical="center"/>
    </xf>
    <xf numFmtId="0" fontId="21" fillId="11" borderId="0" xfId="0" applyFont="1" applyFill="1" applyAlignment="1">
      <alignment vertical="center"/>
    </xf>
    <xf numFmtId="0" fontId="21" fillId="11" borderId="20" xfId="0" applyFont="1" applyFill="1" applyBorder="1" applyAlignment="1">
      <alignment horizontal="right" vertical="center"/>
    </xf>
    <xf numFmtId="0" fontId="21" fillId="11" borderId="18" xfId="0" applyFont="1" applyFill="1" applyBorder="1" applyAlignment="1">
      <alignment vertical="center"/>
    </xf>
    <xf numFmtId="0" fontId="31" fillId="8" borderId="14" xfId="3" applyFont="1" applyFill="1" applyBorder="1" applyAlignment="1" applyProtection="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38" fillId="12" borderId="9" xfId="1" applyFont="1" applyFill="1" applyBorder="1" applyAlignment="1">
      <alignment horizontal="left" vertical="center" wrapText="1"/>
    </xf>
    <xf numFmtId="0" fontId="34" fillId="12" borderId="2" xfId="0" applyFont="1" applyFill="1" applyBorder="1" applyAlignment="1">
      <alignment horizontal="left" vertical="center" wrapText="1"/>
    </xf>
    <xf numFmtId="0" fontId="34" fillId="12" borderId="10" xfId="0" applyFont="1" applyFill="1" applyBorder="1" applyAlignment="1">
      <alignment horizontal="left" vertical="center" wrapText="1"/>
    </xf>
    <xf numFmtId="0" fontId="29" fillId="7" borderId="7" xfId="4" applyFont="1" applyFill="1" applyBorder="1" applyAlignment="1" applyProtection="1">
      <alignment horizontal="center" vertical="center"/>
    </xf>
    <xf numFmtId="0" fontId="0" fillId="0" borderId="8" xfId="0" applyBorder="1" applyAlignment="1" applyProtection="1"/>
    <xf numFmtId="0" fontId="0" fillId="0" borderId="7" xfId="0" applyBorder="1" applyAlignment="1" applyProtection="1"/>
    <xf numFmtId="0" fontId="21" fillId="10" borderId="12" xfId="4" applyFont="1"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42" fillId="8" borderId="14" xfId="3" applyFont="1" applyFill="1" applyBorder="1" applyAlignment="1" applyProtection="1">
      <alignment vertical="center" wrapText="1"/>
    </xf>
    <xf numFmtId="0" fontId="19" fillId="0" borderId="15" xfId="0" applyFont="1" applyBorder="1" applyAlignment="1"/>
    <xf numFmtId="0" fontId="19" fillId="0" borderId="16" xfId="0" applyFont="1" applyBorder="1" applyAlignment="1"/>
    <xf numFmtId="0" fontId="51" fillId="9" borderId="6" xfId="4" applyFont="1" applyFill="1" applyBorder="1" applyAlignment="1">
      <alignment horizontal="center" vertical="center"/>
    </xf>
    <xf numFmtId="0" fontId="34" fillId="0" borderId="7" xfId="0" applyFont="1" applyBorder="1" applyAlignment="1">
      <alignment horizontal="center" vertical="center"/>
    </xf>
    <xf numFmtId="0" fontId="34" fillId="0" borderId="8"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7" fillId="8" borderId="28" xfId="4" applyFont="1" applyFill="1" applyBorder="1" applyAlignment="1">
      <alignment horizontal="left" vertical="center"/>
    </xf>
    <xf numFmtId="0" fontId="37" fillId="8" borderId="29" xfId="4" applyFont="1" applyFill="1" applyBorder="1" applyAlignment="1">
      <alignment horizontal="left" vertical="center"/>
    </xf>
    <xf numFmtId="0" fontId="21" fillId="10" borderId="2" xfId="4" applyFont="1" applyFill="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1" fillId="10" borderId="35" xfId="4" applyFont="1" applyFill="1" applyBorder="1" applyAlignment="1" applyProtection="1">
      <alignment horizontal="left"/>
      <protection locked="0"/>
    </xf>
    <xf numFmtId="0" fontId="21" fillId="10" borderId="25" xfId="4" applyFont="1" applyFill="1" applyBorder="1" applyAlignment="1" applyProtection="1">
      <alignment horizontal="left"/>
      <protection locked="0"/>
    </xf>
    <xf numFmtId="0" fontId="51" fillId="9" borderId="6" xfId="4" applyFont="1" applyFill="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21" fillId="10" borderId="33" xfId="4" applyFont="1" applyFill="1" applyBorder="1" applyAlignment="1" applyProtection="1">
      <alignment horizontal="left"/>
      <protection locked="0"/>
    </xf>
    <xf numFmtId="0" fontId="21" fillId="10" borderId="36" xfId="4" applyFont="1" applyFill="1" applyBorder="1" applyAlignment="1" applyProtection="1">
      <alignment horizontal="left"/>
      <protection locked="0"/>
    </xf>
    <xf numFmtId="0" fontId="21" fillId="10" borderId="2" xfId="4" applyFont="1" applyFill="1" applyBorder="1" applyAlignment="1" applyProtection="1">
      <alignment horizontal="left"/>
      <protection locked="0"/>
    </xf>
    <xf numFmtId="0" fontId="0" fillId="10" borderId="2" xfId="0" applyFill="1" applyBorder="1" applyAlignment="1" applyProtection="1">
      <alignment horizontal="left"/>
      <protection locked="0"/>
    </xf>
    <xf numFmtId="0" fontId="0" fillId="10" borderId="10" xfId="0" applyFill="1" applyBorder="1" applyAlignment="1" applyProtection="1">
      <alignment horizontal="left"/>
      <protection locked="0"/>
    </xf>
    <xf numFmtId="0" fontId="21" fillId="10" borderId="23" xfId="4" applyFont="1" applyFill="1" applyBorder="1" applyAlignment="1" applyProtection="1">
      <alignment horizontal="left"/>
      <protection locked="0"/>
    </xf>
    <xf numFmtId="0" fontId="21" fillId="10" borderId="34" xfId="4" applyFont="1" applyFill="1" applyBorder="1" applyAlignment="1" applyProtection="1">
      <alignment horizontal="left"/>
      <protection locked="0"/>
    </xf>
    <xf numFmtId="49" fontId="30" fillId="10" borderId="2" xfId="1" applyNumberFormat="1" applyFont="1" applyFill="1" applyBorder="1" applyAlignment="1" applyProtection="1">
      <alignment vertical="center"/>
      <protection locked="0"/>
    </xf>
    <xf numFmtId="49" fontId="21" fillId="10" borderId="2" xfId="0" applyNumberFormat="1" applyFont="1" applyFill="1" applyBorder="1" applyAlignment="1" applyProtection="1">
      <alignment vertical="center"/>
      <protection locked="0"/>
    </xf>
    <xf numFmtId="0" fontId="30" fillId="10" borderId="2" xfId="1" applyFont="1" applyFill="1" applyBorder="1" applyAlignment="1" applyProtection="1">
      <alignment vertical="center"/>
      <protection locked="0"/>
    </xf>
    <xf numFmtId="0" fontId="21" fillId="10" borderId="2" xfId="0" applyFont="1" applyFill="1" applyBorder="1" applyAlignment="1" applyProtection="1">
      <alignment vertical="center"/>
      <protection locked="0"/>
    </xf>
    <xf numFmtId="0" fontId="33" fillId="9" borderId="2" xfId="1" applyFont="1" applyFill="1" applyBorder="1" applyAlignment="1">
      <alignment horizontal="center" vertical="center"/>
    </xf>
    <xf numFmtId="0" fontId="21" fillId="0" borderId="2" xfId="0" applyFont="1" applyBorder="1" applyAlignment="1">
      <alignment horizontal="center" vertical="center"/>
    </xf>
    <xf numFmtId="0" fontId="36" fillId="10" borderId="2" xfId="0" applyFont="1" applyFill="1" applyBorder="1" applyAlignment="1" applyProtection="1">
      <alignment vertical="center"/>
      <protection locked="0"/>
    </xf>
    <xf numFmtId="0" fontId="31" fillId="8" borderId="14" xfId="3" applyFont="1" applyFill="1" applyBorder="1" applyAlignment="1" applyProtection="1">
      <alignment vertical="center" wrapText="1"/>
    </xf>
    <xf numFmtId="0" fontId="21" fillId="8" borderId="15" xfId="0" applyFont="1" applyFill="1" applyBorder="1" applyAlignment="1">
      <alignment vertical="center" wrapText="1"/>
    </xf>
    <xf numFmtId="0" fontId="21" fillId="0" borderId="15" xfId="0" applyFont="1" applyBorder="1" applyAlignment="1"/>
    <xf numFmtId="0" fontId="21" fillId="0" borderId="16" xfId="0" applyFont="1" applyBorder="1" applyAlignment="1"/>
    <xf numFmtId="0" fontId="33" fillId="9" borderId="24" xfId="1" applyFont="1" applyFill="1" applyBorder="1" applyAlignment="1">
      <alignment horizontal="center" vertical="center"/>
    </xf>
    <xf numFmtId="0" fontId="21" fillId="0" borderId="0" xfId="0" applyFont="1" applyAlignment="1">
      <alignment vertical="center"/>
    </xf>
    <xf numFmtId="0" fontId="30" fillId="10" borderId="2" xfId="1" applyFont="1" applyFill="1" applyBorder="1" applyAlignment="1" applyProtection="1">
      <alignment horizontal="left" vertical="center"/>
      <protection locked="0"/>
    </xf>
    <xf numFmtId="0" fontId="21" fillId="0" borderId="2" xfId="0" applyFont="1" applyBorder="1" applyAlignment="1" applyProtection="1">
      <alignment horizontal="left" vertical="center"/>
      <protection locked="0"/>
    </xf>
    <xf numFmtId="0" fontId="21" fillId="0" borderId="2" xfId="0" applyFont="1" applyBorder="1" applyAlignment="1" applyProtection="1">
      <alignment vertical="center"/>
      <protection locked="0"/>
    </xf>
    <xf numFmtId="0" fontId="30" fillId="8" borderId="2" xfId="1" applyFont="1" applyFill="1" applyBorder="1" applyAlignment="1" applyProtection="1">
      <alignment vertical="center"/>
    </xf>
    <xf numFmtId="0" fontId="21" fillId="8" borderId="2" xfId="0" applyFont="1" applyFill="1" applyBorder="1" applyAlignment="1" applyProtection="1">
      <alignment vertical="center"/>
    </xf>
    <xf numFmtId="0" fontId="21" fillId="0" borderId="2" xfId="0" applyFont="1" applyBorder="1" applyAlignment="1">
      <alignment vertical="center"/>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12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patternType="none">
          <bgColor auto="1"/>
        </patternFill>
      </fill>
    </dxf>
    <dxf>
      <font>
        <b/>
        <i val="0"/>
        <color rgb="FFFF0000"/>
      </font>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numFmt numFmtId="20" formatCode="d\-mmm\-yy"/>
      <alignment horizontal="center" vertical="center" textRotation="0" wrapText="0"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5"/>
        <color theme="0"/>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8"/>
        <color theme="1"/>
        <name val="Metropolis"/>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FFFFE5"/>
      <color rgb="FFFFFFCC"/>
      <color rgb="FF0000D4"/>
      <color rgb="FF004AFF"/>
      <color rgb="FF043DFF"/>
      <color rgb="FFFF6600"/>
      <color rgb="FFFFCCFF"/>
      <color rgb="FF00FFCC"/>
      <color rgb="FFFEB850"/>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9408</xdr:colOff>
      <xdr:row>0</xdr:row>
      <xdr:rowOff>600075</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78716"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2104555</xdr:colOff>
      <xdr:row>0</xdr:row>
      <xdr:rowOff>152635</xdr:rowOff>
    </xdr:from>
    <xdr:to>
      <xdr:col>4</xdr:col>
      <xdr:colOff>3518371</xdr:colOff>
      <xdr:row>0</xdr:row>
      <xdr:rowOff>469396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217518" y="152635"/>
          <a:ext cx="1413816" cy="316761"/>
        </a:xfrm>
        <a:prstGeom prst="rect">
          <a:avLst/>
        </a:prstGeom>
      </xdr:spPr>
    </xdr:pic>
    <xdr:clientData/>
  </xdr:twoCellAnchor>
  <xdr:oneCellAnchor>
    <xdr:from>
      <xdr:col>1</xdr:col>
      <xdr:colOff>57150</xdr:colOff>
      <xdr:row>0</xdr:row>
      <xdr:rowOff>94662</xdr:rowOff>
    </xdr:from>
    <xdr:ext cx="7240465" cy="451406"/>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7150" y="94662"/>
          <a:ext cx="724046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FFFF"/>
              </a:solidFill>
              <a:latin typeface="Metropolis" pitchFamily="2" charset="77"/>
            </a:rPr>
            <a:t>Cloud Foundation Prerequisite Checklist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2657229</xdr:colOff>
      <xdr:row>0</xdr:row>
      <xdr:rowOff>604408</xdr:rowOff>
    </xdr:to>
    <xdr:pic>
      <xdr:nvPicPr>
        <xdr:cNvPr id="2" name="Picture 4">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98614" cy="604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0</xdr:row>
      <xdr:rowOff>84667</xdr:rowOff>
    </xdr:from>
    <xdr:ext cx="4411464" cy="451406"/>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84667"/>
          <a:ext cx="4411464"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Management Workloads</a:t>
          </a:r>
        </a:p>
      </xdr:txBody>
    </xdr:sp>
    <xdr:clientData/>
  </xdr:oneCellAnchor>
  <xdr:twoCellAnchor editAs="oneCell">
    <xdr:from>
      <xdr:col>10</xdr:col>
      <xdr:colOff>971496</xdr:colOff>
      <xdr:row>0</xdr:row>
      <xdr:rowOff>151243</xdr:rowOff>
    </xdr:from>
    <xdr:to>
      <xdr:col>11</xdr:col>
      <xdr:colOff>1002424</xdr:colOff>
      <xdr:row>0</xdr:row>
      <xdr:rowOff>468004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2235419" y="151243"/>
          <a:ext cx="1418159"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5</xdr:col>
      <xdr:colOff>0</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3207999" cy="603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3269293"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326929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Users and Groups</a:t>
          </a:r>
        </a:p>
      </xdr:txBody>
    </xdr:sp>
    <xdr:clientData/>
  </xdr:oneCellAnchor>
  <xdr:twoCellAnchor editAs="oneCell">
    <xdr:from>
      <xdr:col>4</xdr:col>
      <xdr:colOff>2596445</xdr:colOff>
      <xdr:row>0</xdr:row>
      <xdr:rowOff>151342</xdr:rowOff>
    </xdr:from>
    <xdr:to>
      <xdr:col>4</xdr:col>
      <xdr:colOff>4082816</xdr:colOff>
      <xdr:row>0</xdr:row>
      <xdr:rowOff>468103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1580519" y="151342"/>
          <a:ext cx="1486371"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11</xdr:col>
      <xdr:colOff>0</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208250" cy="609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126023</xdr:colOff>
      <xdr:row>0</xdr:row>
      <xdr:rowOff>67408</xdr:rowOff>
    </xdr:from>
    <xdr:ext cx="3674660"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6023" y="67408"/>
          <a:ext cx="367466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Hosts and Networks</a:t>
          </a:r>
        </a:p>
      </xdr:txBody>
    </xdr:sp>
    <xdr:clientData/>
  </xdr:oneCellAnchor>
  <xdr:twoCellAnchor editAs="oneCell">
    <xdr:from>
      <xdr:col>9</xdr:col>
      <xdr:colOff>1120396</xdr:colOff>
      <xdr:row>0</xdr:row>
      <xdr:rowOff>149225</xdr:rowOff>
    </xdr:from>
    <xdr:to>
      <xdr:col>10</xdr:col>
      <xdr:colOff>634621</xdr:colOff>
      <xdr:row>0</xdr:row>
      <xdr:rowOff>465986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2309096" y="149225"/>
          <a:ext cx="1616075" cy="3167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10</xdr:col>
      <xdr:colOff>1309076</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806614" cy="615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438626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438626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Parameters</a:t>
          </a:r>
          <a:endParaRPr lang="en-US" sz="2800">
            <a:solidFill>
              <a:srgbClr val="FFFFFF"/>
            </a:solidFill>
            <a:latin typeface="Metropolis" pitchFamily="2" charset="77"/>
          </a:endParaRPr>
        </a:p>
      </xdr:txBody>
    </xdr:sp>
    <xdr:clientData/>
  </xdr:oneCellAnchor>
  <xdr:twoCellAnchor editAs="oneCell">
    <xdr:from>
      <xdr:col>8</xdr:col>
      <xdr:colOff>2490611</xdr:colOff>
      <xdr:row>0</xdr:row>
      <xdr:rowOff>168858</xdr:rowOff>
    </xdr:from>
    <xdr:to>
      <xdr:col>9</xdr:col>
      <xdr:colOff>874888</xdr:colOff>
      <xdr:row>0</xdr:row>
      <xdr:rowOff>488898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1982685" y="168858"/>
          <a:ext cx="1535759" cy="3200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5:E12" totalsRowShown="0" headerRowDxfId="127" dataDxfId="126">
  <autoFilter ref="B5:E12" xr:uid="{00000000-0009-0000-0100-000005000000}"/>
  <tableColumns count="4">
    <tableColumn id="1" xr3:uid="{00000000-0010-0000-0000-000001000000}" name="Component" dataDxfId="125"/>
    <tableColumn id="2" xr3:uid="{00000000-0010-0000-0000-000002000000}" name="Status" dataDxfId="124"/>
    <tableColumn id="3" xr3:uid="{00000000-0010-0000-0000-000003000000}" name="Customer Comment" dataDxfId="123"/>
    <tableColumn id="4" xr3:uid="{00000000-0010-0000-0000-000004000000}" name="Notes" dataDxfId="12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37" totalsRowShown="0">
  <autoFilter ref="A1:B37" xr:uid="{00000000-0009-0000-0100-000003000000}"/>
  <tableColumns count="2">
    <tableColumn id="1" xr3:uid="{00000000-0010-0000-0100-000001000000}" name="Date" dataDxfId="121"/>
    <tableColumn id="2" xr3:uid="{00000000-0010-0000-0100-000002000000}" name="Description" dataDxfId="12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vm-kernel-adapter-management-name@value=vmk0" TargetMode="External"/><Relationship Id="rId7" Type="http://schemas.openxmlformats.org/officeDocument/2006/relationships/hyperlink" Target="mailto:vds-mtu@mtu" TargetMode="External"/><Relationship Id="rId2" Type="http://schemas.openxmlformats.org/officeDocument/2006/relationships/hyperlink" Target="mailto:physical-nic-dedicated-to-dvs@value=vmnic1" TargetMode="External"/><Relationship Id="rId1" Type="http://schemas.openxmlformats.org/officeDocument/2006/relationships/hyperlink" Target="mailto:management-vsan-datastore-name@value=" TargetMode="External"/><Relationship Id="rId6" Type="http://schemas.openxmlformats.org/officeDocument/2006/relationships/hyperlink" Target="mailto:vds-mtu@mtu" TargetMode="External"/><Relationship Id="rId5" Type="http://schemas.openxmlformats.org/officeDocument/2006/relationships/hyperlink" Target="mailto:sso-site-name@value=" TargetMode="External"/><Relationship Id="rId4" Type="http://schemas.openxmlformats.org/officeDocument/2006/relationships/hyperlink" Target="mailto:vds-management-initial-configuration@dvSwitchName%22"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608"/>
  <sheetViews>
    <sheetView zoomScale="130" zoomScaleNormal="130" zoomScalePageLayoutView="118" workbookViewId="0">
      <pane ySplit="5" topLeftCell="A6" activePane="bottomLeft" state="frozen"/>
      <selection pane="bottomLeft" activeCell="B16" sqref="B16"/>
    </sheetView>
  </sheetViews>
  <sheetFormatPr baseColWidth="10" defaultColWidth="11.5" defaultRowHeight="14"/>
  <cols>
    <col min="1" max="1" width="1.1640625" style="24" customWidth="1"/>
    <col min="2" max="2" width="79.83203125" style="24" customWidth="1"/>
    <col min="3" max="3" width="13" style="23" customWidth="1"/>
    <col min="4" max="4" width="48.6640625" style="24" customWidth="1"/>
    <col min="5" max="5" width="58.83203125" style="24" customWidth="1"/>
    <col min="6" max="6" width="20.6640625" style="34" customWidth="1"/>
    <col min="7" max="14" width="11.5" style="34"/>
    <col min="15" max="255" width="11.5" style="24"/>
    <col min="256" max="256" width="83.6640625" style="24" customWidth="1"/>
    <col min="257" max="257" width="10.6640625" style="24" customWidth="1"/>
    <col min="258" max="258" width="50.6640625" style="24" customWidth="1"/>
    <col min="259" max="259" width="30.6640625" style="24" customWidth="1"/>
    <col min="260" max="261" width="10.6640625" style="24" customWidth="1"/>
    <col min="262" max="262" width="20.6640625" style="24" customWidth="1"/>
    <col min="263" max="511" width="11.5" style="24"/>
    <col min="512" max="512" width="83.6640625" style="24" customWidth="1"/>
    <col min="513" max="513" width="10.6640625" style="24" customWidth="1"/>
    <col min="514" max="514" width="50.6640625" style="24" customWidth="1"/>
    <col min="515" max="515" width="30.6640625" style="24" customWidth="1"/>
    <col min="516" max="517" width="10.6640625" style="24" customWidth="1"/>
    <col min="518" max="518" width="20.6640625" style="24" customWidth="1"/>
    <col min="519" max="767" width="11.5" style="24"/>
    <col min="768" max="768" width="83.6640625" style="24" customWidth="1"/>
    <col min="769" max="769" width="10.6640625" style="24" customWidth="1"/>
    <col min="770" max="770" width="50.6640625" style="24" customWidth="1"/>
    <col min="771" max="771" width="30.6640625" style="24" customWidth="1"/>
    <col min="772" max="773" width="10.6640625" style="24" customWidth="1"/>
    <col min="774" max="774" width="20.6640625" style="24" customWidth="1"/>
    <col min="775" max="1023" width="11.5" style="24"/>
    <col min="1024" max="1024" width="83.6640625" style="24" customWidth="1"/>
    <col min="1025" max="1025" width="10.6640625" style="24" customWidth="1"/>
    <col min="1026" max="1026" width="50.6640625" style="24" customWidth="1"/>
    <col min="1027" max="1027" width="30.6640625" style="24" customWidth="1"/>
    <col min="1028" max="1029" width="10.6640625" style="24" customWidth="1"/>
    <col min="1030" max="1030" width="20.6640625" style="24" customWidth="1"/>
    <col min="1031" max="1279" width="11.5" style="24"/>
    <col min="1280" max="1280" width="83.6640625" style="24" customWidth="1"/>
    <col min="1281" max="1281" width="10.6640625" style="24" customWidth="1"/>
    <col min="1282" max="1282" width="50.6640625" style="24" customWidth="1"/>
    <col min="1283" max="1283" width="30.6640625" style="24" customWidth="1"/>
    <col min="1284" max="1285" width="10.6640625" style="24" customWidth="1"/>
    <col min="1286" max="1286" width="20.6640625" style="24" customWidth="1"/>
    <col min="1287" max="1535" width="11.5" style="24"/>
    <col min="1536" max="1536" width="83.6640625" style="24" customWidth="1"/>
    <col min="1537" max="1537" width="10.6640625" style="24" customWidth="1"/>
    <col min="1538" max="1538" width="50.6640625" style="24" customWidth="1"/>
    <col min="1539" max="1539" width="30.6640625" style="24" customWidth="1"/>
    <col min="1540" max="1541" width="10.6640625" style="24" customWidth="1"/>
    <col min="1542" max="1542" width="20.6640625" style="24" customWidth="1"/>
    <col min="1543" max="1791" width="11.5" style="24"/>
    <col min="1792" max="1792" width="83.6640625" style="24" customWidth="1"/>
    <col min="1793" max="1793" width="10.6640625" style="24" customWidth="1"/>
    <col min="1794" max="1794" width="50.6640625" style="24" customWidth="1"/>
    <col min="1795" max="1795" width="30.6640625" style="24" customWidth="1"/>
    <col min="1796" max="1797" width="10.6640625" style="24" customWidth="1"/>
    <col min="1798" max="1798" width="20.6640625" style="24" customWidth="1"/>
    <col min="1799" max="2047" width="11.5" style="24"/>
    <col min="2048" max="2048" width="83.6640625" style="24" customWidth="1"/>
    <col min="2049" max="2049" width="10.6640625" style="24" customWidth="1"/>
    <col min="2050" max="2050" width="50.6640625" style="24" customWidth="1"/>
    <col min="2051" max="2051" width="30.6640625" style="24" customWidth="1"/>
    <col min="2052" max="2053" width="10.6640625" style="24" customWidth="1"/>
    <col min="2054" max="2054" width="20.6640625" style="24" customWidth="1"/>
    <col min="2055" max="2303" width="11.5" style="24"/>
    <col min="2304" max="2304" width="83.6640625" style="24" customWidth="1"/>
    <col min="2305" max="2305" width="10.6640625" style="24" customWidth="1"/>
    <col min="2306" max="2306" width="50.6640625" style="24" customWidth="1"/>
    <col min="2307" max="2307" width="30.6640625" style="24" customWidth="1"/>
    <col min="2308" max="2309" width="10.6640625" style="24" customWidth="1"/>
    <col min="2310" max="2310" width="20.6640625" style="24" customWidth="1"/>
    <col min="2311" max="2559" width="11.5" style="24"/>
    <col min="2560" max="2560" width="83.6640625" style="24" customWidth="1"/>
    <col min="2561" max="2561" width="10.6640625" style="24" customWidth="1"/>
    <col min="2562" max="2562" width="50.6640625" style="24" customWidth="1"/>
    <col min="2563" max="2563" width="30.6640625" style="24" customWidth="1"/>
    <col min="2564" max="2565" width="10.6640625" style="24" customWidth="1"/>
    <col min="2566" max="2566" width="20.6640625" style="24" customWidth="1"/>
    <col min="2567" max="2815" width="11.5" style="24"/>
    <col min="2816" max="2816" width="83.6640625" style="24" customWidth="1"/>
    <col min="2817" max="2817" width="10.6640625" style="24" customWidth="1"/>
    <col min="2818" max="2818" width="50.6640625" style="24" customWidth="1"/>
    <col min="2819" max="2819" width="30.6640625" style="24" customWidth="1"/>
    <col min="2820" max="2821" width="10.6640625" style="24" customWidth="1"/>
    <col min="2822" max="2822" width="20.6640625" style="24" customWidth="1"/>
    <col min="2823" max="3071" width="11.5" style="24"/>
    <col min="3072" max="3072" width="83.6640625" style="24" customWidth="1"/>
    <col min="3073" max="3073" width="10.6640625" style="24" customWidth="1"/>
    <col min="3074" max="3074" width="50.6640625" style="24" customWidth="1"/>
    <col min="3075" max="3075" width="30.6640625" style="24" customWidth="1"/>
    <col min="3076" max="3077" width="10.6640625" style="24" customWidth="1"/>
    <col min="3078" max="3078" width="20.6640625" style="24" customWidth="1"/>
    <col min="3079" max="3327" width="11.5" style="24"/>
    <col min="3328" max="3328" width="83.6640625" style="24" customWidth="1"/>
    <col min="3329" max="3329" width="10.6640625" style="24" customWidth="1"/>
    <col min="3330" max="3330" width="50.6640625" style="24" customWidth="1"/>
    <col min="3331" max="3331" width="30.6640625" style="24" customWidth="1"/>
    <col min="3332" max="3333" width="10.6640625" style="24" customWidth="1"/>
    <col min="3334" max="3334" width="20.6640625" style="24" customWidth="1"/>
    <col min="3335" max="3583" width="11.5" style="24"/>
    <col min="3584" max="3584" width="83.6640625" style="24" customWidth="1"/>
    <col min="3585" max="3585" width="10.6640625" style="24" customWidth="1"/>
    <col min="3586" max="3586" width="50.6640625" style="24" customWidth="1"/>
    <col min="3587" max="3587" width="30.6640625" style="24" customWidth="1"/>
    <col min="3588" max="3589" width="10.6640625" style="24" customWidth="1"/>
    <col min="3590" max="3590" width="20.6640625" style="24" customWidth="1"/>
    <col min="3591" max="3839" width="11.5" style="24"/>
    <col min="3840" max="3840" width="83.6640625" style="24" customWidth="1"/>
    <col min="3841" max="3841" width="10.6640625" style="24" customWidth="1"/>
    <col min="3842" max="3842" width="50.6640625" style="24" customWidth="1"/>
    <col min="3843" max="3843" width="30.6640625" style="24" customWidth="1"/>
    <col min="3844" max="3845" width="10.6640625" style="24" customWidth="1"/>
    <col min="3846" max="3846" width="20.6640625" style="24" customWidth="1"/>
    <col min="3847" max="4095" width="11.5" style="24"/>
    <col min="4096" max="4096" width="83.6640625" style="24" customWidth="1"/>
    <col min="4097" max="4097" width="10.6640625" style="24" customWidth="1"/>
    <col min="4098" max="4098" width="50.6640625" style="24" customWidth="1"/>
    <col min="4099" max="4099" width="30.6640625" style="24" customWidth="1"/>
    <col min="4100" max="4101" width="10.6640625" style="24" customWidth="1"/>
    <col min="4102" max="4102" width="20.6640625" style="24" customWidth="1"/>
    <col min="4103" max="4351" width="11.5" style="24"/>
    <col min="4352" max="4352" width="83.6640625" style="24" customWidth="1"/>
    <col min="4353" max="4353" width="10.6640625" style="24" customWidth="1"/>
    <col min="4354" max="4354" width="50.6640625" style="24" customWidth="1"/>
    <col min="4355" max="4355" width="30.6640625" style="24" customWidth="1"/>
    <col min="4356" max="4357" width="10.6640625" style="24" customWidth="1"/>
    <col min="4358" max="4358" width="20.6640625" style="24" customWidth="1"/>
    <col min="4359" max="4607" width="11.5" style="24"/>
    <col min="4608" max="4608" width="83.6640625" style="24" customWidth="1"/>
    <col min="4609" max="4609" width="10.6640625" style="24" customWidth="1"/>
    <col min="4610" max="4610" width="50.6640625" style="24" customWidth="1"/>
    <col min="4611" max="4611" width="30.6640625" style="24" customWidth="1"/>
    <col min="4612" max="4613" width="10.6640625" style="24" customWidth="1"/>
    <col min="4614" max="4614" width="20.6640625" style="24" customWidth="1"/>
    <col min="4615" max="4863" width="11.5" style="24"/>
    <col min="4864" max="4864" width="83.6640625" style="24" customWidth="1"/>
    <col min="4865" max="4865" width="10.6640625" style="24" customWidth="1"/>
    <col min="4866" max="4866" width="50.6640625" style="24" customWidth="1"/>
    <col min="4867" max="4867" width="30.6640625" style="24" customWidth="1"/>
    <col min="4868" max="4869" width="10.6640625" style="24" customWidth="1"/>
    <col min="4870" max="4870" width="20.6640625" style="24" customWidth="1"/>
    <col min="4871" max="5119" width="11.5" style="24"/>
    <col min="5120" max="5120" width="83.6640625" style="24" customWidth="1"/>
    <col min="5121" max="5121" width="10.6640625" style="24" customWidth="1"/>
    <col min="5122" max="5122" width="50.6640625" style="24" customWidth="1"/>
    <col min="5123" max="5123" width="30.6640625" style="24" customWidth="1"/>
    <col min="5124" max="5125" width="10.6640625" style="24" customWidth="1"/>
    <col min="5126" max="5126" width="20.6640625" style="24" customWidth="1"/>
    <col min="5127" max="5375" width="11.5" style="24"/>
    <col min="5376" max="5376" width="83.6640625" style="24" customWidth="1"/>
    <col min="5377" max="5377" width="10.6640625" style="24" customWidth="1"/>
    <col min="5378" max="5378" width="50.6640625" style="24" customWidth="1"/>
    <col min="5379" max="5379" width="30.6640625" style="24" customWidth="1"/>
    <col min="5380" max="5381" width="10.6640625" style="24" customWidth="1"/>
    <col min="5382" max="5382" width="20.6640625" style="24" customWidth="1"/>
    <col min="5383" max="5631" width="11.5" style="24"/>
    <col min="5632" max="5632" width="83.6640625" style="24" customWidth="1"/>
    <col min="5633" max="5633" width="10.6640625" style="24" customWidth="1"/>
    <col min="5634" max="5634" width="50.6640625" style="24" customWidth="1"/>
    <col min="5635" max="5635" width="30.6640625" style="24" customWidth="1"/>
    <col min="5636" max="5637" width="10.6640625" style="24" customWidth="1"/>
    <col min="5638" max="5638" width="20.6640625" style="24" customWidth="1"/>
    <col min="5639" max="5887" width="11.5" style="24"/>
    <col min="5888" max="5888" width="83.6640625" style="24" customWidth="1"/>
    <col min="5889" max="5889" width="10.6640625" style="24" customWidth="1"/>
    <col min="5890" max="5890" width="50.6640625" style="24" customWidth="1"/>
    <col min="5891" max="5891" width="30.6640625" style="24" customWidth="1"/>
    <col min="5892" max="5893" width="10.6640625" style="24" customWidth="1"/>
    <col min="5894" max="5894" width="20.6640625" style="24" customWidth="1"/>
    <col min="5895" max="6143" width="11.5" style="24"/>
    <col min="6144" max="6144" width="83.6640625" style="24" customWidth="1"/>
    <col min="6145" max="6145" width="10.6640625" style="24" customWidth="1"/>
    <col min="6146" max="6146" width="50.6640625" style="24" customWidth="1"/>
    <col min="6147" max="6147" width="30.6640625" style="24" customWidth="1"/>
    <col min="6148" max="6149" width="10.6640625" style="24" customWidth="1"/>
    <col min="6150" max="6150" width="20.6640625" style="24" customWidth="1"/>
    <col min="6151" max="6399" width="11.5" style="24"/>
    <col min="6400" max="6400" width="83.6640625" style="24" customWidth="1"/>
    <col min="6401" max="6401" width="10.6640625" style="24" customWidth="1"/>
    <col min="6402" max="6402" width="50.6640625" style="24" customWidth="1"/>
    <col min="6403" max="6403" width="30.6640625" style="24" customWidth="1"/>
    <col min="6404" max="6405" width="10.6640625" style="24" customWidth="1"/>
    <col min="6406" max="6406" width="20.6640625" style="24" customWidth="1"/>
    <col min="6407" max="6655" width="11.5" style="24"/>
    <col min="6656" max="6656" width="83.6640625" style="24" customWidth="1"/>
    <col min="6657" max="6657" width="10.6640625" style="24" customWidth="1"/>
    <col min="6658" max="6658" width="50.6640625" style="24" customWidth="1"/>
    <col min="6659" max="6659" width="30.6640625" style="24" customWidth="1"/>
    <col min="6660" max="6661" width="10.6640625" style="24" customWidth="1"/>
    <col min="6662" max="6662" width="20.6640625" style="24" customWidth="1"/>
    <col min="6663" max="6911" width="11.5" style="24"/>
    <col min="6912" max="6912" width="83.6640625" style="24" customWidth="1"/>
    <col min="6913" max="6913" width="10.6640625" style="24" customWidth="1"/>
    <col min="6914" max="6914" width="50.6640625" style="24" customWidth="1"/>
    <col min="6915" max="6915" width="30.6640625" style="24" customWidth="1"/>
    <col min="6916" max="6917" width="10.6640625" style="24" customWidth="1"/>
    <col min="6918" max="6918" width="20.6640625" style="24" customWidth="1"/>
    <col min="6919" max="7167" width="11.5" style="24"/>
    <col min="7168" max="7168" width="83.6640625" style="24" customWidth="1"/>
    <col min="7169" max="7169" width="10.6640625" style="24" customWidth="1"/>
    <col min="7170" max="7170" width="50.6640625" style="24" customWidth="1"/>
    <col min="7171" max="7171" width="30.6640625" style="24" customWidth="1"/>
    <col min="7172" max="7173" width="10.6640625" style="24" customWidth="1"/>
    <col min="7174" max="7174" width="20.6640625" style="24" customWidth="1"/>
    <col min="7175" max="7423" width="11.5" style="24"/>
    <col min="7424" max="7424" width="83.6640625" style="24" customWidth="1"/>
    <col min="7425" max="7425" width="10.6640625" style="24" customWidth="1"/>
    <col min="7426" max="7426" width="50.6640625" style="24" customWidth="1"/>
    <col min="7427" max="7427" width="30.6640625" style="24" customWidth="1"/>
    <col min="7428" max="7429" width="10.6640625" style="24" customWidth="1"/>
    <col min="7430" max="7430" width="20.6640625" style="24" customWidth="1"/>
    <col min="7431" max="7679" width="11.5" style="24"/>
    <col min="7680" max="7680" width="83.6640625" style="24" customWidth="1"/>
    <col min="7681" max="7681" width="10.6640625" style="24" customWidth="1"/>
    <col min="7682" max="7682" width="50.6640625" style="24" customWidth="1"/>
    <col min="7683" max="7683" width="30.6640625" style="24" customWidth="1"/>
    <col min="7684" max="7685" width="10.6640625" style="24" customWidth="1"/>
    <col min="7686" max="7686" width="20.6640625" style="24" customWidth="1"/>
    <col min="7687" max="7935" width="11.5" style="24"/>
    <col min="7936" max="7936" width="83.6640625" style="24" customWidth="1"/>
    <col min="7937" max="7937" width="10.6640625" style="24" customWidth="1"/>
    <col min="7938" max="7938" width="50.6640625" style="24" customWidth="1"/>
    <col min="7939" max="7939" width="30.6640625" style="24" customWidth="1"/>
    <col min="7940" max="7941" width="10.6640625" style="24" customWidth="1"/>
    <col min="7942" max="7942" width="20.6640625" style="24" customWidth="1"/>
    <col min="7943" max="8191" width="11.5" style="24"/>
    <col min="8192" max="8192" width="83.6640625" style="24" customWidth="1"/>
    <col min="8193" max="8193" width="10.6640625" style="24" customWidth="1"/>
    <col min="8194" max="8194" width="50.6640625" style="24" customWidth="1"/>
    <col min="8195" max="8195" width="30.6640625" style="24" customWidth="1"/>
    <col min="8196" max="8197" width="10.6640625" style="24" customWidth="1"/>
    <col min="8198" max="8198" width="20.6640625" style="24" customWidth="1"/>
    <col min="8199" max="8447" width="11.5" style="24"/>
    <col min="8448" max="8448" width="83.6640625" style="24" customWidth="1"/>
    <col min="8449" max="8449" width="10.6640625" style="24" customWidth="1"/>
    <col min="8450" max="8450" width="50.6640625" style="24" customWidth="1"/>
    <col min="8451" max="8451" width="30.6640625" style="24" customWidth="1"/>
    <col min="8452" max="8453" width="10.6640625" style="24" customWidth="1"/>
    <col min="8454" max="8454" width="20.6640625" style="24" customWidth="1"/>
    <col min="8455" max="8703" width="11.5" style="24"/>
    <col min="8704" max="8704" width="83.6640625" style="24" customWidth="1"/>
    <col min="8705" max="8705" width="10.6640625" style="24" customWidth="1"/>
    <col min="8706" max="8706" width="50.6640625" style="24" customWidth="1"/>
    <col min="8707" max="8707" width="30.6640625" style="24" customWidth="1"/>
    <col min="8708" max="8709" width="10.6640625" style="24" customWidth="1"/>
    <col min="8710" max="8710" width="20.6640625" style="24" customWidth="1"/>
    <col min="8711" max="8959" width="11.5" style="24"/>
    <col min="8960" max="8960" width="83.6640625" style="24" customWidth="1"/>
    <col min="8961" max="8961" width="10.6640625" style="24" customWidth="1"/>
    <col min="8962" max="8962" width="50.6640625" style="24" customWidth="1"/>
    <col min="8963" max="8963" width="30.6640625" style="24" customWidth="1"/>
    <col min="8964" max="8965" width="10.6640625" style="24" customWidth="1"/>
    <col min="8966" max="8966" width="20.6640625" style="24" customWidth="1"/>
    <col min="8967" max="9215" width="11.5" style="24"/>
    <col min="9216" max="9216" width="83.6640625" style="24" customWidth="1"/>
    <col min="9217" max="9217" width="10.6640625" style="24" customWidth="1"/>
    <col min="9218" max="9218" width="50.6640625" style="24" customWidth="1"/>
    <col min="9219" max="9219" width="30.6640625" style="24" customWidth="1"/>
    <col min="9220" max="9221" width="10.6640625" style="24" customWidth="1"/>
    <col min="9222" max="9222" width="20.6640625" style="24" customWidth="1"/>
    <col min="9223" max="9471" width="11.5" style="24"/>
    <col min="9472" max="9472" width="83.6640625" style="24" customWidth="1"/>
    <col min="9473" max="9473" width="10.6640625" style="24" customWidth="1"/>
    <col min="9474" max="9474" width="50.6640625" style="24" customWidth="1"/>
    <col min="9475" max="9475" width="30.6640625" style="24" customWidth="1"/>
    <col min="9476" max="9477" width="10.6640625" style="24" customWidth="1"/>
    <col min="9478" max="9478" width="20.6640625" style="24" customWidth="1"/>
    <col min="9479" max="9727" width="11.5" style="24"/>
    <col min="9728" max="9728" width="83.6640625" style="24" customWidth="1"/>
    <col min="9729" max="9729" width="10.6640625" style="24" customWidth="1"/>
    <col min="9730" max="9730" width="50.6640625" style="24" customWidth="1"/>
    <col min="9731" max="9731" width="30.6640625" style="24" customWidth="1"/>
    <col min="9732" max="9733" width="10.6640625" style="24" customWidth="1"/>
    <col min="9734" max="9734" width="20.6640625" style="24" customWidth="1"/>
    <col min="9735" max="9983" width="11.5" style="24"/>
    <col min="9984" max="9984" width="83.6640625" style="24" customWidth="1"/>
    <col min="9985" max="9985" width="10.6640625" style="24" customWidth="1"/>
    <col min="9986" max="9986" width="50.6640625" style="24" customWidth="1"/>
    <col min="9987" max="9987" width="30.6640625" style="24" customWidth="1"/>
    <col min="9988" max="9989" width="10.6640625" style="24" customWidth="1"/>
    <col min="9990" max="9990" width="20.6640625" style="24" customWidth="1"/>
    <col min="9991" max="10239" width="11.5" style="24"/>
    <col min="10240" max="10240" width="83.6640625" style="24" customWidth="1"/>
    <col min="10241" max="10241" width="10.6640625" style="24" customWidth="1"/>
    <col min="10242" max="10242" width="50.6640625" style="24" customWidth="1"/>
    <col min="10243" max="10243" width="30.6640625" style="24" customWidth="1"/>
    <col min="10244" max="10245" width="10.6640625" style="24" customWidth="1"/>
    <col min="10246" max="10246" width="20.6640625" style="24" customWidth="1"/>
    <col min="10247" max="10495" width="11.5" style="24"/>
    <col min="10496" max="10496" width="83.6640625" style="24" customWidth="1"/>
    <col min="10497" max="10497" width="10.6640625" style="24" customWidth="1"/>
    <col min="10498" max="10498" width="50.6640625" style="24" customWidth="1"/>
    <col min="10499" max="10499" width="30.6640625" style="24" customWidth="1"/>
    <col min="10500" max="10501" width="10.6640625" style="24" customWidth="1"/>
    <col min="10502" max="10502" width="20.6640625" style="24" customWidth="1"/>
    <col min="10503" max="10751" width="11.5" style="24"/>
    <col min="10752" max="10752" width="83.6640625" style="24" customWidth="1"/>
    <col min="10753" max="10753" width="10.6640625" style="24" customWidth="1"/>
    <col min="10754" max="10754" width="50.6640625" style="24" customWidth="1"/>
    <col min="10755" max="10755" width="30.6640625" style="24" customWidth="1"/>
    <col min="10756" max="10757" width="10.6640625" style="24" customWidth="1"/>
    <col min="10758" max="10758" width="20.6640625" style="24" customWidth="1"/>
    <col min="10759" max="11007" width="11.5" style="24"/>
    <col min="11008" max="11008" width="83.6640625" style="24" customWidth="1"/>
    <col min="11009" max="11009" width="10.6640625" style="24" customWidth="1"/>
    <col min="11010" max="11010" width="50.6640625" style="24" customWidth="1"/>
    <col min="11011" max="11011" width="30.6640625" style="24" customWidth="1"/>
    <col min="11012" max="11013" width="10.6640625" style="24" customWidth="1"/>
    <col min="11014" max="11014" width="20.6640625" style="24" customWidth="1"/>
    <col min="11015" max="11263" width="11.5" style="24"/>
    <col min="11264" max="11264" width="83.6640625" style="24" customWidth="1"/>
    <col min="11265" max="11265" width="10.6640625" style="24" customWidth="1"/>
    <col min="11266" max="11266" width="50.6640625" style="24" customWidth="1"/>
    <col min="11267" max="11267" width="30.6640625" style="24" customWidth="1"/>
    <col min="11268" max="11269" width="10.6640625" style="24" customWidth="1"/>
    <col min="11270" max="11270" width="20.6640625" style="24" customWidth="1"/>
    <col min="11271" max="11519" width="11.5" style="24"/>
    <col min="11520" max="11520" width="83.6640625" style="24" customWidth="1"/>
    <col min="11521" max="11521" width="10.6640625" style="24" customWidth="1"/>
    <col min="11522" max="11522" width="50.6640625" style="24" customWidth="1"/>
    <col min="11523" max="11523" width="30.6640625" style="24" customWidth="1"/>
    <col min="11524" max="11525" width="10.6640625" style="24" customWidth="1"/>
    <col min="11526" max="11526" width="20.6640625" style="24" customWidth="1"/>
    <col min="11527" max="11775" width="11.5" style="24"/>
    <col min="11776" max="11776" width="83.6640625" style="24" customWidth="1"/>
    <col min="11777" max="11777" width="10.6640625" style="24" customWidth="1"/>
    <col min="11778" max="11778" width="50.6640625" style="24" customWidth="1"/>
    <col min="11779" max="11779" width="30.6640625" style="24" customWidth="1"/>
    <col min="11780" max="11781" width="10.6640625" style="24" customWidth="1"/>
    <col min="11782" max="11782" width="20.6640625" style="24" customWidth="1"/>
    <col min="11783" max="12031" width="11.5" style="24"/>
    <col min="12032" max="12032" width="83.6640625" style="24" customWidth="1"/>
    <col min="12033" max="12033" width="10.6640625" style="24" customWidth="1"/>
    <col min="12034" max="12034" width="50.6640625" style="24" customWidth="1"/>
    <col min="12035" max="12035" width="30.6640625" style="24" customWidth="1"/>
    <col min="12036" max="12037" width="10.6640625" style="24" customWidth="1"/>
    <col min="12038" max="12038" width="20.6640625" style="24" customWidth="1"/>
    <col min="12039" max="12287" width="11.5" style="24"/>
    <col min="12288" max="12288" width="83.6640625" style="24" customWidth="1"/>
    <col min="12289" max="12289" width="10.6640625" style="24" customWidth="1"/>
    <col min="12290" max="12290" width="50.6640625" style="24" customWidth="1"/>
    <col min="12291" max="12291" width="30.6640625" style="24" customWidth="1"/>
    <col min="12292" max="12293" width="10.6640625" style="24" customWidth="1"/>
    <col min="12294" max="12294" width="20.6640625" style="24" customWidth="1"/>
    <col min="12295" max="12543" width="11.5" style="24"/>
    <col min="12544" max="12544" width="83.6640625" style="24" customWidth="1"/>
    <col min="12545" max="12545" width="10.6640625" style="24" customWidth="1"/>
    <col min="12546" max="12546" width="50.6640625" style="24" customWidth="1"/>
    <col min="12547" max="12547" width="30.6640625" style="24" customWidth="1"/>
    <col min="12548" max="12549" width="10.6640625" style="24" customWidth="1"/>
    <col min="12550" max="12550" width="20.6640625" style="24" customWidth="1"/>
    <col min="12551" max="12799" width="11.5" style="24"/>
    <col min="12800" max="12800" width="83.6640625" style="24" customWidth="1"/>
    <col min="12801" max="12801" width="10.6640625" style="24" customWidth="1"/>
    <col min="12802" max="12802" width="50.6640625" style="24" customWidth="1"/>
    <col min="12803" max="12803" width="30.6640625" style="24" customWidth="1"/>
    <col min="12804" max="12805" width="10.6640625" style="24" customWidth="1"/>
    <col min="12806" max="12806" width="20.6640625" style="24" customWidth="1"/>
    <col min="12807" max="13055" width="11.5" style="24"/>
    <col min="13056" max="13056" width="83.6640625" style="24" customWidth="1"/>
    <col min="13057" max="13057" width="10.6640625" style="24" customWidth="1"/>
    <col min="13058" max="13058" width="50.6640625" style="24" customWidth="1"/>
    <col min="13059" max="13059" width="30.6640625" style="24" customWidth="1"/>
    <col min="13060" max="13061" width="10.6640625" style="24" customWidth="1"/>
    <col min="13062" max="13062" width="20.6640625" style="24" customWidth="1"/>
    <col min="13063" max="13311" width="11.5" style="24"/>
    <col min="13312" max="13312" width="83.6640625" style="24" customWidth="1"/>
    <col min="13313" max="13313" width="10.6640625" style="24" customWidth="1"/>
    <col min="13314" max="13314" width="50.6640625" style="24" customWidth="1"/>
    <col min="13315" max="13315" width="30.6640625" style="24" customWidth="1"/>
    <col min="13316" max="13317" width="10.6640625" style="24" customWidth="1"/>
    <col min="13318" max="13318" width="20.6640625" style="24" customWidth="1"/>
    <col min="13319" max="13567" width="11.5" style="24"/>
    <col min="13568" max="13568" width="83.6640625" style="24" customWidth="1"/>
    <col min="13569" max="13569" width="10.6640625" style="24" customWidth="1"/>
    <col min="13570" max="13570" width="50.6640625" style="24" customWidth="1"/>
    <col min="13571" max="13571" width="30.6640625" style="24" customWidth="1"/>
    <col min="13572" max="13573" width="10.6640625" style="24" customWidth="1"/>
    <col min="13574" max="13574" width="20.6640625" style="24" customWidth="1"/>
    <col min="13575" max="13823" width="11.5" style="24"/>
    <col min="13824" max="13824" width="83.6640625" style="24" customWidth="1"/>
    <col min="13825" max="13825" width="10.6640625" style="24" customWidth="1"/>
    <col min="13826" max="13826" width="50.6640625" style="24" customWidth="1"/>
    <col min="13827" max="13827" width="30.6640625" style="24" customWidth="1"/>
    <col min="13828" max="13829" width="10.6640625" style="24" customWidth="1"/>
    <col min="13830" max="13830" width="20.6640625" style="24" customWidth="1"/>
    <col min="13831" max="14079" width="11.5" style="24"/>
    <col min="14080" max="14080" width="83.6640625" style="24" customWidth="1"/>
    <col min="14081" max="14081" width="10.6640625" style="24" customWidth="1"/>
    <col min="14082" max="14082" width="50.6640625" style="24" customWidth="1"/>
    <col min="14083" max="14083" width="30.6640625" style="24" customWidth="1"/>
    <col min="14084" max="14085" width="10.6640625" style="24" customWidth="1"/>
    <col min="14086" max="14086" width="20.6640625" style="24" customWidth="1"/>
    <col min="14087" max="14335" width="11.5" style="24"/>
    <col min="14336" max="14336" width="83.6640625" style="24" customWidth="1"/>
    <col min="14337" max="14337" width="10.6640625" style="24" customWidth="1"/>
    <col min="14338" max="14338" width="50.6640625" style="24" customWidth="1"/>
    <col min="14339" max="14339" width="30.6640625" style="24" customWidth="1"/>
    <col min="14340" max="14341" width="10.6640625" style="24" customWidth="1"/>
    <col min="14342" max="14342" width="20.6640625" style="24" customWidth="1"/>
    <col min="14343" max="14591" width="11.5" style="24"/>
    <col min="14592" max="14592" width="83.6640625" style="24" customWidth="1"/>
    <col min="14593" max="14593" width="10.6640625" style="24" customWidth="1"/>
    <col min="14594" max="14594" width="50.6640625" style="24" customWidth="1"/>
    <col min="14595" max="14595" width="30.6640625" style="24" customWidth="1"/>
    <col min="14596" max="14597" width="10.6640625" style="24" customWidth="1"/>
    <col min="14598" max="14598" width="20.6640625" style="24" customWidth="1"/>
    <col min="14599" max="14847" width="11.5" style="24"/>
    <col min="14848" max="14848" width="83.6640625" style="24" customWidth="1"/>
    <col min="14849" max="14849" width="10.6640625" style="24" customWidth="1"/>
    <col min="14850" max="14850" width="50.6640625" style="24" customWidth="1"/>
    <col min="14851" max="14851" width="30.6640625" style="24" customWidth="1"/>
    <col min="14852" max="14853" width="10.6640625" style="24" customWidth="1"/>
    <col min="14854" max="14854" width="20.6640625" style="24" customWidth="1"/>
    <col min="14855" max="15103" width="11.5" style="24"/>
    <col min="15104" max="15104" width="83.6640625" style="24" customWidth="1"/>
    <col min="15105" max="15105" width="10.6640625" style="24" customWidth="1"/>
    <col min="15106" max="15106" width="50.6640625" style="24" customWidth="1"/>
    <col min="15107" max="15107" width="30.6640625" style="24" customWidth="1"/>
    <col min="15108" max="15109" width="10.6640625" style="24" customWidth="1"/>
    <col min="15110" max="15110" width="20.6640625" style="24" customWidth="1"/>
    <col min="15111" max="15359" width="11.5" style="24"/>
    <col min="15360" max="15360" width="83.6640625" style="24" customWidth="1"/>
    <col min="15361" max="15361" width="10.6640625" style="24" customWidth="1"/>
    <col min="15362" max="15362" width="50.6640625" style="24" customWidth="1"/>
    <col min="15363" max="15363" width="30.6640625" style="24" customWidth="1"/>
    <col min="15364" max="15365" width="10.6640625" style="24" customWidth="1"/>
    <col min="15366" max="15366" width="20.6640625" style="24" customWidth="1"/>
    <col min="15367" max="15615" width="11.5" style="24"/>
    <col min="15616" max="15616" width="83.6640625" style="24" customWidth="1"/>
    <col min="15617" max="15617" width="10.6640625" style="24" customWidth="1"/>
    <col min="15618" max="15618" width="50.6640625" style="24" customWidth="1"/>
    <col min="15619" max="15619" width="30.6640625" style="24" customWidth="1"/>
    <col min="15620" max="15621" width="10.6640625" style="24" customWidth="1"/>
    <col min="15622" max="15622" width="20.6640625" style="24" customWidth="1"/>
    <col min="15623" max="15871" width="11.5" style="24"/>
    <col min="15872" max="15872" width="83.6640625" style="24" customWidth="1"/>
    <col min="15873" max="15873" width="10.6640625" style="24" customWidth="1"/>
    <col min="15874" max="15874" width="50.6640625" style="24" customWidth="1"/>
    <col min="15875" max="15875" width="30.6640625" style="24" customWidth="1"/>
    <col min="15876" max="15877" width="10.6640625" style="24" customWidth="1"/>
    <col min="15878" max="15878" width="20.6640625" style="24" customWidth="1"/>
    <col min="15879" max="16127" width="11.5" style="24"/>
    <col min="16128" max="16128" width="83.6640625" style="24" customWidth="1"/>
    <col min="16129" max="16129" width="10.6640625" style="24" customWidth="1"/>
    <col min="16130" max="16130" width="50.6640625" style="24" customWidth="1"/>
    <col min="16131" max="16131" width="30.6640625" style="24" customWidth="1"/>
    <col min="16132" max="16133" width="10.6640625" style="24" customWidth="1"/>
    <col min="16134" max="16134" width="20.6640625" style="24" customWidth="1"/>
    <col min="16135" max="16384" width="11.5" style="24"/>
  </cols>
  <sheetData>
    <row r="1" spans="2:14" s="21" customFormat="1" ht="48" customHeight="1">
      <c r="B1" s="20"/>
      <c r="F1" s="36"/>
      <c r="G1" s="36"/>
      <c r="H1" s="36"/>
      <c r="I1" s="36"/>
      <c r="J1" s="36"/>
      <c r="K1" s="36"/>
      <c r="L1" s="36"/>
      <c r="M1" s="36"/>
      <c r="N1" s="36"/>
    </row>
    <row r="2" spans="2:14" s="21" customFormat="1" ht="3" customHeight="1" thickBot="1">
      <c r="B2" s="20"/>
      <c r="F2" s="36"/>
      <c r="G2" s="36"/>
      <c r="H2" s="36"/>
      <c r="I2" s="36"/>
      <c r="J2" s="36"/>
      <c r="K2" s="36"/>
      <c r="L2" s="36"/>
      <c r="M2" s="36"/>
      <c r="N2" s="36"/>
    </row>
    <row r="3" spans="2:14" s="21" customFormat="1" ht="46" customHeight="1" thickBot="1">
      <c r="B3" s="242" t="s">
        <v>372</v>
      </c>
      <c r="C3" s="243"/>
      <c r="D3" s="243"/>
      <c r="E3" s="244"/>
      <c r="F3" s="36"/>
      <c r="G3" s="36"/>
      <c r="H3" s="36"/>
      <c r="I3" s="36"/>
      <c r="J3" s="36"/>
      <c r="K3" s="36"/>
      <c r="L3" s="36"/>
      <c r="M3" s="36"/>
      <c r="N3" s="36"/>
    </row>
    <row r="4" spans="2:14" s="21" customFormat="1" ht="3" customHeight="1">
      <c r="B4" s="20"/>
      <c r="F4" s="36"/>
      <c r="G4" s="36"/>
      <c r="H4" s="36"/>
      <c r="I4" s="36"/>
      <c r="J4" s="36"/>
      <c r="K4" s="36"/>
      <c r="L4" s="36"/>
      <c r="M4" s="36"/>
      <c r="N4" s="36"/>
    </row>
    <row r="5" spans="2:14" s="21" customFormat="1" ht="29" customHeight="1">
      <c r="B5" s="29" t="s">
        <v>185</v>
      </c>
      <c r="C5" s="30" t="s">
        <v>8</v>
      </c>
      <c r="D5" s="31" t="s">
        <v>184</v>
      </c>
      <c r="E5" s="31" t="s">
        <v>9</v>
      </c>
      <c r="F5" s="36"/>
      <c r="G5" s="36"/>
      <c r="H5" s="36"/>
      <c r="I5" s="36"/>
      <c r="J5" s="36"/>
      <c r="K5" s="36"/>
      <c r="L5" s="36"/>
      <c r="M5" s="36"/>
      <c r="N5" s="36"/>
    </row>
    <row r="6" spans="2:14" s="21" customFormat="1" ht="23" customHeight="1">
      <c r="B6" s="33" t="s">
        <v>119</v>
      </c>
      <c r="C6" s="22"/>
      <c r="D6" s="28"/>
      <c r="E6" s="28"/>
      <c r="F6" s="36"/>
      <c r="G6" s="36"/>
      <c r="H6" s="36"/>
      <c r="I6" s="36"/>
      <c r="J6" s="36"/>
      <c r="K6" s="36"/>
      <c r="L6" s="36"/>
      <c r="M6" s="36"/>
      <c r="N6" s="36"/>
    </row>
    <row r="7" spans="2:14" s="21" customFormat="1" ht="42">
      <c r="B7" s="26" t="s">
        <v>317</v>
      </c>
      <c r="C7" s="191"/>
      <c r="D7" s="192"/>
      <c r="E7" s="26" t="s">
        <v>131</v>
      </c>
      <c r="F7" s="36"/>
      <c r="G7" s="36"/>
      <c r="H7" s="36"/>
      <c r="I7" s="36"/>
      <c r="J7" s="36"/>
      <c r="K7" s="36"/>
      <c r="L7" s="36"/>
      <c r="M7" s="36"/>
      <c r="N7" s="36"/>
    </row>
    <row r="8" spans="2:14" s="21" customFormat="1" ht="84">
      <c r="B8" s="26" t="s">
        <v>188</v>
      </c>
      <c r="C8" s="191"/>
      <c r="D8" s="192"/>
      <c r="E8" s="26" t="s">
        <v>308</v>
      </c>
      <c r="F8" s="36"/>
      <c r="G8" s="36"/>
      <c r="H8" s="36"/>
      <c r="I8" s="36"/>
      <c r="J8" s="36"/>
      <c r="K8" s="36"/>
      <c r="L8" s="36"/>
      <c r="M8" s="36"/>
      <c r="N8" s="36"/>
    </row>
    <row r="9" spans="2:14" s="21" customFormat="1">
      <c r="B9" s="26" t="s">
        <v>318</v>
      </c>
      <c r="C9" s="191"/>
      <c r="D9" s="192"/>
      <c r="E9" s="26"/>
      <c r="F9" s="36"/>
      <c r="G9" s="36"/>
      <c r="H9" s="36"/>
      <c r="I9" s="36"/>
      <c r="J9" s="36"/>
      <c r="K9" s="36"/>
      <c r="L9" s="36"/>
      <c r="M9" s="36"/>
      <c r="N9" s="36"/>
    </row>
    <row r="10" spans="2:14" s="21" customFormat="1" ht="23" customHeight="1">
      <c r="B10" s="33" t="s">
        <v>187</v>
      </c>
      <c r="C10" s="22"/>
      <c r="D10" s="32"/>
      <c r="E10" s="32"/>
      <c r="F10" s="36"/>
      <c r="G10" s="36"/>
      <c r="H10" s="36"/>
      <c r="I10" s="36"/>
      <c r="J10" s="36"/>
      <c r="K10" s="36"/>
      <c r="L10" s="36"/>
      <c r="M10" s="36"/>
      <c r="N10" s="36"/>
    </row>
    <row r="11" spans="2:14" s="21" customFormat="1" ht="98">
      <c r="B11" s="26" t="s">
        <v>228</v>
      </c>
      <c r="C11" s="191"/>
      <c r="D11" s="192"/>
      <c r="E11" s="26"/>
      <c r="F11" s="36"/>
      <c r="G11" s="36"/>
      <c r="H11" s="36"/>
      <c r="I11" s="36"/>
      <c r="J11" s="36"/>
      <c r="K11" s="36"/>
      <c r="L11" s="36"/>
      <c r="M11" s="36"/>
      <c r="N11" s="36"/>
    </row>
    <row r="12" spans="2:14" s="21" customFormat="1" ht="10" customHeight="1">
      <c r="B12" s="27"/>
      <c r="C12" s="25"/>
      <c r="D12" s="27"/>
      <c r="E12" s="27"/>
      <c r="F12" s="36"/>
      <c r="G12" s="36"/>
      <c r="H12" s="36"/>
      <c r="I12" s="36"/>
      <c r="J12" s="36"/>
      <c r="K12" s="36"/>
      <c r="L12" s="36"/>
      <c r="M12" s="36"/>
      <c r="N12" s="36"/>
    </row>
    <row r="13" spans="2:14" s="34" customFormat="1">
      <c r="C13" s="35"/>
    </row>
    <row r="14" spans="2:14" s="34" customFormat="1">
      <c r="C14" s="35"/>
    </row>
    <row r="15" spans="2:14" s="34" customFormat="1">
      <c r="C15" s="35"/>
    </row>
    <row r="16" spans="2:14" s="34" customFormat="1">
      <c r="C16" s="35"/>
    </row>
    <row r="17" spans="3:3" s="34" customFormat="1">
      <c r="C17" s="35"/>
    </row>
    <row r="18" spans="3:3" s="34" customFormat="1">
      <c r="C18" s="35"/>
    </row>
    <row r="19" spans="3:3" s="34" customFormat="1">
      <c r="C19" s="35"/>
    </row>
    <row r="20" spans="3:3" s="34" customFormat="1">
      <c r="C20" s="35"/>
    </row>
    <row r="21" spans="3:3" s="34" customFormat="1">
      <c r="C21" s="35"/>
    </row>
    <row r="22" spans="3:3" s="34" customFormat="1">
      <c r="C22" s="35"/>
    </row>
    <row r="23" spans="3:3" s="34" customFormat="1">
      <c r="C23" s="35"/>
    </row>
    <row r="24" spans="3:3" s="34" customFormat="1">
      <c r="C24" s="35"/>
    </row>
    <row r="25" spans="3:3" s="34" customFormat="1">
      <c r="C25" s="35"/>
    </row>
    <row r="26" spans="3:3" s="34" customFormat="1">
      <c r="C26" s="35"/>
    </row>
    <row r="27" spans="3:3" s="34" customFormat="1">
      <c r="C27" s="35"/>
    </row>
    <row r="28" spans="3:3" s="34" customFormat="1">
      <c r="C28" s="35"/>
    </row>
    <row r="29" spans="3:3" s="34" customFormat="1">
      <c r="C29" s="35"/>
    </row>
    <row r="30" spans="3:3" s="34" customFormat="1">
      <c r="C30" s="35"/>
    </row>
    <row r="31" spans="3:3" s="34" customFormat="1">
      <c r="C31" s="35"/>
    </row>
    <row r="32" spans="3:3" s="34" customFormat="1">
      <c r="C32" s="35"/>
    </row>
    <row r="33" spans="3:3" s="34" customFormat="1">
      <c r="C33" s="35"/>
    </row>
    <row r="34" spans="3:3" s="34" customFormat="1">
      <c r="C34" s="35"/>
    </row>
    <row r="35" spans="3:3" s="34" customFormat="1">
      <c r="C35" s="35"/>
    </row>
    <row r="36" spans="3:3" s="34" customFormat="1">
      <c r="C36" s="35"/>
    </row>
    <row r="37" spans="3:3" s="34" customFormat="1">
      <c r="C37" s="35"/>
    </row>
    <row r="38" spans="3:3" s="34" customFormat="1">
      <c r="C38" s="35"/>
    </row>
    <row r="39" spans="3:3" s="34" customFormat="1">
      <c r="C39" s="35"/>
    </row>
    <row r="40" spans="3:3" s="34" customFormat="1">
      <c r="C40" s="35"/>
    </row>
    <row r="41" spans="3:3" s="34" customFormat="1">
      <c r="C41" s="35"/>
    </row>
    <row r="42" spans="3:3" s="34" customFormat="1">
      <c r="C42" s="35"/>
    </row>
    <row r="43" spans="3:3" s="34" customFormat="1">
      <c r="C43" s="35"/>
    </row>
    <row r="44" spans="3:3" s="34" customFormat="1">
      <c r="C44" s="35"/>
    </row>
    <row r="45" spans="3:3" s="34" customFormat="1">
      <c r="C45" s="35"/>
    </row>
    <row r="46" spans="3:3" s="34" customFormat="1">
      <c r="C46" s="35"/>
    </row>
    <row r="47" spans="3:3" s="34" customFormat="1">
      <c r="C47" s="35"/>
    </row>
    <row r="48" spans="3:3" s="34" customFormat="1">
      <c r="C48" s="35"/>
    </row>
    <row r="49" spans="3:3" s="34" customFormat="1">
      <c r="C49" s="35"/>
    </row>
    <row r="50" spans="3:3" s="34" customFormat="1">
      <c r="C50" s="35"/>
    </row>
    <row r="51" spans="3:3" s="34" customFormat="1">
      <c r="C51" s="35"/>
    </row>
    <row r="52" spans="3:3" s="34" customFormat="1">
      <c r="C52" s="35"/>
    </row>
    <row r="53" spans="3:3" s="34" customFormat="1">
      <c r="C53" s="35"/>
    </row>
    <row r="54" spans="3:3" s="34" customFormat="1">
      <c r="C54" s="35"/>
    </row>
    <row r="55" spans="3:3" s="34" customFormat="1">
      <c r="C55" s="35"/>
    </row>
    <row r="56" spans="3:3" s="34" customFormat="1">
      <c r="C56" s="35"/>
    </row>
    <row r="57" spans="3:3" s="34" customFormat="1">
      <c r="C57" s="35"/>
    </row>
    <row r="58" spans="3:3" s="34" customFormat="1">
      <c r="C58" s="35"/>
    </row>
    <row r="59" spans="3:3" s="34" customFormat="1">
      <c r="C59" s="35"/>
    </row>
    <row r="60" spans="3:3" s="34" customFormat="1">
      <c r="C60" s="35"/>
    </row>
    <row r="61" spans="3:3" s="34" customFormat="1">
      <c r="C61" s="35"/>
    </row>
    <row r="62" spans="3:3" s="34" customFormat="1">
      <c r="C62" s="35"/>
    </row>
    <row r="63" spans="3:3" s="34" customFormat="1">
      <c r="C63" s="35"/>
    </row>
    <row r="64" spans="3:3" s="34" customFormat="1">
      <c r="C64" s="35"/>
    </row>
    <row r="65" spans="3:3" s="34" customFormat="1">
      <c r="C65" s="35"/>
    </row>
    <row r="66" spans="3:3" s="34" customFormat="1">
      <c r="C66" s="35"/>
    </row>
    <row r="67" spans="3:3" s="34" customFormat="1">
      <c r="C67" s="35"/>
    </row>
    <row r="68" spans="3:3" s="34" customFormat="1">
      <c r="C68" s="35"/>
    </row>
    <row r="69" spans="3:3" s="34" customFormat="1">
      <c r="C69" s="35"/>
    </row>
    <row r="70" spans="3:3" s="34" customFormat="1">
      <c r="C70" s="35"/>
    </row>
    <row r="71" spans="3:3" s="34" customFormat="1">
      <c r="C71" s="35"/>
    </row>
    <row r="72" spans="3:3" s="34" customFormat="1">
      <c r="C72" s="35"/>
    </row>
    <row r="73" spans="3:3" s="34" customFormat="1">
      <c r="C73" s="35"/>
    </row>
    <row r="74" spans="3:3" s="34" customFormat="1">
      <c r="C74" s="35"/>
    </row>
    <row r="75" spans="3:3" s="34" customFormat="1">
      <c r="C75" s="35"/>
    </row>
    <row r="76" spans="3:3" s="34" customFormat="1">
      <c r="C76" s="35"/>
    </row>
    <row r="77" spans="3:3" s="34" customFormat="1">
      <c r="C77" s="35"/>
    </row>
    <row r="78" spans="3:3" s="34" customFormat="1">
      <c r="C78" s="35"/>
    </row>
    <row r="79" spans="3:3" s="34" customFormat="1">
      <c r="C79" s="35"/>
    </row>
    <row r="80" spans="3:3" s="34" customFormat="1">
      <c r="C80" s="35"/>
    </row>
    <row r="81" spans="3:3" s="34" customFormat="1">
      <c r="C81" s="35"/>
    </row>
    <row r="82" spans="3:3" s="34" customFormat="1">
      <c r="C82" s="35"/>
    </row>
    <row r="83" spans="3:3" s="34" customFormat="1">
      <c r="C83" s="35"/>
    </row>
    <row r="84" spans="3:3" s="34" customFormat="1">
      <c r="C84" s="35"/>
    </row>
    <row r="85" spans="3:3" s="34" customFormat="1">
      <c r="C85" s="35"/>
    </row>
    <row r="86" spans="3:3" s="34" customFormat="1">
      <c r="C86" s="35"/>
    </row>
    <row r="87" spans="3:3" s="34" customFormat="1">
      <c r="C87" s="35"/>
    </row>
    <row r="88" spans="3:3" s="34" customFormat="1">
      <c r="C88" s="35"/>
    </row>
    <row r="89" spans="3:3" s="34" customFormat="1">
      <c r="C89" s="35"/>
    </row>
    <row r="90" spans="3:3" s="34" customFormat="1">
      <c r="C90" s="35"/>
    </row>
    <row r="91" spans="3:3" s="34" customFormat="1">
      <c r="C91" s="35"/>
    </row>
    <row r="92" spans="3:3" s="34" customFormat="1">
      <c r="C92" s="35"/>
    </row>
    <row r="93" spans="3:3" s="34" customFormat="1">
      <c r="C93" s="35"/>
    </row>
    <row r="94" spans="3:3" s="34" customFormat="1">
      <c r="C94" s="35"/>
    </row>
    <row r="95" spans="3:3" s="34" customFormat="1">
      <c r="C95" s="35"/>
    </row>
    <row r="96" spans="3:3" s="34" customFormat="1">
      <c r="C96" s="35"/>
    </row>
    <row r="97" spans="3:3" s="34" customFormat="1">
      <c r="C97" s="35"/>
    </row>
    <row r="98" spans="3:3" s="34" customFormat="1">
      <c r="C98" s="35"/>
    </row>
    <row r="99" spans="3:3" s="34" customFormat="1">
      <c r="C99" s="35"/>
    </row>
    <row r="100" spans="3:3" s="34" customFormat="1">
      <c r="C100" s="35"/>
    </row>
    <row r="101" spans="3:3" s="34" customFormat="1">
      <c r="C101" s="35"/>
    </row>
    <row r="102" spans="3:3" s="34" customFormat="1">
      <c r="C102" s="35"/>
    </row>
    <row r="103" spans="3:3" s="34" customFormat="1">
      <c r="C103" s="35"/>
    </row>
    <row r="104" spans="3:3" s="34" customFormat="1">
      <c r="C104" s="35"/>
    </row>
    <row r="105" spans="3:3" s="34" customFormat="1">
      <c r="C105" s="35"/>
    </row>
    <row r="106" spans="3:3" s="34" customFormat="1">
      <c r="C106" s="35"/>
    </row>
    <row r="107" spans="3:3" s="34" customFormat="1">
      <c r="C107" s="35"/>
    </row>
    <row r="108" spans="3:3" s="34" customFormat="1">
      <c r="C108" s="35"/>
    </row>
    <row r="109" spans="3:3" s="34" customFormat="1">
      <c r="C109" s="35"/>
    </row>
    <row r="110" spans="3:3" s="34" customFormat="1">
      <c r="C110" s="35"/>
    </row>
    <row r="111" spans="3:3" s="34" customFormat="1">
      <c r="C111" s="35"/>
    </row>
    <row r="112" spans="3:3" s="34" customFormat="1">
      <c r="C112" s="35"/>
    </row>
    <row r="113" spans="3:3" s="34" customFormat="1">
      <c r="C113" s="35"/>
    </row>
    <row r="114" spans="3:3" s="34" customFormat="1">
      <c r="C114" s="35"/>
    </row>
    <row r="115" spans="3:3" s="34" customFormat="1">
      <c r="C115" s="35"/>
    </row>
    <row r="116" spans="3:3" s="34" customFormat="1">
      <c r="C116" s="35"/>
    </row>
    <row r="117" spans="3:3" s="34" customFormat="1">
      <c r="C117" s="35"/>
    </row>
    <row r="118" spans="3:3" s="34" customFormat="1">
      <c r="C118" s="35"/>
    </row>
    <row r="119" spans="3:3" s="34" customFormat="1">
      <c r="C119" s="35"/>
    </row>
    <row r="120" spans="3:3" s="34" customFormat="1">
      <c r="C120" s="35"/>
    </row>
    <row r="121" spans="3:3" s="34" customFormat="1">
      <c r="C121" s="35"/>
    </row>
    <row r="122" spans="3:3" s="34" customFormat="1">
      <c r="C122" s="35"/>
    </row>
    <row r="123" spans="3:3" s="34" customFormat="1">
      <c r="C123" s="35"/>
    </row>
    <row r="124" spans="3:3" s="34" customFormat="1">
      <c r="C124" s="35"/>
    </row>
    <row r="125" spans="3:3" s="34" customFormat="1">
      <c r="C125" s="35"/>
    </row>
    <row r="126" spans="3:3" s="34" customFormat="1">
      <c r="C126" s="35"/>
    </row>
    <row r="127" spans="3:3" s="34" customFormat="1">
      <c r="C127" s="35"/>
    </row>
    <row r="128" spans="3:3" s="34" customFormat="1">
      <c r="C128" s="35"/>
    </row>
    <row r="129" spans="3:3" s="34" customFormat="1">
      <c r="C129" s="35"/>
    </row>
    <row r="130" spans="3:3" s="34" customFormat="1">
      <c r="C130" s="35"/>
    </row>
    <row r="131" spans="3:3" s="34" customFormat="1">
      <c r="C131" s="35"/>
    </row>
    <row r="132" spans="3:3" s="34" customFormat="1">
      <c r="C132" s="35"/>
    </row>
    <row r="133" spans="3:3" s="34" customFormat="1">
      <c r="C133" s="35"/>
    </row>
    <row r="134" spans="3:3" s="34" customFormat="1">
      <c r="C134" s="35"/>
    </row>
    <row r="135" spans="3:3" s="34" customFormat="1">
      <c r="C135" s="35"/>
    </row>
    <row r="136" spans="3:3" s="34" customFormat="1">
      <c r="C136" s="35"/>
    </row>
    <row r="137" spans="3:3" s="34" customFormat="1">
      <c r="C137" s="35"/>
    </row>
    <row r="138" spans="3:3" s="34" customFormat="1">
      <c r="C138" s="35"/>
    </row>
    <row r="139" spans="3:3" s="34" customFormat="1">
      <c r="C139" s="35"/>
    </row>
    <row r="140" spans="3:3" s="34" customFormat="1">
      <c r="C140" s="35"/>
    </row>
    <row r="141" spans="3:3" s="34" customFormat="1">
      <c r="C141" s="35"/>
    </row>
    <row r="142" spans="3:3" s="34" customFormat="1">
      <c r="C142" s="35"/>
    </row>
    <row r="143" spans="3:3" s="34" customFormat="1">
      <c r="C143" s="35"/>
    </row>
    <row r="144" spans="3:3" s="34" customFormat="1">
      <c r="C144" s="35"/>
    </row>
    <row r="145" spans="3:3" s="34" customFormat="1">
      <c r="C145" s="35"/>
    </row>
    <row r="146" spans="3:3" s="34" customFormat="1">
      <c r="C146" s="35"/>
    </row>
    <row r="147" spans="3:3" s="34" customFormat="1">
      <c r="C147" s="35"/>
    </row>
    <row r="148" spans="3:3" s="34" customFormat="1">
      <c r="C148" s="35"/>
    </row>
    <row r="149" spans="3:3" s="34" customFormat="1">
      <c r="C149" s="35"/>
    </row>
    <row r="150" spans="3:3" s="34" customFormat="1">
      <c r="C150" s="35"/>
    </row>
    <row r="151" spans="3:3" s="34" customFormat="1">
      <c r="C151" s="35"/>
    </row>
    <row r="152" spans="3:3" s="34" customFormat="1">
      <c r="C152" s="35"/>
    </row>
    <row r="153" spans="3:3" s="34" customFormat="1">
      <c r="C153" s="35"/>
    </row>
    <row r="154" spans="3:3" s="34" customFormat="1">
      <c r="C154" s="35"/>
    </row>
    <row r="155" spans="3:3" s="34" customFormat="1">
      <c r="C155" s="35"/>
    </row>
    <row r="156" spans="3:3" s="34" customFormat="1">
      <c r="C156" s="35"/>
    </row>
    <row r="157" spans="3:3" s="34" customFormat="1">
      <c r="C157" s="35"/>
    </row>
    <row r="158" spans="3:3" s="34" customFormat="1">
      <c r="C158" s="35"/>
    </row>
    <row r="159" spans="3:3" s="34" customFormat="1">
      <c r="C159" s="35"/>
    </row>
    <row r="160" spans="3:3" s="34" customFormat="1">
      <c r="C160" s="35"/>
    </row>
    <row r="161" spans="3:3" s="34" customFormat="1">
      <c r="C161" s="35"/>
    </row>
    <row r="162" spans="3:3" s="34" customFormat="1">
      <c r="C162" s="35"/>
    </row>
    <row r="163" spans="3:3" s="34" customFormat="1">
      <c r="C163" s="35"/>
    </row>
    <row r="164" spans="3:3" s="34" customFormat="1">
      <c r="C164" s="35"/>
    </row>
    <row r="165" spans="3:3" s="34" customFormat="1">
      <c r="C165" s="35"/>
    </row>
    <row r="166" spans="3:3" s="34" customFormat="1">
      <c r="C166" s="35"/>
    </row>
    <row r="167" spans="3:3" s="34" customFormat="1">
      <c r="C167" s="35"/>
    </row>
    <row r="168" spans="3:3" s="34" customFormat="1">
      <c r="C168" s="35"/>
    </row>
    <row r="169" spans="3:3" s="34" customFormat="1">
      <c r="C169" s="35"/>
    </row>
    <row r="170" spans="3:3" s="34" customFormat="1">
      <c r="C170" s="35"/>
    </row>
    <row r="171" spans="3:3" s="34" customFormat="1">
      <c r="C171" s="35"/>
    </row>
    <row r="172" spans="3:3" s="34" customFormat="1">
      <c r="C172" s="35"/>
    </row>
    <row r="173" spans="3:3" s="34" customFormat="1">
      <c r="C173" s="35"/>
    </row>
    <row r="174" spans="3:3" s="34" customFormat="1">
      <c r="C174" s="35"/>
    </row>
    <row r="175" spans="3:3" s="34" customFormat="1">
      <c r="C175" s="35"/>
    </row>
    <row r="176" spans="3:3" s="34" customFormat="1">
      <c r="C176" s="35"/>
    </row>
    <row r="177" spans="3:3" s="34" customFormat="1">
      <c r="C177" s="35"/>
    </row>
    <row r="178" spans="3:3" s="34" customFormat="1">
      <c r="C178" s="35"/>
    </row>
    <row r="179" spans="3:3" s="34" customFormat="1">
      <c r="C179" s="35"/>
    </row>
    <row r="180" spans="3:3" s="34" customFormat="1">
      <c r="C180" s="35"/>
    </row>
    <row r="181" spans="3:3" s="34" customFormat="1">
      <c r="C181" s="35"/>
    </row>
    <row r="182" spans="3:3" s="34" customFormat="1">
      <c r="C182" s="35"/>
    </row>
    <row r="183" spans="3:3" s="34" customFormat="1">
      <c r="C183" s="35"/>
    </row>
    <row r="184" spans="3:3" s="34" customFormat="1">
      <c r="C184" s="35"/>
    </row>
    <row r="185" spans="3:3" s="34" customFormat="1">
      <c r="C185" s="35"/>
    </row>
    <row r="186" spans="3:3" s="34" customFormat="1">
      <c r="C186" s="35"/>
    </row>
    <row r="187" spans="3:3" s="34" customFormat="1">
      <c r="C187" s="35"/>
    </row>
    <row r="188" spans="3:3" s="34" customFormat="1">
      <c r="C188" s="35"/>
    </row>
    <row r="189" spans="3:3" s="34" customFormat="1">
      <c r="C189" s="35"/>
    </row>
    <row r="190" spans="3:3" s="34" customFormat="1">
      <c r="C190" s="35"/>
    </row>
    <row r="191" spans="3:3" s="34" customFormat="1">
      <c r="C191" s="35"/>
    </row>
    <row r="192" spans="3:3" s="34" customFormat="1">
      <c r="C192" s="35"/>
    </row>
    <row r="193" spans="3:3" s="34" customFormat="1">
      <c r="C193" s="35"/>
    </row>
    <row r="194" spans="3:3" s="34" customFormat="1">
      <c r="C194" s="35"/>
    </row>
    <row r="195" spans="3:3" s="34" customFormat="1">
      <c r="C195" s="35"/>
    </row>
    <row r="196" spans="3:3" s="34" customFormat="1">
      <c r="C196" s="35"/>
    </row>
    <row r="197" spans="3:3" s="34" customFormat="1">
      <c r="C197" s="35"/>
    </row>
    <row r="198" spans="3:3" s="34" customFormat="1">
      <c r="C198" s="35"/>
    </row>
    <row r="199" spans="3:3" s="34" customFormat="1">
      <c r="C199" s="35"/>
    </row>
    <row r="200" spans="3:3" s="34" customFormat="1">
      <c r="C200" s="35"/>
    </row>
    <row r="201" spans="3:3" s="34" customFormat="1">
      <c r="C201" s="35"/>
    </row>
    <row r="202" spans="3:3" s="34" customFormat="1">
      <c r="C202" s="35"/>
    </row>
    <row r="203" spans="3:3" s="34" customFormat="1">
      <c r="C203" s="35"/>
    </row>
    <row r="204" spans="3:3" s="34" customFormat="1">
      <c r="C204" s="35"/>
    </row>
    <row r="205" spans="3:3" s="34" customFormat="1">
      <c r="C205" s="35"/>
    </row>
    <row r="206" spans="3:3" s="34" customFormat="1">
      <c r="C206" s="35"/>
    </row>
    <row r="207" spans="3:3" s="34" customFormat="1">
      <c r="C207" s="35"/>
    </row>
    <row r="208" spans="3:3" s="34" customFormat="1">
      <c r="C208" s="35"/>
    </row>
    <row r="209" spans="3:3" s="34" customFormat="1">
      <c r="C209" s="35"/>
    </row>
    <row r="210" spans="3:3" s="34" customFormat="1">
      <c r="C210" s="35"/>
    </row>
    <row r="211" spans="3:3" s="34" customFormat="1">
      <c r="C211" s="35"/>
    </row>
    <row r="212" spans="3:3" s="34" customFormat="1">
      <c r="C212" s="35"/>
    </row>
    <row r="213" spans="3:3" s="34" customFormat="1">
      <c r="C213" s="35"/>
    </row>
    <row r="214" spans="3:3" s="34" customFormat="1">
      <c r="C214" s="35"/>
    </row>
    <row r="215" spans="3:3" s="34" customFormat="1">
      <c r="C215" s="35"/>
    </row>
    <row r="216" spans="3:3" s="34" customFormat="1">
      <c r="C216" s="35"/>
    </row>
    <row r="217" spans="3:3" s="34" customFormat="1">
      <c r="C217" s="35"/>
    </row>
    <row r="218" spans="3:3" s="34" customFormat="1">
      <c r="C218" s="35"/>
    </row>
    <row r="219" spans="3:3" s="34" customFormat="1">
      <c r="C219" s="35"/>
    </row>
    <row r="220" spans="3:3" s="34" customFormat="1">
      <c r="C220" s="35"/>
    </row>
    <row r="221" spans="3:3" s="34" customFormat="1">
      <c r="C221" s="35"/>
    </row>
    <row r="222" spans="3:3" s="34" customFormat="1">
      <c r="C222" s="35"/>
    </row>
    <row r="223" spans="3:3" s="34" customFormat="1">
      <c r="C223" s="35"/>
    </row>
    <row r="224" spans="3:3" s="34" customFormat="1">
      <c r="C224" s="35"/>
    </row>
    <row r="225" spans="3:3" s="34" customFormat="1">
      <c r="C225" s="35"/>
    </row>
    <row r="226" spans="3:3" s="34" customFormat="1">
      <c r="C226" s="35"/>
    </row>
    <row r="227" spans="3:3" s="34" customFormat="1">
      <c r="C227" s="35"/>
    </row>
    <row r="228" spans="3:3" s="34" customFormat="1">
      <c r="C228" s="35"/>
    </row>
    <row r="229" spans="3:3" s="34" customFormat="1">
      <c r="C229" s="35"/>
    </row>
    <row r="230" spans="3:3" s="34" customFormat="1">
      <c r="C230" s="35"/>
    </row>
    <row r="231" spans="3:3" s="34" customFormat="1">
      <c r="C231" s="35"/>
    </row>
    <row r="232" spans="3:3" s="34" customFormat="1">
      <c r="C232" s="35"/>
    </row>
    <row r="233" spans="3:3" s="34" customFormat="1">
      <c r="C233" s="35"/>
    </row>
    <row r="234" spans="3:3" s="34" customFormat="1">
      <c r="C234" s="35"/>
    </row>
    <row r="235" spans="3:3" s="34" customFormat="1">
      <c r="C235" s="35"/>
    </row>
    <row r="236" spans="3:3" s="34" customFormat="1">
      <c r="C236" s="35"/>
    </row>
    <row r="237" spans="3:3" s="34" customFormat="1">
      <c r="C237" s="35"/>
    </row>
    <row r="238" spans="3:3" s="34" customFormat="1">
      <c r="C238" s="35"/>
    </row>
    <row r="239" spans="3:3" s="34" customFormat="1">
      <c r="C239" s="35"/>
    </row>
    <row r="240" spans="3:3" s="34" customFormat="1">
      <c r="C240" s="35"/>
    </row>
    <row r="241" spans="3:3" s="34" customFormat="1">
      <c r="C241" s="35"/>
    </row>
    <row r="242" spans="3:3" s="34" customFormat="1">
      <c r="C242" s="35"/>
    </row>
    <row r="243" spans="3:3" s="34" customFormat="1">
      <c r="C243" s="35"/>
    </row>
    <row r="244" spans="3:3" s="34" customFormat="1">
      <c r="C244" s="35"/>
    </row>
    <row r="245" spans="3:3" s="34" customFormat="1">
      <c r="C245" s="35"/>
    </row>
    <row r="246" spans="3:3" s="34" customFormat="1">
      <c r="C246" s="35"/>
    </row>
    <row r="247" spans="3:3" s="34" customFormat="1">
      <c r="C247" s="35"/>
    </row>
    <row r="248" spans="3:3" s="34" customFormat="1">
      <c r="C248" s="35"/>
    </row>
    <row r="249" spans="3:3" s="34" customFormat="1">
      <c r="C249" s="35"/>
    </row>
    <row r="250" spans="3:3" s="34" customFormat="1">
      <c r="C250" s="35"/>
    </row>
    <row r="251" spans="3:3" s="34" customFormat="1">
      <c r="C251" s="35"/>
    </row>
    <row r="252" spans="3:3" s="34" customFormat="1">
      <c r="C252" s="35"/>
    </row>
    <row r="253" spans="3:3" s="34" customFormat="1">
      <c r="C253" s="35"/>
    </row>
    <row r="254" spans="3:3" s="34" customFormat="1">
      <c r="C254" s="35"/>
    </row>
    <row r="255" spans="3:3" s="34" customFormat="1">
      <c r="C255" s="35"/>
    </row>
    <row r="256" spans="3:3" s="34" customFormat="1">
      <c r="C256" s="35"/>
    </row>
    <row r="257" spans="3:3" s="34" customFormat="1">
      <c r="C257" s="35"/>
    </row>
    <row r="258" spans="3:3" s="34" customFormat="1">
      <c r="C258" s="35"/>
    </row>
    <row r="259" spans="3:3" s="34" customFormat="1">
      <c r="C259" s="35"/>
    </row>
    <row r="260" spans="3:3" s="34" customFormat="1">
      <c r="C260" s="35"/>
    </row>
    <row r="261" spans="3:3" s="34" customFormat="1">
      <c r="C261" s="35"/>
    </row>
    <row r="262" spans="3:3" s="34" customFormat="1">
      <c r="C262" s="35"/>
    </row>
    <row r="263" spans="3:3" s="34" customFormat="1">
      <c r="C263" s="35"/>
    </row>
    <row r="264" spans="3:3" s="34" customFormat="1">
      <c r="C264" s="35"/>
    </row>
    <row r="265" spans="3:3" s="34" customFormat="1">
      <c r="C265" s="35"/>
    </row>
    <row r="266" spans="3:3" s="34" customFormat="1">
      <c r="C266" s="35"/>
    </row>
    <row r="267" spans="3:3" s="34" customFormat="1">
      <c r="C267" s="35"/>
    </row>
    <row r="268" spans="3:3" s="34" customFormat="1">
      <c r="C268" s="35"/>
    </row>
    <row r="269" spans="3:3" s="34" customFormat="1">
      <c r="C269" s="35"/>
    </row>
    <row r="270" spans="3:3" s="34" customFormat="1">
      <c r="C270" s="35"/>
    </row>
    <row r="271" spans="3:3" s="34" customFormat="1">
      <c r="C271" s="35"/>
    </row>
    <row r="272" spans="3:3" s="34" customFormat="1">
      <c r="C272" s="35"/>
    </row>
    <row r="273" spans="3:3" s="34" customFormat="1">
      <c r="C273" s="35"/>
    </row>
    <row r="274" spans="3:3" s="34" customFormat="1">
      <c r="C274" s="35"/>
    </row>
    <row r="275" spans="3:3" s="34" customFormat="1">
      <c r="C275" s="35"/>
    </row>
    <row r="276" spans="3:3" s="34" customFormat="1">
      <c r="C276" s="35"/>
    </row>
    <row r="277" spans="3:3" s="34" customFormat="1">
      <c r="C277" s="35"/>
    </row>
    <row r="278" spans="3:3" s="34" customFormat="1">
      <c r="C278" s="35"/>
    </row>
    <row r="279" spans="3:3" s="34" customFormat="1">
      <c r="C279" s="35"/>
    </row>
    <row r="280" spans="3:3" s="34" customFormat="1">
      <c r="C280" s="35"/>
    </row>
    <row r="281" spans="3:3" s="34" customFormat="1">
      <c r="C281" s="35"/>
    </row>
    <row r="282" spans="3:3" s="34" customFormat="1">
      <c r="C282" s="35"/>
    </row>
    <row r="283" spans="3:3" s="34" customFormat="1">
      <c r="C283" s="35"/>
    </row>
    <row r="284" spans="3:3" s="34" customFormat="1">
      <c r="C284" s="35"/>
    </row>
    <row r="285" spans="3:3" s="34" customFormat="1">
      <c r="C285" s="35"/>
    </row>
    <row r="286" spans="3:3" s="34" customFormat="1">
      <c r="C286" s="35"/>
    </row>
    <row r="287" spans="3:3" s="34" customFormat="1">
      <c r="C287" s="35"/>
    </row>
    <row r="288" spans="3:3" s="34" customFormat="1">
      <c r="C288" s="35"/>
    </row>
    <row r="289" spans="3:3" s="34" customFormat="1">
      <c r="C289" s="35"/>
    </row>
    <row r="290" spans="3:3" s="34" customFormat="1">
      <c r="C290" s="35"/>
    </row>
    <row r="291" spans="3:3" s="34" customFormat="1">
      <c r="C291" s="35"/>
    </row>
    <row r="292" spans="3:3" s="34" customFormat="1">
      <c r="C292" s="35"/>
    </row>
    <row r="293" spans="3:3" s="34" customFormat="1">
      <c r="C293" s="35"/>
    </row>
    <row r="294" spans="3:3" s="34" customFormat="1">
      <c r="C294" s="35"/>
    </row>
    <row r="295" spans="3:3" s="34" customFormat="1">
      <c r="C295" s="35"/>
    </row>
    <row r="296" spans="3:3" s="34" customFormat="1">
      <c r="C296" s="35"/>
    </row>
    <row r="297" spans="3:3" s="34" customFormat="1">
      <c r="C297" s="35"/>
    </row>
    <row r="298" spans="3:3" s="34" customFormat="1">
      <c r="C298" s="35"/>
    </row>
    <row r="299" spans="3:3" s="34" customFormat="1">
      <c r="C299" s="35"/>
    </row>
    <row r="300" spans="3:3" s="34" customFormat="1">
      <c r="C300" s="35"/>
    </row>
    <row r="301" spans="3:3" s="34" customFormat="1">
      <c r="C301" s="35"/>
    </row>
    <row r="302" spans="3:3" s="34" customFormat="1">
      <c r="C302" s="35"/>
    </row>
    <row r="303" spans="3:3" s="34" customFormat="1">
      <c r="C303" s="35"/>
    </row>
    <row r="304" spans="3:3" s="34" customFormat="1">
      <c r="C304" s="35"/>
    </row>
    <row r="305" spans="3:3" s="34" customFormat="1">
      <c r="C305" s="35"/>
    </row>
    <row r="306" spans="3:3" s="34" customFormat="1">
      <c r="C306" s="35"/>
    </row>
    <row r="307" spans="3:3" s="34" customFormat="1">
      <c r="C307" s="35"/>
    </row>
    <row r="308" spans="3:3" s="34" customFormat="1">
      <c r="C308" s="35"/>
    </row>
    <row r="309" spans="3:3" s="34" customFormat="1">
      <c r="C309" s="35"/>
    </row>
    <row r="310" spans="3:3" s="34" customFormat="1">
      <c r="C310" s="35"/>
    </row>
    <row r="311" spans="3:3" s="34" customFormat="1">
      <c r="C311" s="35"/>
    </row>
    <row r="312" spans="3:3" s="34" customFormat="1">
      <c r="C312" s="35"/>
    </row>
    <row r="313" spans="3:3" s="34" customFormat="1">
      <c r="C313" s="35"/>
    </row>
    <row r="314" spans="3:3" s="34" customFormat="1">
      <c r="C314" s="35"/>
    </row>
    <row r="315" spans="3:3" s="34" customFormat="1">
      <c r="C315" s="35"/>
    </row>
    <row r="316" spans="3:3" s="34" customFormat="1">
      <c r="C316" s="35"/>
    </row>
    <row r="317" spans="3:3" s="34" customFormat="1">
      <c r="C317" s="35"/>
    </row>
    <row r="318" spans="3:3" s="34" customFormat="1">
      <c r="C318" s="35"/>
    </row>
    <row r="319" spans="3:3" s="34" customFormat="1">
      <c r="C319" s="35"/>
    </row>
    <row r="320" spans="3:3" s="34" customFormat="1">
      <c r="C320" s="35"/>
    </row>
    <row r="321" spans="3:3" s="34" customFormat="1">
      <c r="C321" s="35"/>
    </row>
    <row r="322" spans="3:3" s="34" customFormat="1">
      <c r="C322" s="35"/>
    </row>
    <row r="323" spans="3:3" s="34" customFormat="1">
      <c r="C323" s="35"/>
    </row>
    <row r="324" spans="3:3" s="34" customFormat="1">
      <c r="C324" s="35"/>
    </row>
    <row r="325" spans="3:3" s="34" customFormat="1">
      <c r="C325" s="35"/>
    </row>
    <row r="326" spans="3:3" s="34" customFormat="1">
      <c r="C326" s="35"/>
    </row>
    <row r="327" spans="3:3" s="34" customFormat="1">
      <c r="C327" s="35"/>
    </row>
    <row r="328" spans="3:3" s="34" customFormat="1">
      <c r="C328" s="35"/>
    </row>
    <row r="329" spans="3:3" s="34" customFormat="1">
      <c r="C329" s="35"/>
    </row>
    <row r="330" spans="3:3" s="34" customFormat="1">
      <c r="C330" s="35"/>
    </row>
    <row r="331" spans="3:3" s="34" customFormat="1">
      <c r="C331" s="35"/>
    </row>
    <row r="332" spans="3:3" s="34" customFormat="1">
      <c r="C332" s="35"/>
    </row>
    <row r="333" spans="3:3" s="34" customFormat="1">
      <c r="C333" s="35"/>
    </row>
    <row r="334" spans="3:3" s="34" customFormat="1">
      <c r="C334" s="35"/>
    </row>
    <row r="335" spans="3:3" s="34" customFormat="1">
      <c r="C335" s="35"/>
    </row>
    <row r="336" spans="3:3" s="34" customFormat="1">
      <c r="C336" s="35"/>
    </row>
    <row r="337" spans="3:3" s="34" customFormat="1">
      <c r="C337" s="35"/>
    </row>
    <row r="338" spans="3:3" s="34" customFormat="1">
      <c r="C338" s="35"/>
    </row>
    <row r="339" spans="3:3" s="34" customFormat="1">
      <c r="C339" s="35"/>
    </row>
    <row r="340" spans="3:3" s="34" customFormat="1">
      <c r="C340" s="35"/>
    </row>
    <row r="341" spans="3:3" s="34" customFormat="1">
      <c r="C341" s="35"/>
    </row>
    <row r="342" spans="3:3" s="34" customFormat="1">
      <c r="C342" s="35"/>
    </row>
    <row r="343" spans="3:3" s="34" customFormat="1">
      <c r="C343" s="35"/>
    </row>
    <row r="344" spans="3:3" s="34" customFormat="1">
      <c r="C344" s="35"/>
    </row>
    <row r="345" spans="3:3" s="34" customFormat="1">
      <c r="C345" s="35"/>
    </row>
    <row r="346" spans="3:3" s="34" customFormat="1">
      <c r="C346" s="35"/>
    </row>
    <row r="347" spans="3:3" s="34" customFormat="1">
      <c r="C347" s="35"/>
    </row>
    <row r="348" spans="3:3" s="34" customFormat="1">
      <c r="C348" s="35"/>
    </row>
    <row r="349" spans="3:3" s="34" customFormat="1">
      <c r="C349" s="35"/>
    </row>
    <row r="350" spans="3:3" s="34" customFormat="1">
      <c r="C350" s="35"/>
    </row>
    <row r="351" spans="3:3" s="34" customFormat="1">
      <c r="C351" s="35"/>
    </row>
    <row r="352" spans="3:3" s="34" customFormat="1">
      <c r="C352" s="35"/>
    </row>
    <row r="353" spans="3:3" s="34" customFormat="1">
      <c r="C353" s="35"/>
    </row>
    <row r="354" spans="3:3" s="34" customFormat="1">
      <c r="C354" s="35"/>
    </row>
    <row r="355" spans="3:3" s="34" customFormat="1">
      <c r="C355" s="35"/>
    </row>
    <row r="356" spans="3:3" s="34" customFormat="1">
      <c r="C356" s="35"/>
    </row>
    <row r="357" spans="3:3" s="34" customFormat="1">
      <c r="C357" s="35"/>
    </row>
    <row r="358" spans="3:3" s="34" customFormat="1">
      <c r="C358" s="35"/>
    </row>
    <row r="359" spans="3:3" s="34" customFormat="1">
      <c r="C359" s="35"/>
    </row>
    <row r="360" spans="3:3" s="34" customFormat="1">
      <c r="C360" s="35"/>
    </row>
    <row r="361" spans="3:3" s="34" customFormat="1">
      <c r="C361" s="35"/>
    </row>
    <row r="362" spans="3:3" s="34" customFormat="1">
      <c r="C362" s="35"/>
    </row>
    <row r="363" spans="3:3" s="34" customFormat="1">
      <c r="C363" s="35"/>
    </row>
    <row r="364" spans="3:3" s="34" customFormat="1">
      <c r="C364" s="35"/>
    </row>
    <row r="365" spans="3:3" s="34" customFormat="1">
      <c r="C365" s="35"/>
    </row>
    <row r="366" spans="3:3" s="34" customFormat="1">
      <c r="C366" s="35"/>
    </row>
    <row r="367" spans="3:3" s="34" customFormat="1">
      <c r="C367" s="35"/>
    </row>
    <row r="368" spans="3:3" s="34" customFormat="1">
      <c r="C368" s="35"/>
    </row>
    <row r="369" spans="3:3" s="34" customFormat="1">
      <c r="C369" s="35"/>
    </row>
    <row r="370" spans="3:3" s="34" customFormat="1">
      <c r="C370" s="35"/>
    </row>
    <row r="371" spans="3:3" s="34" customFormat="1">
      <c r="C371" s="35"/>
    </row>
    <row r="372" spans="3:3" s="34" customFormat="1">
      <c r="C372" s="35"/>
    </row>
    <row r="373" spans="3:3" s="34" customFormat="1">
      <c r="C373" s="35"/>
    </row>
    <row r="374" spans="3:3" s="34" customFormat="1">
      <c r="C374" s="35"/>
    </row>
    <row r="375" spans="3:3" s="34" customFormat="1">
      <c r="C375" s="35"/>
    </row>
    <row r="376" spans="3:3" s="34" customFormat="1">
      <c r="C376" s="35"/>
    </row>
    <row r="377" spans="3:3" s="34" customFormat="1">
      <c r="C377" s="35"/>
    </row>
    <row r="378" spans="3:3" s="34" customFormat="1">
      <c r="C378" s="35"/>
    </row>
    <row r="379" spans="3:3" s="34" customFormat="1">
      <c r="C379" s="35"/>
    </row>
    <row r="380" spans="3:3" s="34" customFormat="1">
      <c r="C380" s="35"/>
    </row>
    <row r="381" spans="3:3" s="34" customFormat="1">
      <c r="C381" s="35"/>
    </row>
    <row r="382" spans="3:3" s="34" customFormat="1">
      <c r="C382" s="35"/>
    </row>
    <row r="383" spans="3:3" s="34" customFormat="1">
      <c r="C383" s="35"/>
    </row>
    <row r="384" spans="3:3" s="34" customFormat="1">
      <c r="C384" s="35"/>
    </row>
    <row r="385" spans="3:3" s="34" customFormat="1">
      <c r="C385" s="35"/>
    </row>
    <row r="386" spans="3:3" s="34" customFormat="1">
      <c r="C386" s="35"/>
    </row>
    <row r="387" spans="3:3" s="34" customFormat="1">
      <c r="C387" s="35"/>
    </row>
    <row r="388" spans="3:3" s="34" customFormat="1">
      <c r="C388" s="35"/>
    </row>
    <row r="389" spans="3:3" s="34" customFormat="1">
      <c r="C389" s="35"/>
    </row>
    <row r="390" spans="3:3" s="34" customFormat="1">
      <c r="C390" s="35"/>
    </row>
    <row r="391" spans="3:3" s="34" customFormat="1">
      <c r="C391" s="35"/>
    </row>
    <row r="392" spans="3:3" s="34" customFormat="1">
      <c r="C392" s="35"/>
    </row>
    <row r="393" spans="3:3" s="34" customFormat="1">
      <c r="C393" s="35"/>
    </row>
    <row r="394" spans="3:3" s="34" customFormat="1">
      <c r="C394" s="35"/>
    </row>
    <row r="395" spans="3:3" s="34" customFormat="1">
      <c r="C395" s="35"/>
    </row>
    <row r="396" spans="3:3" s="34" customFormat="1">
      <c r="C396" s="35"/>
    </row>
    <row r="397" spans="3:3" s="34" customFormat="1">
      <c r="C397" s="35"/>
    </row>
    <row r="398" spans="3:3" s="34" customFormat="1">
      <c r="C398" s="35"/>
    </row>
    <row r="399" spans="3:3" s="34" customFormat="1">
      <c r="C399" s="35"/>
    </row>
    <row r="400" spans="3:3" s="34" customFormat="1">
      <c r="C400" s="35"/>
    </row>
    <row r="401" spans="3:3" s="34" customFormat="1">
      <c r="C401" s="35"/>
    </row>
    <row r="402" spans="3:3" s="34" customFormat="1">
      <c r="C402" s="35"/>
    </row>
    <row r="403" spans="3:3" s="34" customFormat="1">
      <c r="C403" s="35"/>
    </row>
    <row r="404" spans="3:3" s="34" customFormat="1">
      <c r="C404" s="35"/>
    </row>
    <row r="405" spans="3:3" s="34" customFormat="1">
      <c r="C405" s="35"/>
    </row>
    <row r="406" spans="3:3" s="34" customFormat="1">
      <c r="C406" s="35"/>
    </row>
    <row r="407" spans="3:3" s="34" customFormat="1">
      <c r="C407" s="35"/>
    </row>
    <row r="408" spans="3:3" s="34" customFormat="1">
      <c r="C408" s="35"/>
    </row>
    <row r="409" spans="3:3" s="34" customFormat="1">
      <c r="C409" s="35"/>
    </row>
    <row r="410" spans="3:3" s="34" customFormat="1">
      <c r="C410" s="35"/>
    </row>
    <row r="411" spans="3:3" s="34" customFormat="1">
      <c r="C411" s="35"/>
    </row>
    <row r="412" spans="3:3" s="34" customFormat="1">
      <c r="C412" s="35"/>
    </row>
    <row r="413" spans="3:3" s="34" customFormat="1">
      <c r="C413" s="35"/>
    </row>
    <row r="414" spans="3:3" s="34" customFormat="1">
      <c r="C414" s="35"/>
    </row>
    <row r="415" spans="3:3" s="34" customFormat="1">
      <c r="C415" s="35"/>
    </row>
    <row r="416" spans="3:3" s="34" customFormat="1">
      <c r="C416" s="35"/>
    </row>
    <row r="417" spans="3:3" s="34" customFormat="1">
      <c r="C417" s="35"/>
    </row>
    <row r="418" spans="3:3" s="34" customFormat="1">
      <c r="C418" s="35"/>
    </row>
    <row r="419" spans="3:3" s="34" customFormat="1">
      <c r="C419" s="35"/>
    </row>
    <row r="420" spans="3:3" s="34" customFormat="1">
      <c r="C420" s="35"/>
    </row>
    <row r="421" spans="3:3" s="34" customFormat="1">
      <c r="C421" s="35"/>
    </row>
    <row r="422" spans="3:3" s="34" customFormat="1">
      <c r="C422" s="35"/>
    </row>
    <row r="423" spans="3:3" s="34" customFormat="1">
      <c r="C423" s="35"/>
    </row>
    <row r="424" spans="3:3" s="34" customFormat="1">
      <c r="C424" s="35"/>
    </row>
    <row r="425" spans="3:3" s="34" customFormat="1">
      <c r="C425" s="35"/>
    </row>
    <row r="426" spans="3:3" s="34" customFormat="1">
      <c r="C426" s="35"/>
    </row>
    <row r="427" spans="3:3" s="34" customFormat="1">
      <c r="C427" s="35"/>
    </row>
    <row r="428" spans="3:3" s="34" customFormat="1">
      <c r="C428" s="35"/>
    </row>
    <row r="429" spans="3:3" s="34" customFormat="1">
      <c r="C429" s="35"/>
    </row>
    <row r="430" spans="3:3" s="34" customFormat="1">
      <c r="C430" s="35"/>
    </row>
    <row r="431" spans="3:3" s="34" customFormat="1">
      <c r="C431" s="35"/>
    </row>
    <row r="432" spans="3:3" s="34" customFormat="1">
      <c r="C432" s="35"/>
    </row>
    <row r="433" spans="3:3" s="34" customFormat="1">
      <c r="C433" s="35"/>
    </row>
    <row r="434" spans="3:3" s="34" customFormat="1">
      <c r="C434" s="35"/>
    </row>
    <row r="435" spans="3:3" s="34" customFormat="1">
      <c r="C435" s="35"/>
    </row>
    <row r="436" spans="3:3" s="34" customFormat="1">
      <c r="C436" s="35"/>
    </row>
    <row r="437" spans="3:3" s="34" customFormat="1">
      <c r="C437" s="35"/>
    </row>
    <row r="438" spans="3:3" s="34" customFormat="1">
      <c r="C438" s="35"/>
    </row>
    <row r="439" spans="3:3" s="34" customFormat="1">
      <c r="C439" s="35"/>
    </row>
    <row r="440" spans="3:3" s="34" customFormat="1">
      <c r="C440" s="35"/>
    </row>
    <row r="441" spans="3:3" s="34" customFormat="1">
      <c r="C441" s="35"/>
    </row>
    <row r="442" spans="3:3" s="34" customFormat="1">
      <c r="C442" s="35"/>
    </row>
    <row r="443" spans="3:3" s="34" customFormat="1">
      <c r="C443" s="35"/>
    </row>
    <row r="444" spans="3:3" s="34" customFormat="1">
      <c r="C444" s="35"/>
    </row>
    <row r="445" spans="3:3" s="34" customFormat="1">
      <c r="C445" s="35"/>
    </row>
    <row r="446" spans="3:3" s="34" customFormat="1">
      <c r="C446" s="35"/>
    </row>
    <row r="447" spans="3:3" s="34" customFormat="1">
      <c r="C447" s="35"/>
    </row>
    <row r="448" spans="3:3" s="34" customFormat="1">
      <c r="C448" s="35"/>
    </row>
    <row r="449" spans="3:3" s="34" customFormat="1">
      <c r="C449" s="35"/>
    </row>
    <row r="450" spans="3:3" s="34" customFormat="1">
      <c r="C450" s="35"/>
    </row>
    <row r="451" spans="3:3" s="34" customFormat="1">
      <c r="C451" s="35"/>
    </row>
    <row r="452" spans="3:3" s="34" customFormat="1">
      <c r="C452" s="35"/>
    </row>
    <row r="453" spans="3:3" s="34" customFormat="1">
      <c r="C453" s="35"/>
    </row>
    <row r="454" spans="3:3" s="34" customFormat="1">
      <c r="C454" s="35"/>
    </row>
    <row r="455" spans="3:3" s="34" customFormat="1">
      <c r="C455" s="35"/>
    </row>
    <row r="456" spans="3:3" s="34" customFormat="1">
      <c r="C456" s="35"/>
    </row>
    <row r="457" spans="3:3" s="34" customFormat="1">
      <c r="C457" s="35"/>
    </row>
    <row r="458" spans="3:3" s="34" customFormat="1">
      <c r="C458" s="35"/>
    </row>
    <row r="459" spans="3:3" s="34" customFormat="1">
      <c r="C459" s="35"/>
    </row>
    <row r="460" spans="3:3" s="34" customFormat="1">
      <c r="C460" s="35"/>
    </row>
    <row r="461" spans="3:3" s="34" customFormat="1">
      <c r="C461" s="35"/>
    </row>
    <row r="462" spans="3:3" s="34" customFormat="1">
      <c r="C462" s="35"/>
    </row>
    <row r="463" spans="3:3" s="34" customFormat="1">
      <c r="C463" s="35"/>
    </row>
    <row r="464" spans="3:3" s="34" customFormat="1">
      <c r="C464" s="35"/>
    </row>
    <row r="465" spans="3:3" s="34" customFormat="1">
      <c r="C465" s="35"/>
    </row>
    <row r="466" spans="3:3" s="34" customFormat="1">
      <c r="C466" s="35"/>
    </row>
    <row r="467" spans="3:3" s="34" customFormat="1">
      <c r="C467" s="35"/>
    </row>
    <row r="468" spans="3:3" s="34" customFormat="1">
      <c r="C468" s="35"/>
    </row>
    <row r="469" spans="3:3" s="34" customFormat="1">
      <c r="C469" s="35"/>
    </row>
    <row r="470" spans="3:3" s="34" customFormat="1">
      <c r="C470" s="35"/>
    </row>
    <row r="471" spans="3:3" s="34" customFormat="1">
      <c r="C471" s="35"/>
    </row>
    <row r="472" spans="3:3" s="34" customFormat="1">
      <c r="C472" s="35"/>
    </row>
    <row r="473" spans="3:3" s="34" customFormat="1">
      <c r="C473" s="35"/>
    </row>
    <row r="474" spans="3:3" s="34" customFormat="1">
      <c r="C474" s="35"/>
    </row>
    <row r="475" spans="3:3" s="34" customFormat="1">
      <c r="C475" s="35"/>
    </row>
    <row r="476" spans="3:3" s="34" customFormat="1">
      <c r="C476" s="35"/>
    </row>
    <row r="477" spans="3:3" s="34" customFormat="1">
      <c r="C477" s="35"/>
    </row>
    <row r="478" spans="3:3" s="34" customFormat="1">
      <c r="C478" s="35"/>
    </row>
    <row r="479" spans="3:3" s="34" customFormat="1">
      <c r="C479" s="35"/>
    </row>
    <row r="480" spans="3:3" s="34" customFormat="1">
      <c r="C480" s="35"/>
    </row>
    <row r="481" spans="3:3" s="34" customFormat="1">
      <c r="C481" s="35"/>
    </row>
    <row r="482" spans="3:3" s="34" customFormat="1">
      <c r="C482" s="35"/>
    </row>
    <row r="483" spans="3:3" s="34" customFormat="1">
      <c r="C483" s="35"/>
    </row>
    <row r="484" spans="3:3" s="34" customFormat="1">
      <c r="C484" s="35"/>
    </row>
    <row r="485" spans="3:3" s="34" customFormat="1">
      <c r="C485" s="35"/>
    </row>
    <row r="486" spans="3:3" s="34" customFormat="1">
      <c r="C486" s="35"/>
    </row>
    <row r="487" spans="3:3" s="34" customFormat="1">
      <c r="C487" s="35"/>
    </row>
    <row r="488" spans="3:3" s="34" customFormat="1">
      <c r="C488" s="35"/>
    </row>
    <row r="489" spans="3:3" s="34" customFormat="1">
      <c r="C489" s="35"/>
    </row>
    <row r="490" spans="3:3" s="34" customFormat="1">
      <c r="C490" s="35"/>
    </row>
    <row r="491" spans="3:3" s="34" customFormat="1">
      <c r="C491" s="35"/>
    </row>
    <row r="492" spans="3:3" s="34" customFormat="1">
      <c r="C492" s="35"/>
    </row>
    <row r="493" spans="3:3" s="34" customFormat="1">
      <c r="C493" s="35"/>
    </row>
    <row r="494" spans="3:3" s="34" customFormat="1">
      <c r="C494" s="35"/>
    </row>
    <row r="495" spans="3:3" s="34" customFormat="1">
      <c r="C495" s="35"/>
    </row>
    <row r="496" spans="3:3" s="34" customFormat="1">
      <c r="C496" s="35"/>
    </row>
    <row r="497" spans="3:3" s="34" customFormat="1">
      <c r="C497" s="35"/>
    </row>
    <row r="498" spans="3:3" s="34" customFormat="1">
      <c r="C498" s="35"/>
    </row>
    <row r="499" spans="3:3" s="34" customFormat="1">
      <c r="C499" s="35"/>
    </row>
    <row r="500" spans="3:3" s="34" customFormat="1">
      <c r="C500" s="35"/>
    </row>
    <row r="501" spans="3:3" s="34" customFormat="1">
      <c r="C501" s="35"/>
    </row>
    <row r="502" spans="3:3" s="34" customFormat="1">
      <c r="C502" s="35"/>
    </row>
    <row r="503" spans="3:3" s="34" customFormat="1">
      <c r="C503" s="35"/>
    </row>
    <row r="504" spans="3:3" s="34" customFormat="1">
      <c r="C504" s="35"/>
    </row>
    <row r="505" spans="3:3" s="34" customFormat="1">
      <c r="C505" s="35"/>
    </row>
    <row r="506" spans="3:3" s="34" customFormat="1">
      <c r="C506" s="35"/>
    </row>
    <row r="507" spans="3:3" s="34" customFormat="1">
      <c r="C507" s="35"/>
    </row>
    <row r="508" spans="3:3" s="34" customFormat="1">
      <c r="C508" s="35"/>
    </row>
    <row r="509" spans="3:3" s="34" customFormat="1">
      <c r="C509" s="35"/>
    </row>
    <row r="510" spans="3:3" s="34" customFormat="1">
      <c r="C510" s="35"/>
    </row>
    <row r="511" spans="3:3" s="34" customFormat="1">
      <c r="C511" s="35"/>
    </row>
    <row r="512" spans="3:3" s="34" customFormat="1">
      <c r="C512" s="35"/>
    </row>
    <row r="513" spans="3:3" s="34" customFormat="1">
      <c r="C513" s="35"/>
    </row>
    <row r="514" spans="3:3" s="34" customFormat="1">
      <c r="C514" s="35"/>
    </row>
    <row r="515" spans="3:3" s="34" customFormat="1">
      <c r="C515" s="35"/>
    </row>
    <row r="516" spans="3:3" s="34" customFormat="1">
      <c r="C516" s="35"/>
    </row>
    <row r="517" spans="3:3" s="34" customFormat="1">
      <c r="C517" s="35"/>
    </row>
    <row r="518" spans="3:3" s="34" customFormat="1">
      <c r="C518" s="35"/>
    </row>
    <row r="519" spans="3:3" s="34" customFormat="1">
      <c r="C519" s="35"/>
    </row>
    <row r="520" spans="3:3" s="34" customFormat="1">
      <c r="C520" s="35"/>
    </row>
    <row r="521" spans="3:3" s="34" customFormat="1">
      <c r="C521" s="35"/>
    </row>
    <row r="522" spans="3:3" s="34" customFormat="1">
      <c r="C522" s="35"/>
    </row>
    <row r="523" spans="3:3" s="34" customFormat="1">
      <c r="C523" s="35"/>
    </row>
    <row r="524" spans="3:3" s="34" customFormat="1">
      <c r="C524" s="35"/>
    </row>
    <row r="525" spans="3:3" s="34" customFormat="1">
      <c r="C525" s="35"/>
    </row>
    <row r="526" spans="3:3" s="34" customFormat="1">
      <c r="C526" s="35"/>
    </row>
    <row r="527" spans="3:3" s="34" customFormat="1">
      <c r="C527" s="35"/>
    </row>
    <row r="528" spans="3:3" s="34" customFormat="1">
      <c r="C528" s="35"/>
    </row>
    <row r="529" spans="3:3" s="34" customFormat="1">
      <c r="C529" s="35"/>
    </row>
    <row r="530" spans="3:3" s="34" customFormat="1">
      <c r="C530" s="35"/>
    </row>
    <row r="531" spans="3:3" s="34" customFormat="1">
      <c r="C531" s="35"/>
    </row>
    <row r="532" spans="3:3" s="34" customFormat="1">
      <c r="C532" s="35"/>
    </row>
    <row r="533" spans="3:3" s="34" customFormat="1">
      <c r="C533" s="35"/>
    </row>
    <row r="534" spans="3:3" s="34" customFormat="1">
      <c r="C534" s="35"/>
    </row>
    <row r="535" spans="3:3" s="34" customFormat="1">
      <c r="C535" s="35"/>
    </row>
    <row r="536" spans="3:3" s="34" customFormat="1">
      <c r="C536" s="35"/>
    </row>
    <row r="537" spans="3:3" s="34" customFormat="1">
      <c r="C537" s="35"/>
    </row>
    <row r="538" spans="3:3" s="34" customFormat="1">
      <c r="C538" s="35"/>
    </row>
    <row r="539" spans="3:3" s="34" customFormat="1">
      <c r="C539" s="35"/>
    </row>
    <row r="540" spans="3:3" s="34" customFormat="1">
      <c r="C540" s="35"/>
    </row>
    <row r="541" spans="3:3" s="34" customFormat="1">
      <c r="C541" s="35"/>
    </row>
    <row r="542" spans="3:3" s="34" customFormat="1">
      <c r="C542" s="35"/>
    </row>
    <row r="543" spans="3:3" s="34" customFormat="1">
      <c r="C543" s="35"/>
    </row>
    <row r="544" spans="3:3" s="34" customFormat="1">
      <c r="C544" s="35"/>
    </row>
    <row r="545" spans="3:3" s="34" customFormat="1">
      <c r="C545" s="35"/>
    </row>
    <row r="546" spans="3:3" s="34" customFormat="1">
      <c r="C546" s="35"/>
    </row>
    <row r="547" spans="3:3" s="34" customFormat="1">
      <c r="C547" s="35"/>
    </row>
    <row r="548" spans="3:3" s="34" customFormat="1">
      <c r="C548" s="35"/>
    </row>
    <row r="549" spans="3:3" s="34" customFormat="1">
      <c r="C549" s="35"/>
    </row>
    <row r="550" spans="3:3" s="34" customFormat="1">
      <c r="C550" s="35"/>
    </row>
    <row r="551" spans="3:3" s="34" customFormat="1">
      <c r="C551" s="35"/>
    </row>
    <row r="552" spans="3:3" s="34" customFormat="1">
      <c r="C552" s="35"/>
    </row>
    <row r="553" spans="3:3" s="34" customFormat="1">
      <c r="C553" s="35"/>
    </row>
    <row r="554" spans="3:3" s="34" customFormat="1">
      <c r="C554" s="35"/>
    </row>
    <row r="555" spans="3:3" s="34" customFormat="1">
      <c r="C555" s="35"/>
    </row>
    <row r="556" spans="3:3" s="34" customFormat="1">
      <c r="C556" s="35"/>
    </row>
    <row r="557" spans="3:3" s="34" customFormat="1">
      <c r="C557" s="35"/>
    </row>
    <row r="558" spans="3:3" s="34" customFormat="1">
      <c r="C558" s="35"/>
    </row>
    <row r="559" spans="3:3" s="34" customFormat="1">
      <c r="C559" s="35"/>
    </row>
    <row r="560" spans="3:3" s="34" customFormat="1">
      <c r="C560" s="35"/>
    </row>
    <row r="561" spans="3:3" s="34" customFormat="1">
      <c r="C561" s="35"/>
    </row>
    <row r="562" spans="3:3" s="34" customFormat="1">
      <c r="C562" s="35"/>
    </row>
    <row r="563" spans="3:3" s="34" customFormat="1">
      <c r="C563" s="35"/>
    </row>
    <row r="564" spans="3:3" s="34" customFormat="1">
      <c r="C564" s="35"/>
    </row>
    <row r="565" spans="3:3" s="34" customFormat="1">
      <c r="C565" s="35"/>
    </row>
    <row r="566" spans="3:3" s="34" customFormat="1">
      <c r="C566" s="35"/>
    </row>
    <row r="567" spans="3:3" s="34" customFormat="1">
      <c r="C567" s="35"/>
    </row>
    <row r="568" spans="3:3" s="34" customFormat="1">
      <c r="C568" s="35"/>
    </row>
    <row r="569" spans="3:3" s="34" customFormat="1">
      <c r="C569" s="35"/>
    </row>
    <row r="570" spans="3:3" s="34" customFormat="1">
      <c r="C570" s="35"/>
    </row>
    <row r="571" spans="3:3" s="34" customFormat="1">
      <c r="C571" s="35"/>
    </row>
    <row r="572" spans="3:3" s="34" customFormat="1">
      <c r="C572" s="35"/>
    </row>
    <row r="573" spans="3:3" s="34" customFormat="1">
      <c r="C573" s="35"/>
    </row>
    <row r="574" spans="3:3" s="34" customFormat="1">
      <c r="C574" s="35"/>
    </row>
    <row r="575" spans="3:3" s="34" customFormat="1">
      <c r="C575" s="35"/>
    </row>
    <row r="576" spans="3:3" s="34" customFormat="1">
      <c r="C576" s="35"/>
    </row>
    <row r="577" spans="3:3" s="34" customFormat="1">
      <c r="C577" s="35"/>
    </row>
    <row r="578" spans="3:3" s="34" customFormat="1">
      <c r="C578" s="35"/>
    </row>
    <row r="579" spans="3:3" s="34" customFormat="1">
      <c r="C579" s="35"/>
    </row>
    <row r="580" spans="3:3" s="34" customFormat="1">
      <c r="C580" s="35"/>
    </row>
    <row r="581" spans="3:3" s="34" customFormat="1">
      <c r="C581" s="35"/>
    </row>
    <row r="582" spans="3:3" s="34" customFormat="1">
      <c r="C582" s="35"/>
    </row>
    <row r="583" spans="3:3" s="34" customFormat="1">
      <c r="C583" s="35"/>
    </row>
    <row r="584" spans="3:3" s="34" customFormat="1">
      <c r="C584" s="35"/>
    </row>
    <row r="585" spans="3:3" s="34" customFormat="1">
      <c r="C585" s="35"/>
    </row>
    <row r="586" spans="3:3" s="34" customFormat="1">
      <c r="C586" s="35"/>
    </row>
    <row r="587" spans="3:3" s="34" customFormat="1">
      <c r="C587" s="35"/>
    </row>
    <row r="588" spans="3:3" s="34" customFormat="1">
      <c r="C588" s="35"/>
    </row>
    <row r="589" spans="3:3" s="34" customFormat="1">
      <c r="C589" s="35"/>
    </row>
    <row r="590" spans="3:3" s="34" customFormat="1">
      <c r="C590" s="35"/>
    </row>
    <row r="591" spans="3:3" s="34" customFormat="1">
      <c r="C591" s="35"/>
    </row>
    <row r="592" spans="3:3" s="34" customFormat="1">
      <c r="C592" s="35"/>
    </row>
    <row r="593" spans="3:3" s="34" customFormat="1">
      <c r="C593" s="35"/>
    </row>
    <row r="594" spans="3:3" s="34" customFormat="1">
      <c r="C594" s="35"/>
    </row>
    <row r="595" spans="3:3" s="34" customFormat="1">
      <c r="C595" s="35"/>
    </row>
    <row r="596" spans="3:3" s="34" customFormat="1">
      <c r="C596" s="35"/>
    </row>
    <row r="597" spans="3:3" s="34" customFormat="1">
      <c r="C597" s="35"/>
    </row>
    <row r="598" spans="3:3" s="34" customFormat="1">
      <c r="C598" s="35"/>
    </row>
    <row r="599" spans="3:3" s="34" customFormat="1">
      <c r="C599" s="35"/>
    </row>
    <row r="600" spans="3:3" s="34" customFormat="1">
      <c r="C600" s="35"/>
    </row>
    <row r="601" spans="3:3" s="34" customFormat="1">
      <c r="C601" s="35"/>
    </row>
    <row r="602" spans="3:3" s="34" customFormat="1">
      <c r="C602" s="35"/>
    </row>
    <row r="603" spans="3:3" s="34" customFormat="1">
      <c r="C603" s="35"/>
    </row>
    <row r="604" spans="3:3" s="34" customFormat="1">
      <c r="C604" s="35"/>
    </row>
    <row r="605" spans="3:3" s="34" customFormat="1">
      <c r="C605" s="35"/>
    </row>
    <row r="606" spans="3:3" s="34" customFormat="1">
      <c r="C606" s="35"/>
    </row>
    <row r="607" spans="3:3" s="34" customFormat="1">
      <c r="C607" s="35"/>
    </row>
    <row r="608" spans="3:3" s="34" customFormat="1">
      <c r="C608" s="35"/>
    </row>
  </sheetData>
  <sheetProtection sheet="1" objects="1" scenarios="1"/>
  <mergeCells count="1">
    <mergeCell ref="B3:E3"/>
  </mergeCells>
  <conditionalFormatting sqref="C7:C12">
    <cfRule type="containsText" dxfId="119" priority="9" operator="containsText" text="Verified">
      <formula>NOT(ISERROR(SEARCH("Verified",C7)))</formula>
    </cfRule>
    <cfRule type="containsText" dxfId="118" priority="10" operator="containsText" text="Not Complete">
      <formula>NOT(ISERROR(SEARCH("Not Complete",C7)))</formula>
    </cfRule>
  </conditionalFormatting>
  <dataValidations count="1">
    <dataValidation type="list" allowBlank="1" showInputMessage="1" showErrorMessage="1" sqref="C7:C11" xr:uid="{00000000-0002-0000-0000-000000000000}">
      <formula1>"Verified,Not Complete"</formula1>
    </dataValidation>
  </dataValidations>
  <pageMargins left="0.7" right="0.7" top="0.75" bottom="0.75" header="0.3" footer="0.3"/>
  <pageSetup paperSize="9" orientation="portrait" horizontalDpi="75" verticalDpi="75"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AN265"/>
  <sheetViews>
    <sheetView showZeros="0" zoomScale="130" zoomScaleNormal="130" zoomScalePageLayoutView="118" workbookViewId="0">
      <pane ySplit="3" topLeftCell="A4" activePane="bottomLeft" state="frozen"/>
      <selection pane="bottomLeft" activeCell="L6" sqref="L6"/>
    </sheetView>
  </sheetViews>
  <sheetFormatPr baseColWidth="10" defaultColWidth="8.83203125" defaultRowHeight="13"/>
  <cols>
    <col min="1" max="1" width="24.33203125" style="37" customWidth="1"/>
    <col min="2" max="2" width="42.83203125" style="37" customWidth="1"/>
    <col min="3" max="3" width="21.83203125" style="37" customWidth="1"/>
    <col min="4" max="5" width="6.33203125" style="37" customWidth="1"/>
    <col min="6" max="6" width="9.33203125" style="37" customWidth="1"/>
    <col min="7" max="7" width="6.83203125" style="37" customWidth="1"/>
    <col min="8" max="8" width="10.83203125" style="37" customWidth="1"/>
    <col min="9" max="9" width="9" style="37" customWidth="1"/>
    <col min="10" max="10" width="10.1640625" style="37" customWidth="1"/>
    <col min="11" max="11" width="18.1640625" style="38" bestFit="1" customWidth="1"/>
    <col min="12" max="12" width="34.83203125" style="38" customWidth="1"/>
    <col min="13" max="13" width="9.33203125" style="39" bestFit="1" customWidth="1"/>
    <col min="14" max="40" width="8.83203125" style="39"/>
    <col min="41" max="16384" width="8.83203125" style="37"/>
  </cols>
  <sheetData>
    <row r="1" spans="1:40" ht="48" customHeight="1"/>
    <row r="2" spans="1:40" s="39" customFormat="1" ht="2" customHeight="1">
      <c r="K2" s="44"/>
      <c r="L2" s="44"/>
    </row>
    <row r="3" spans="1:40" s="42" customFormat="1" ht="34.5" customHeight="1">
      <c r="A3" s="40" t="s">
        <v>31</v>
      </c>
      <c r="B3" s="40" t="s">
        <v>32</v>
      </c>
      <c r="C3" s="40" t="s">
        <v>33</v>
      </c>
      <c r="D3" s="40" t="s">
        <v>34</v>
      </c>
      <c r="E3" s="40" t="s">
        <v>35</v>
      </c>
      <c r="F3" s="40" t="s">
        <v>128</v>
      </c>
      <c r="G3" s="40"/>
      <c r="H3" s="40"/>
      <c r="I3" s="40"/>
      <c r="J3" s="40"/>
      <c r="K3" s="40" t="s">
        <v>37</v>
      </c>
      <c r="L3" s="40" t="s">
        <v>63</v>
      </c>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row>
    <row r="4" spans="1:40" s="80" customFormat="1" ht="16" customHeight="1">
      <c r="A4" s="251" t="s">
        <v>170</v>
      </c>
      <c r="B4" s="252"/>
      <c r="C4" s="43"/>
      <c r="D4" s="43"/>
      <c r="E4" s="43"/>
      <c r="F4" s="43"/>
      <c r="G4" s="43"/>
      <c r="H4" s="43"/>
      <c r="I4" s="43"/>
      <c r="J4" s="43"/>
      <c r="K4" s="43"/>
      <c r="L4" s="43"/>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row>
    <row r="5" spans="1:40" s="85" customFormat="1" ht="16" customHeight="1">
      <c r="A5" s="130"/>
      <c r="B5" s="81"/>
      <c r="C5" s="81"/>
      <c r="D5" s="81"/>
      <c r="E5" s="81"/>
      <c r="F5" s="81"/>
      <c r="G5" s="81"/>
      <c r="H5" s="81"/>
      <c r="I5" s="82"/>
      <c r="J5" s="82"/>
      <c r="K5" s="83"/>
      <c r="L5" s="83"/>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row>
    <row r="6" spans="1:40" s="85" customFormat="1" ht="16" customHeight="1">
      <c r="A6" s="86"/>
      <c r="B6" s="87"/>
      <c r="C6" s="87"/>
      <c r="D6" s="87"/>
      <c r="E6" s="87"/>
      <c r="F6" s="87"/>
      <c r="G6" s="87"/>
      <c r="H6" s="87"/>
      <c r="I6" s="88"/>
      <c r="J6" s="88"/>
      <c r="K6" s="89" t="s">
        <v>332</v>
      </c>
      <c r="L6" s="189"/>
      <c r="M6" s="210"/>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row>
    <row r="7" spans="1:40" s="85" customFormat="1" ht="16" customHeight="1">
      <c r="A7" s="86"/>
      <c r="B7" s="87"/>
      <c r="C7" s="87"/>
      <c r="D7" s="87"/>
      <c r="E7" s="87"/>
      <c r="F7" s="87"/>
      <c r="G7" s="87"/>
      <c r="H7" s="87"/>
      <c r="I7" s="88"/>
      <c r="J7" s="88"/>
      <c r="K7" s="89" t="s">
        <v>371</v>
      </c>
      <c r="L7" s="189"/>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row>
    <row r="8" spans="1:40" s="85" customFormat="1" ht="16" customHeight="1">
      <c r="A8" s="87" t="str">
        <f>'Deploy Parameters'!$F$15</f>
        <v>sfo01m01vc01</v>
      </c>
      <c r="B8" s="87" t="s">
        <v>127</v>
      </c>
      <c r="C8" s="90" t="s">
        <v>38</v>
      </c>
      <c r="D8" s="89">
        <f>IF('Deploy Parameters'!F18="tiny",2,IF('Deploy Parameters'!F18="small",4,IF('Deploy Parameters'!F18="medium",8,IF('Deploy Parameters'!F18="large",16,IF('Deploy Parameters'!F18="xlarge",24)))))</f>
        <v>4</v>
      </c>
      <c r="E8" s="89">
        <f>IF('Deploy Parameters'!F18="tiny",10,IF('Deploy Parameters'!F18="small",16,IF('Deploy Parameters'!F18="medium",24,IF('Deploy Parameters'!F18="large",32,IF('Deploy Parameters'!F18="xlarge",48)))))</f>
        <v>16</v>
      </c>
      <c r="F8" s="89">
        <f>IF('Deploy Parameters'!F18="tiny",250,IF('Deploy Parameters'!F18="small",290,IF('Deploy Parameters'!F18="medium",425,IF('Deploy Parameters'!F18="large",640,IF('Deploy Parameters'!F18="xlarge",980)))))</f>
        <v>290</v>
      </c>
      <c r="G8" s="89">
        <v>0</v>
      </c>
      <c r="H8" s="91">
        <v>0</v>
      </c>
      <c r="I8" s="89"/>
      <c r="J8" s="89"/>
      <c r="K8" s="89" t="s">
        <v>368</v>
      </c>
      <c r="L8" s="189"/>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row>
    <row r="9" spans="1:40" s="85" customFormat="1" ht="16" customHeight="1">
      <c r="A9" s="87" t="str">
        <f>'Deploy Parameters'!$F$16</f>
        <v>sfo01m01psc01</v>
      </c>
      <c r="B9" s="87" t="s">
        <v>189</v>
      </c>
      <c r="C9" s="90" t="s">
        <v>38</v>
      </c>
      <c r="D9" s="89">
        <v>2</v>
      </c>
      <c r="E9" s="89">
        <v>4</v>
      </c>
      <c r="F9" s="89">
        <v>60</v>
      </c>
      <c r="G9" s="89">
        <f t="shared" ref="G9:G15" si="0">E9*H9</f>
        <v>0</v>
      </c>
      <c r="H9" s="91"/>
      <c r="I9" s="89"/>
      <c r="J9" s="89"/>
      <c r="K9" s="89" t="s">
        <v>368</v>
      </c>
      <c r="L9" s="92"/>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row>
    <row r="10" spans="1:40" s="85" customFormat="1" ht="16" customHeight="1">
      <c r="A10" s="90" t="str">
        <f>'Deploy Parameters'!$F$29</f>
        <v>sfo01m01nsx01</v>
      </c>
      <c r="B10" s="87" t="s">
        <v>39</v>
      </c>
      <c r="C10" s="90" t="s">
        <v>38</v>
      </c>
      <c r="D10" s="89">
        <v>4</v>
      </c>
      <c r="E10" s="89">
        <v>16</v>
      </c>
      <c r="F10" s="89">
        <v>60</v>
      </c>
      <c r="G10" s="89">
        <f t="shared" si="0"/>
        <v>0</v>
      </c>
      <c r="H10" s="91"/>
      <c r="I10" s="89"/>
      <c r="J10" s="89"/>
      <c r="K10" s="89" t="s">
        <v>370</v>
      </c>
      <c r="L10" s="189"/>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row>
    <row r="11" spans="1:40" s="85" customFormat="1" ht="16" customHeight="1">
      <c r="A11" s="87" t="str">
        <f>'Deploy Parameters'!$F$17</f>
        <v>sfo01w01psc01</v>
      </c>
      <c r="B11" s="87" t="s">
        <v>190</v>
      </c>
      <c r="C11" s="90" t="s">
        <v>38</v>
      </c>
      <c r="D11" s="89">
        <v>2</v>
      </c>
      <c r="E11" s="89">
        <v>4</v>
      </c>
      <c r="F11" s="89">
        <v>60</v>
      </c>
      <c r="G11" s="89">
        <f t="shared" si="0"/>
        <v>0</v>
      </c>
      <c r="H11" s="91"/>
      <c r="I11" s="89"/>
      <c r="J11" s="89"/>
      <c r="K11" s="89" t="s">
        <v>368</v>
      </c>
      <c r="L11" s="92"/>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row>
    <row r="12" spans="1:40" s="85" customFormat="1" ht="16" customHeight="1">
      <c r="A12" s="90" t="s">
        <v>148</v>
      </c>
      <c r="B12" s="87" t="s">
        <v>145</v>
      </c>
      <c r="C12" s="90" t="s">
        <v>38</v>
      </c>
      <c r="D12" s="89">
        <v>4</v>
      </c>
      <c r="E12" s="89">
        <v>4</v>
      </c>
      <c r="F12" s="89">
        <v>20</v>
      </c>
      <c r="G12" s="89">
        <f t="shared" si="0"/>
        <v>0</v>
      </c>
      <c r="H12" s="91"/>
      <c r="I12" s="89"/>
      <c r="J12" s="89"/>
      <c r="K12" s="89" t="s">
        <v>370</v>
      </c>
      <c r="L12" s="92"/>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row>
    <row r="13" spans="1:40" s="85" customFormat="1" ht="16" customHeight="1">
      <c r="A13" s="90" t="s">
        <v>149</v>
      </c>
      <c r="B13" s="87" t="s">
        <v>147</v>
      </c>
      <c r="C13" s="90" t="s">
        <v>38</v>
      </c>
      <c r="D13" s="89">
        <v>4</v>
      </c>
      <c r="E13" s="89">
        <v>4</v>
      </c>
      <c r="F13" s="89">
        <v>20</v>
      </c>
      <c r="G13" s="89">
        <f t="shared" si="0"/>
        <v>0</v>
      </c>
      <c r="H13" s="91"/>
      <c r="I13" s="89"/>
      <c r="J13" s="89"/>
      <c r="K13" s="89" t="s">
        <v>370</v>
      </c>
      <c r="L13" s="92"/>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row>
    <row r="14" spans="1:40" s="171" customFormat="1" ht="16" customHeight="1">
      <c r="A14" s="90" t="s">
        <v>150</v>
      </c>
      <c r="B14" s="87" t="s">
        <v>146</v>
      </c>
      <c r="C14" s="90" t="s">
        <v>38</v>
      </c>
      <c r="D14" s="89">
        <v>4</v>
      </c>
      <c r="E14" s="89">
        <v>4</v>
      </c>
      <c r="F14" s="89">
        <v>20</v>
      </c>
      <c r="G14" s="89">
        <f t="shared" si="0"/>
        <v>0</v>
      </c>
      <c r="H14" s="91"/>
      <c r="I14" s="89"/>
      <c r="J14" s="89"/>
      <c r="K14" s="89" t="s">
        <v>370</v>
      </c>
      <c r="L14" s="92"/>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row>
    <row r="15" spans="1:40" s="85" customFormat="1" ht="16" customHeight="1">
      <c r="A15" s="90" t="str">
        <f>'Deploy Parameters'!F42</f>
        <v>sddc-manager</v>
      </c>
      <c r="B15" s="87" t="s">
        <v>215</v>
      </c>
      <c r="C15" s="90" t="s">
        <v>38</v>
      </c>
      <c r="D15" s="89">
        <v>4</v>
      </c>
      <c r="E15" s="89">
        <v>16</v>
      </c>
      <c r="F15" s="89">
        <v>800</v>
      </c>
      <c r="G15" s="89">
        <f t="shared" si="0"/>
        <v>0</v>
      </c>
      <c r="H15" s="91"/>
      <c r="I15" s="89"/>
      <c r="J15" s="89"/>
      <c r="K15" s="89" t="s">
        <v>369</v>
      </c>
      <c r="L15" s="189"/>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row>
    <row r="16" spans="1:40" s="85" customFormat="1" ht="16" customHeight="1">
      <c r="A16" s="93"/>
      <c r="B16" s="94"/>
      <c r="C16" s="95" t="s">
        <v>161</v>
      </c>
      <c r="D16" s="96">
        <f>SUM(D8:D15)</f>
        <v>28</v>
      </c>
      <c r="E16" s="96">
        <f>SUM(E8:E15)</f>
        <v>68</v>
      </c>
      <c r="F16" s="96">
        <f>SUM(F8:F15)</f>
        <v>1330</v>
      </c>
      <c r="G16" s="100" t="s">
        <v>169</v>
      </c>
      <c r="H16" s="98"/>
      <c r="I16" s="97"/>
      <c r="J16" s="97"/>
      <c r="K16" s="99"/>
      <c r="L16" s="97"/>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row>
    <row r="17" spans="1:40" s="177" customFormat="1" ht="16" customHeight="1">
      <c r="A17" s="130"/>
      <c r="B17" s="81"/>
      <c r="C17" s="81"/>
      <c r="D17" s="81"/>
      <c r="E17" s="81"/>
      <c r="F17" s="81"/>
      <c r="G17" s="81"/>
      <c r="H17" s="81"/>
      <c r="I17" s="82"/>
      <c r="J17" s="82"/>
      <c r="K17" s="181"/>
      <c r="L17" s="83"/>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row>
    <row r="18" spans="1:40" s="177" customFormat="1" ht="16" customHeight="1">
      <c r="A18" s="90" t="str">
        <f>'Deploy Parameters'!F36</f>
        <v>sfo01vrli01a</v>
      </c>
      <c r="B18" s="87" t="s">
        <v>236</v>
      </c>
      <c r="C18" s="90" t="s">
        <v>38</v>
      </c>
      <c r="D18" s="89">
        <f>IF('Deploy Parameters'!F39="xsmall",2,IF('Deploy Parameters'!F39="small",4,IF('Deploy Parameters'!F39="medium",8,IF('Deploy Parameters'!F39="large",16))))</f>
        <v>8</v>
      </c>
      <c r="E18" s="89">
        <f>IF('Deploy Parameters'!F39="xsmall",4,IF('Deploy Parameters'!F39="small",8,IF('Deploy Parameters'!F39="medium",16,IF('Deploy Parameters'!F39="large",32))))</f>
        <v>16</v>
      </c>
      <c r="F18" s="89">
        <v>1312</v>
      </c>
      <c r="G18" s="89">
        <f>E18*H18</f>
        <v>0</v>
      </c>
      <c r="H18" s="91"/>
      <c r="I18" s="89"/>
      <c r="J18" s="89"/>
      <c r="K18" s="182">
        <v>4.7</v>
      </c>
      <c r="L18" s="245"/>
      <c r="M18" s="176"/>
      <c r="N18" s="176"/>
      <c r="O18" s="176"/>
      <c r="P18" s="176"/>
      <c r="Q18" s="176"/>
      <c r="R18" s="176"/>
      <c r="S18" s="176"/>
      <c r="T18" s="176"/>
      <c r="U18" s="176"/>
      <c r="V18" s="176"/>
      <c r="W18" s="176"/>
      <c r="X18" s="176"/>
      <c r="Y18" s="176"/>
      <c r="Z18" s="176"/>
      <c r="AA18" s="176"/>
      <c r="AB18" s="176"/>
      <c r="AC18" s="176"/>
      <c r="AD18" s="176"/>
      <c r="AE18" s="176"/>
      <c r="AF18" s="176"/>
      <c r="AG18" s="176"/>
      <c r="AH18" s="176"/>
      <c r="AI18" s="176"/>
      <c r="AJ18" s="176"/>
      <c r="AK18" s="176"/>
      <c r="AL18" s="176"/>
      <c r="AM18" s="176"/>
      <c r="AN18" s="176"/>
    </row>
    <row r="19" spans="1:40" s="177" customFormat="1" ht="16" customHeight="1">
      <c r="A19" s="90" t="str">
        <f>'Deploy Parameters'!F37</f>
        <v>sfo01vrli01b</v>
      </c>
      <c r="B19" s="87" t="s">
        <v>237</v>
      </c>
      <c r="C19" s="90" t="s">
        <v>38</v>
      </c>
      <c r="D19" s="89">
        <f>IF('Deploy Parameters'!F39="xsmall",2,IF('Deploy Parameters'!F39="small",4,IF('Deploy Parameters'!F39="medium",8,IF('Deploy Parameters'!F39="large",16))))</f>
        <v>8</v>
      </c>
      <c r="E19" s="89">
        <f>IF('Deploy Parameters'!F39="xsmall",4,IF('Deploy Parameters'!F39="small",8,IF('Deploy Parameters'!F39="medium",16,IF('Deploy Parameters'!F39="large",32))))</f>
        <v>16</v>
      </c>
      <c r="F19" s="89">
        <v>1312</v>
      </c>
      <c r="G19" s="89">
        <f>E19*H19</f>
        <v>0</v>
      </c>
      <c r="H19" s="91"/>
      <c r="I19" s="89"/>
      <c r="J19" s="89"/>
      <c r="K19" s="182">
        <v>4.7</v>
      </c>
      <c r="L19" s="246"/>
      <c r="M19" s="176"/>
      <c r="N19" s="176"/>
      <c r="O19" s="176"/>
      <c r="P19" s="176"/>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row>
    <row r="20" spans="1:40" s="177" customFormat="1" ht="16" customHeight="1">
      <c r="A20" s="90" t="str">
        <f>'Deploy Parameters'!F38</f>
        <v>sfo01vrli01c</v>
      </c>
      <c r="B20" s="87" t="s">
        <v>237</v>
      </c>
      <c r="C20" s="90" t="s">
        <v>38</v>
      </c>
      <c r="D20" s="89">
        <f>IF('Deploy Parameters'!F39="xsmall",2,IF('Deploy Parameters'!F39="small",4,IF('Deploy Parameters'!F39="medium",8,IF('Deploy Parameters'!F39="large",16))))</f>
        <v>8</v>
      </c>
      <c r="E20" s="89">
        <f>IF('Deploy Parameters'!F39="xsmall",4,IF('Deploy Parameters'!F39="small",8,IF('Deploy Parameters'!F39="medium",16,IF('Deploy Parameters'!F39="large",32))))</f>
        <v>16</v>
      </c>
      <c r="F20" s="89">
        <v>1312</v>
      </c>
      <c r="G20" s="89">
        <f>E20*H20</f>
        <v>0</v>
      </c>
      <c r="H20" s="91"/>
      <c r="I20" s="89"/>
      <c r="J20" s="89"/>
      <c r="K20" s="182">
        <v>4.7</v>
      </c>
      <c r="L20" s="247"/>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row>
    <row r="21" spans="1:40" s="177" customFormat="1" ht="16" customHeight="1">
      <c r="A21" s="93"/>
      <c r="B21" s="94"/>
      <c r="C21" s="95" t="s">
        <v>238</v>
      </c>
      <c r="D21" s="96">
        <f>SUM(D18:D20)</f>
        <v>24</v>
      </c>
      <c r="E21" s="96">
        <f>SUM(E18:E20)</f>
        <v>48</v>
      </c>
      <c r="F21" s="96">
        <f>SUM(F18:F20)</f>
        <v>3936</v>
      </c>
      <c r="G21" s="97"/>
      <c r="H21" s="98"/>
      <c r="I21" s="97"/>
      <c r="J21" s="97"/>
      <c r="K21" s="99"/>
      <c r="L21" s="97"/>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row>
    <row r="22" spans="1:40" s="84" customFormat="1" ht="16" customHeight="1">
      <c r="F22" s="101"/>
      <c r="H22" s="101"/>
      <c r="K22" s="101"/>
      <c r="L22" s="101"/>
    </row>
    <row r="23" spans="1:40" s="84" customFormat="1" ht="16" customHeight="1">
      <c r="C23" s="253" t="s">
        <v>171</v>
      </c>
      <c r="D23" s="254"/>
      <c r="E23" s="254"/>
      <c r="F23" s="254"/>
      <c r="G23" s="255"/>
      <c r="H23" s="255"/>
      <c r="I23" s="255"/>
      <c r="J23" s="255"/>
      <c r="K23" s="101"/>
      <c r="L23" s="101"/>
    </row>
    <row r="24" spans="1:40" s="84" customFormat="1" ht="16" customHeight="1" thickBot="1">
      <c r="D24" s="102" t="s">
        <v>40</v>
      </c>
      <c r="E24" s="102" t="s">
        <v>35</v>
      </c>
      <c r="F24" s="102" t="s">
        <v>36</v>
      </c>
      <c r="I24" s="96"/>
      <c r="J24" s="96"/>
      <c r="K24" s="101"/>
      <c r="L24" s="101"/>
    </row>
    <row r="25" spans="1:40" s="84" customFormat="1" ht="16" customHeight="1" thickBot="1">
      <c r="C25" s="100" t="s">
        <v>41</v>
      </c>
      <c r="D25" s="103">
        <f>SUM(D21+D16)</f>
        <v>52</v>
      </c>
      <c r="E25" s="103">
        <f>SUM(E21+E16)</f>
        <v>116</v>
      </c>
      <c r="F25" s="103">
        <f>SUM(F21+F16)</f>
        <v>5266</v>
      </c>
      <c r="I25" s="97"/>
      <c r="J25" s="97"/>
      <c r="K25" s="101"/>
      <c r="L25" s="101"/>
    </row>
    <row r="26" spans="1:40" s="84" customFormat="1" ht="16" customHeight="1">
      <c r="C26" s="100" t="s">
        <v>42</v>
      </c>
      <c r="D26" s="101"/>
      <c r="E26" s="101"/>
      <c r="F26" s="101">
        <f>ROUNDUP(F25*1.3,0)</f>
        <v>6846</v>
      </c>
      <c r="I26" s="101"/>
      <c r="J26" s="101"/>
      <c r="K26" s="101"/>
      <c r="L26" s="101"/>
    </row>
    <row r="27" spans="1:40" s="84" customFormat="1" ht="16" customHeight="1" thickBot="1">
      <c r="K27" s="101"/>
      <c r="L27" s="101"/>
    </row>
    <row r="28" spans="1:40" s="84" customFormat="1" ht="16" customHeight="1">
      <c r="C28" s="248" t="s">
        <v>43</v>
      </c>
      <c r="D28" s="249"/>
      <c r="E28" s="249"/>
      <c r="F28" s="250"/>
      <c r="H28" s="104" t="s">
        <v>44</v>
      </c>
      <c r="I28" s="105"/>
      <c r="J28" s="105"/>
      <c r="K28" s="106"/>
      <c r="L28" s="107"/>
    </row>
    <row r="29" spans="1:40" s="84" customFormat="1" ht="16" customHeight="1">
      <c r="C29" s="256" t="s">
        <v>45</v>
      </c>
      <c r="D29" s="257"/>
      <c r="E29" s="97">
        <v>4</v>
      </c>
      <c r="F29" s="108" t="s">
        <v>3</v>
      </c>
      <c r="H29" s="109" t="s">
        <v>140</v>
      </c>
      <c r="I29" s="94"/>
      <c r="J29" s="110">
        <f>(K34*K35)*E29</f>
        <v>16384</v>
      </c>
      <c r="K29" s="108" t="s">
        <v>46</v>
      </c>
    </row>
    <row r="30" spans="1:40" s="84" customFormat="1" ht="16" customHeight="1">
      <c r="C30" s="256" t="s">
        <v>47</v>
      </c>
      <c r="D30" s="257"/>
      <c r="E30" s="97">
        <v>1</v>
      </c>
      <c r="F30" s="108" t="s">
        <v>3</v>
      </c>
      <c r="H30" s="109" t="s">
        <v>48</v>
      </c>
      <c r="I30" s="94"/>
      <c r="J30" s="94">
        <f>E30</f>
        <v>1</v>
      </c>
      <c r="K30" s="108" t="s">
        <v>3</v>
      </c>
    </row>
    <row r="31" spans="1:40" s="84" customFormat="1" ht="16" customHeight="1" thickBot="1">
      <c r="C31" s="258" t="s">
        <v>49</v>
      </c>
      <c r="D31" s="259"/>
      <c r="E31" s="103">
        <f>E29-E30</f>
        <v>3</v>
      </c>
      <c r="F31" s="111" t="s">
        <v>3</v>
      </c>
      <c r="H31" s="109" t="s">
        <v>50</v>
      </c>
      <c r="I31" s="94"/>
      <c r="J31" s="112">
        <v>15</v>
      </c>
      <c r="K31" s="108" t="s">
        <v>51</v>
      </c>
    </row>
    <row r="32" spans="1:40" s="84" customFormat="1" ht="16" customHeight="1" thickBot="1">
      <c r="H32" s="109" t="s">
        <v>143</v>
      </c>
      <c r="I32" s="94"/>
      <c r="J32" s="110">
        <f>((J29/100*J31)+J29)/E29</f>
        <v>4710.3999999999996</v>
      </c>
      <c r="K32" s="108" t="s">
        <v>46</v>
      </c>
    </row>
    <row r="33" spans="3:14" s="84" customFormat="1" ht="16" customHeight="1">
      <c r="C33" s="248" t="s">
        <v>134</v>
      </c>
      <c r="D33" s="249"/>
      <c r="E33" s="249"/>
      <c r="F33" s="250"/>
      <c r="H33" s="113" t="s">
        <v>137</v>
      </c>
      <c r="I33" s="114"/>
      <c r="J33" s="115" t="s">
        <v>138</v>
      </c>
      <c r="K33" s="116" t="s">
        <v>139</v>
      </c>
      <c r="M33" s="94"/>
      <c r="N33" s="94"/>
    </row>
    <row r="34" spans="3:14" s="84" customFormat="1" ht="16" customHeight="1">
      <c r="C34" s="256" t="s">
        <v>133</v>
      </c>
      <c r="D34" s="257"/>
      <c r="E34" s="110">
        <f>$E$25/$E$29</f>
        <v>29</v>
      </c>
      <c r="F34" s="108" t="s">
        <v>46</v>
      </c>
      <c r="H34" s="117" t="s">
        <v>132</v>
      </c>
      <c r="I34" s="94"/>
      <c r="J34" s="96">
        <v>300</v>
      </c>
      <c r="K34" s="118">
        <v>2048</v>
      </c>
      <c r="M34" s="94"/>
      <c r="N34" s="94"/>
    </row>
    <row r="35" spans="3:14" s="84" customFormat="1" ht="16" customHeight="1">
      <c r="C35" s="256" t="s">
        <v>52</v>
      </c>
      <c r="D35" s="257"/>
      <c r="E35" s="94">
        <v>192</v>
      </c>
      <c r="F35" s="108" t="s">
        <v>46</v>
      </c>
      <c r="H35" s="109" t="s">
        <v>53</v>
      </c>
      <c r="I35" s="94"/>
      <c r="J35" s="119">
        <v>1</v>
      </c>
      <c r="K35" s="120">
        <v>2</v>
      </c>
      <c r="M35" s="94"/>
      <c r="N35" s="94"/>
    </row>
    <row r="36" spans="3:14" s="84" customFormat="1" ht="16" customHeight="1">
      <c r="C36" s="256" t="s">
        <v>54</v>
      </c>
      <c r="D36" s="257"/>
      <c r="E36" s="112">
        <f>$E$34/$E$35*100</f>
        <v>15.104166666666666</v>
      </c>
      <c r="F36" s="108" t="s">
        <v>51</v>
      </c>
      <c r="H36" s="109" t="s">
        <v>141</v>
      </c>
      <c r="I36" s="94"/>
      <c r="J36" s="94">
        <f>(J34*J35)+(K34*K35)</f>
        <v>4396</v>
      </c>
      <c r="K36" s="108" t="s">
        <v>46</v>
      </c>
      <c r="M36" s="94"/>
      <c r="N36" s="94"/>
    </row>
    <row r="37" spans="3:14" s="84" customFormat="1" ht="16" customHeight="1" thickBot="1">
      <c r="C37" s="256" t="s">
        <v>55</v>
      </c>
      <c r="D37" s="257"/>
      <c r="E37" s="94">
        <f>$E$25/$E$31</f>
        <v>38.666666666666664</v>
      </c>
      <c r="F37" s="108" t="s">
        <v>46</v>
      </c>
      <c r="H37" s="121" t="s">
        <v>142</v>
      </c>
      <c r="I37" s="122"/>
      <c r="J37" s="123">
        <f>J36*E29</f>
        <v>17584</v>
      </c>
      <c r="K37" s="111" t="s">
        <v>46</v>
      </c>
      <c r="M37" s="94"/>
      <c r="N37" s="94"/>
    </row>
    <row r="38" spans="3:14" s="84" customFormat="1" ht="16" customHeight="1" thickBot="1">
      <c r="C38" s="258" t="s">
        <v>56</v>
      </c>
      <c r="D38" s="259"/>
      <c r="E38" s="124">
        <f>$E$37/$E$35*100</f>
        <v>20.138888888888886</v>
      </c>
      <c r="F38" s="111" t="s">
        <v>51</v>
      </c>
      <c r="K38" s="119"/>
      <c r="L38" s="119"/>
      <c r="M38" s="94"/>
      <c r="N38" s="94"/>
    </row>
    <row r="39" spans="3:14" s="84" customFormat="1" ht="16" customHeight="1" thickBot="1">
      <c r="G39" s="125"/>
      <c r="H39" s="125"/>
      <c r="I39" s="94"/>
      <c r="J39" s="94"/>
      <c r="K39" s="96"/>
      <c r="L39" s="96"/>
      <c r="M39" s="94"/>
      <c r="N39" s="94"/>
    </row>
    <row r="40" spans="3:14" s="84" customFormat="1" ht="16" customHeight="1">
      <c r="C40" s="248" t="s">
        <v>57</v>
      </c>
      <c r="D40" s="249"/>
      <c r="E40" s="249"/>
      <c r="F40" s="250"/>
      <c r="G40" s="110"/>
      <c r="H40" s="94"/>
      <c r="I40" s="94"/>
      <c r="J40" s="94"/>
      <c r="K40" s="119"/>
      <c r="L40" s="119"/>
      <c r="M40" s="94"/>
      <c r="N40" s="94"/>
    </row>
    <row r="41" spans="3:14" s="84" customFormat="1" ht="16" customHeight="1">
      <c r="C41" s="109"/>
      <c r="D41" s="126" t="s">
        <v>58</v>
      </c>
      <c r="E41" s="94">
        <v>2</v>
      </c>
      <c r="F41" s="108" t="s">
        <v>59</v>
      </c>
      <c r="G41" s="110"/>
      <c r="H41" s="94"/>
      <c r="I41" s="94"/>
      <c r="J41" s="94"/>
      <c r="K41" s="119"/>
      <c r="L41" s="119"/>
      <c r="M41" s="94"/>
      <c r="N41" s="94"/>
    </row>
    <row r="42" spans="3:14" s="84" customFormat="1" ht="16" customHeight="1">
      <c r="C42" s="109"/>
      <c r="D42" s="126" t="s">
        <v>60</v>
      </c>
      <c r="E42" s="94">
        <v>12</v>
      </c>
      <c r="F42" s="108" t="s">
        <v>61</v>
      </c>
      <c r="G42" s="94"/>
      <c r="H42" s="94"/>
      <c r="I42" s="94"/>
      <c r="J42" s="94"/>
      <c r="K42" s="97"/>
      <c r="L42" s="97"/>
      <c r="M42" s="94"/>
      <c r="N42" s="94"/>
    </row>
    <row r="43" spans="3:14" s="84" customFormat="1" ht="16" customHeight="1">
      <c r="C43" s="109"/>
      <c r="D43" s="126" t="s">
        <v>52</v>
      </c>
      <c r="E43" s="110">
        <f>$E$41*$E$42</f>
        <v>24</v>
      </c>
      <c r="F43" s="108" t="s">
        <v>61</v>
      </c>
      <c r="G43" s="94"/>
      <c r="H43" s="94"/>
      <c r="I43" s="94"/>
      <c r="J43" s="94"/>
      <c r="K43" s="97"/>
      <c r="L43" s="97"/>
      <c r="M43" s="94"/>
      <c r="N43" s="94"/>
    </row>
    <row r="44" spans="3:14" s="84" customFormat="1" ht="16" customHeight="1">
      <c r="C44" s="109"/>
      <c r="D44" s="126" t="s">
        <v>62</v>
      </c>
      <c r="E44" s="110">
        <f>$E$43*$E$29</f>
        <v>96</v>
      </c>
      <c r="F44" s="108" t="s">
        <v>61</v>
      </c>
      <c r="K44" s="101"/>
      <c r="L44" s="101"/>
    </row>
    <row r="45" spans="3:14" s="84" customFormat="1" ht="16" customHeight="1">
      <c r="C45" s="109"/>
      <c r="D45" s="126" t="s">
        <v>135</v>
      </c>
      <c r="E45" s="127">
        <f>$D$25/($E$29*$E$43)</f>
        <v>0.54166666666666663</v>
      </c>
      <c r="F45" s="108"/>
      <c r="K45" s="101"/>
      <c r="L45" s="101"/>
    </row>
    <row r="46" spans="3:14" s="84" customFormat="1" ht="16" customHeight="1" thickBot="1">
      <c r="C46" s="121"/>
      <c r="D46" s="128" t="s">
        <v>136</v>
      </c>
      <c r="E46" s="129">
        <f>D25/(E31*E43)</f>
        <v>0.72222222222222221</v>
      </c>
      <c r="F46" s="111"/>
      <c r="K46" s="101"/>
      <c r="L46" s="101"/>
    </row>
    <row r="47" spans="3:14" s="84" customFormat="1">
      <c r="K47" s="101"/>
      <c r="L47" s="101"/>
    </row>
    <row r="48" spans="3:14" s="84" customFormat="1">
      <c r="K48" s="101"/>
      <c r="L48" s="101"/>
    </row>
    <row r="49" spans="11:12" s="84" customFormat="1">
      <c r="K49" s="101"/>
      <c r="L49" s="101"/>
    </row>
    <row r="50" spans="11:12" s="84" customFormat="1">
      <c r="K50" s="101"/>
      <c r="L50" s="101"/>
    </row>
    <row r="51" spans="11:12" s="84" customFormat="1">
      <c r="K51" s="101"/>
      <c r="L51" s="101"/>
    </row>
    <row r="52" spans="11:12" s="84" customFormat="1">
      <c r="K52" s="101"/>
      <c r="L52" s="101"/>
    </row>
    <row r="53" spans="11:12" s="84" customFormat="1">
      <c r="K53" s="101"/>
      <c r="L53" s="101"/>
    </row>
    <row r="54" spans="11:12" s="84" customFormat="1">
      <c r="K54" s="101"/>
      <c r="L54" s="101"/>
    </row>
    <row r="55" spans="11:12" s="84" customFormat="1">
      <c r="K55" s="101"/>
      <c r="L55" s="101"/>
    </row>
    <row r="56" spans="11:12" s="84" customFormat="1">
      <c r="K56" s="101"/>
      <c r="L56" s="101"/>
    </row>
    <row r="57" spans="11:12" s="84" customFormat="1">
      <c r="K57" s="101"/>
      <c r="L57" s="101"/>
    </row>
    <row r="58" spans="11:12" s="84" customFormat="1">
      <c r="K58" s="101"/>
      <c r="L58" s="101"/>
    </row>
    <row r="59" spans="11:12" s="84" customFormat="1">
      <c r="K59" s="101"/>
      <c r="L59" s="101"/>
    </row>
    <row r="60" spans="11:12" s="84" customFormat="1">
      <c r="K60" s="101"/>
      <c r="L60" s="101"/>
    </row>
    <row r="61" spans="11:12" s="84" customFormat="1">
      <c r="K61" s="101"/>
      <c r="L61" s="101"/>
    </row>
    <row r="62" spans="11:12" s="84" customFormat="1">
      <c r="K62" s="101"/>
      <c r="L62" s="101"/>
    </row>
    <row r="63" spans="11:12" s="84" customFormat="1">
      <c r="K63" s="101"/>
      <c r="L63" s="101"/>
    </row>
    <row r="64" spans="11:12" s="84" customFormat="1">
      <c r="K64" s="101"/>
      <c r="L64" s="101"/>
    </row>
    <row r="65" spans="11:12" s="84" customFormat="1">
      <c r="K65" s="101"/>
      <c r="L65" s="101"/>
    </row>
    <row r="66" spans="11:12" s="84" customFormat="1">
      <c r="K66" s="101"/>
      <c r="L66" s="101"/>
    </row>
    <row r="67" spans="11:12" s="84" customFormat="1">
      <c r="K67" s="101"/>
      <c r="L67" s="101"/>
    </row>
    <row r="68" spans="11:12" s="84" customFormat="1">
      <c r="K68" s="101"/>
      <c r="L68" s="101"/>
    </row>
    <row r="69" spans="11:12" s="84" customFormat="1">
      <c r="K69" s="101"/>
      <c r="L69" s="101"/>
    </row>
    <row r="70" spans="11:12" s="84" customFormat="1">
      <c r="K70" s="101"/>
      <c r="L70" s="101"/>
    </row>
    <row r="71" spans="11:12" s="84" customFormat="1">
      <c r="K71" s="101"/>
      <c r="L71" s="101"/>
    </row>
    <row r="72" spans="11:12" s="84" customFormat="1">
      <c r="K72" s="101"/>
      <c r="L72" s="101"/>
    </row>
    <row r="73" spans="11:12" s="84" customFormat="1">
      <c r="K73" s="101"/>
      <c r="L73" s="101"/>
    </row>
    <row r="74" spans="11:12" s="84" customFormat="1">
      <c r="K74" s="101"/>
      <c r="L74" s="101"/>
    </row>
    <row r="75" spans="11:12" s="84" customFormat="1">
      <c r="K75" s="101"/>
      <c r="L75" s="101"/>
    </row>
    <row r="76" spans="11:12" s="84" customFormat="1">
      <c r="K76" s="101"/>
      <c r="L76" s="101"/>
    </row>
    <row r="77" spans="11:12" s="84" customFormat="1">
      <c r="K77" s="101"/>
      <c r="L77" s="101"/>
    </row>
    <row r="78" spans="11:12" s="84" customFormat="1">
      <c r="K78" s="101"/>
      <c r="L78" s="101"/>
    </row>
    <row r="79" spans="11:12" s="84" customFormat="1">
      <c r="K79" s="101"/>
      <c r="L79" s="101"/>
    </row>
    <row r="80" spans="11:12" s="84" customFormat="1">
      <c r="K80" s="101"/>
      <c r="L80" s="101"/>
    </row>
    <row r="81" spans="11:12" s="84" customFormat="1">
      <c r="K81" s="101"/>
      <c r="L81" s="101"/>
    </row>
    <row r="82" spans="11:12" s="84" customFormat="1">
      <c r="K82" s="101"/>
      <c r="L82" s="101"/>
    </row>
    <row r="83" spans="11:12" s="84" customFormat="1">
      <c r="K83" s="101"/>
      <c r="L83" s="101"/>
    </row>
    <row r="84" spans="11:12" s="84" customFormat="1">
      <c r="K84" s="101"/>
      <c r="L84" s="101"/>
    </row>
    <row r="85" spans="11:12" s="84" customFormat="1">
      <c r="K85" s="101"/>
      <c r="L85" s="101"/>
    </row>
    <row r="86" spans="11:12" s="84" customFormat="1">
      <c r="K86" s="101"/>
      <c r="L86" s="101"/>
    </row>
    <row r="87" spans="11:12" s="84" customFormat="1">
      <c r="K87" s="101"/>
      <c r="L87" s="101"/>
    </row>
    <row r="88" spans="11:12" s="84" customFormat="1">
      <c r="K88" s="101"/>
      <c r="L88" s="101"/>
    </row>
    <row r="89" spans="11:12" s="84" customFormat="1">
      <c r="K89" s="101"/>
      <c r="L89" s="101"/>
    </row>
    <row r="90" spans="11:12" s="84" customFormat="1">
      <c r="K90" s="101"/>
      <c r="L90" s="101"/>
    </row>
    <row r="91" spans="11:12" s="84" customFormat="1">
      <c r="K91" s="101"/>
      <c r="L91" s="101"/>
    </row>
    <row r="92" spans="11:12" s="84" customFormat="1">
      <c r="K92" s="101"/>
      <c r="L92" s="101"/>
    </row>
    <row r="93" spans="11:12" s="84" customFormat="1">
      <c r="K93" s="101"/>
      <c r="L93" s="101"/>
    </row>
    <row r="94" spans="11:12" s="84" customFormat="1">
      <c r="K94" s="101"/>
      <c r="L94" s="101"/>
    </row>
    <row r="95" spans="11:12" s="84" customFormat="1">
      <c r="K95" s="101"/>
      <c r="L95" s="101"/>
    </row>
    <row r="96" spans="11:12" s="84" customFormat="1">
      <c r="K96" s="101"/>
      <c r="L96" s="101"/>
    </row>
    <row r="97" spans="11:12" s="84" customFormat="1">
      <c r="K97" s="101"/>
      <c r="L97" s="101"/>
    </row>
    <row r="98" spans="11:12" s="84" customFormat="1">
      <c r="K98" s="101"/>
      <c r="L98" s="101"/>
    </row>
    <row r="99" spans="11:12" s="84" customFormat="1">
      <c r="K99" s="101"/>
      <c r="L99" s="101"/>
    </row>
    <row r="100" spans="11:12" s="84" customFormat="1">
      <c r="K100" s="101"/>
      <c r="L100" s="101"/>
    </row>
    <row r="101" spans="11:12" s="39" customFormat="1">
      <c r="K101" s="44"/>
      <c r="L101" s="44"/>
    </row>
    <row r="102" spans="11:12" s="39" customFormat="1">
      <c r="K102" s="44"/>
      <c r="L102" s="44"/>
    </row>
    <row r="103" spans="11:12" s="39" customFormat="1">
      <c r="K103" s="44"/>
      <c r="L103" s="44"/>
    </row>
    <row r="104" spans="11:12" s="39" customFormat="1">
      <c r="K104" s="44"/>
      <c r="L104" s="44"/>
    </row>
    <row r="105" spans="11:12" s="39" customFormat="1">
      <c r="K105" s="44"/>
      <c r="L105" s="44"/>
    </row>
    <row r="106" spans="11:12" s="39" customFormat="1">
      <c r="K106" s="44"/>
      <c r="L106" s="44"/>
    </row>
    <row r="107" spans="11:12" s="39" customFormat="1">
      <c r="K107" s="44"/>
      <c r="L107" s="44"/>
    </row>
    <row r="108" spans="11:12" s="39" customFormat="1">
      <c r="K108" s="44"/>
      <c r="L108" s="44"/>
    </row>
    <row r="109" spans="11:12" s="39" customFormat="1">
      <c r="K109" s="44"/>
      <c r="L109" s="44"/>
    </row>
    <row r="110" spans="11:12" s="39" customFormat="1">
      <c r="K110" s="44"/>
      <c r="L110" s="44"/>
    </row>
    <row r="111" spans="11:12" s="39" customFormat="1">
      <c r="K111" s="44"/>
      <c r="L111" s="44"/>
    </row>
    <row r="112" spans="11:12" s="39" customFormat="1">
      <c r="K112" s="44"/>
      <c r="L112" s="44"/>
    </row>
    <row r="113" spans="11:12" s="39" customFormat="1">
      <c r="K113" s="44"/>
      <c r="L113" s="44"/>
    </row>
    <row r="114" spans="11:12" s="39" customFormat="1">
      <c r="K114" s="44"/>
      <c r="L114" s="44"/>
    </row>
    <row r="115" spans="11:12" s="39" customFormat="1">
      <c r="K115" s="44"/>
      <c r="L115" s="44"/>
    </row>
    <row r="116" spans="11:12" s="39" customFormat="1">
      <c r="K116" s="44"/>
      <c r="L116" s="44"/>
    </row>
    <row r="117" spans="11:12" s="39" customFormat="1">
      <c r="K117" s="44"/>
      <c r="L117" s="44"/>
    </row>
    <row r="118" spans="11:12" s="39" customFormat="1">
      <c r="K118" s="44"/>
      <c r="L118" s="44"/>
    </row>
    <row r="119" spans="11:12" s="39" customFormat="1">
      <c r="K119" s="44"/>
      <c r="L119" s="44"/>
    </row>
    <row r="120" spans="11:12" s="39" customFormat="1">
      <c r="K120" s="44"/>
      <c r="L120" s="44"/>
    </row>
    <row r="121" spans="11:12" s="39" customFormat="1">
      <c r="K121" s="44"/>
      <c r="L121" s="44"/>
    </row>
    <row r="122" spans="11:12" s="39" customFormat="1">
      <c r="K122" s="44"/>
      <c r="L122" s="44"/>
    </row>
    <row r="123" spans="11:12" s="39" customFormat="1">
      <c r="K123" s="44"/>
      <c r="L123" s="44"/>
    </row>
    <row r="124" spans="11:12" s="39" customFormat="1">
      <c r="K124" s="44"/>
      <c r="L124" s="44"/>
    </row>
    <row r="125" spans="11:12" s="39" customFormat="1">
      <c r="K125" s="44"/>
      <c r="L125" s="44"/>
    </row>
    <row r="126" spans="11:12" s="39" customFormat="1">
      <c r="K126" s="44"/>
      <c r="L126" s="44"/>
    </row>
    <row r="127" spans="11:12" s="39" customFormat="1">
      <c r="K127" s="44"/>
      <c r="L127" s="44"/>
    </row>
    <row r="128" spans="11:12" s="39" customFormat="1">
      <c r="K128" s="44"/>
      <c r="L128" s="44"/>
    </row>
    <row r="129" spans="11:12" s="39" customFormat="1">
      <c r="K129" s="44"/>
      <c r="L129" s="44"/>
    </row>
    <row r="130" spans="11:12" s="39" customFormat="1">
      <c r="K130" s="44"/>
      <c r="L130" s="44"/>
    </row>
    <row r="131" spans="11:12" s="39" customFormat="1">
      <c r="K131" s="44"/>
      <c r="L131" s="44"/>
    </row>
    <row r="132" spans="11:12" s="39" customFormat="1">
      <c r="K132" s="44"/>
      <c r="L132" s="44"/>
    </row>
    <row r="133" spans="11:12" s="39" customFormat="1">
      <c r="K133" s="44"/>
      <c r="L133" s="44"/>
    </row>
    <row r="134" spans="11:12" s="39" customFormat="1">
      <c r="K134" s="44"/>
      <c r="L134" s="44"/>
    </row>
    <row r="135" spans="11:12" s="39" customFormat="1">
      <c r="K135" s="44"/>
      <c r="L135" s="44"/>
    </row>
    <row r="136" spans="11:12" s="39" customFormat="1">
      <c r="K136" s="44"/>
      <c r="L136" s="44"/>
    </row>
    <row r="137" spans="11:12" s="39" customFormat="1">
      <c r="K137" s="44"/>
      <c r="L137" s="44"/>
    </row>
    <row r="138" spans="11:12" s="39" customFormat="1">
      <c r="K138" s="44"/>
      <c r="L138" s="44"/>
    </row>
    <row r="139" spans="11:12" s="39" customFormat="1">
      <c r="K139" s="44"/>
      <c r="L139" s="44"/>
    </row>
    <row r="140" spans="11:12" s="39" customFormat="1">
      <c r="K140" s="44"/>
      <c r="L140" s="44"/>
    </row>
    <row r="141" spans="11:12" s="39" customFormat="1">
      <c r="K141" s="44"/>
      <c r="L141" s="44"/>
    </row>
    <row r="142" spans="11:12" s="39" customFormat="1">
      <c r="K142" s="44"/>
      <c r="L142" s="44"/>
    </row>
    <row r="143" spans="11:12" s="39" customFormat="1">
      <c r="K143" s="44"/>
      <c r="L143" s="44"/>
    </row>
    <row r="144" spans="11:12" s="39" customFormat="1">
      <c r="K144" s="44"/>
      <c r="L144" s="44"/>
    </row>
    <row r="145" spans="11:12" s="39" customFormat="1">
      <c r="K145" s="44"/>
      <c r="L145" s="44"/>
    </row>
    <row r="146" spans="11:12" s="39" customFormat="1">
      <c r="K146" s="44"/>
      <c r="L146" s="44"/>
    </row>
    <row r="147" spans="11:12" s="39" customFormat="1">
      <c r="K147" s="44"/>
      <c r="L147" s="44"/>
    </row>
    <row r="148" spans="11:12" s="39" customFormat="1">
      <c r="K148" s="44"/>
      <c r="L148" s="44"/>
    </row>
    <row r="149" spans="11:12" s="39" customFormat="1">
      <c r="K149" s="44"/>
      <c r="L149" s="44"/>
    </row>
    <row r="150" spans="11:12" s="39" customFormat="1">
      <c r="K150" s="44"/>
      <c r="L150" s="44"/>
    </row>
    <row r="151" spans="11:12" s="39" customFormat="1">
      <c r="K151" s="44"/>
      <c r="L151" s="44"/>
    </row>
    <row r="152" spans="11:12" s="39" customFormat="1">
      <c r="K152" s="44"/>
      <c r="L152" s="44"/>
    </row>
    <row r="153" spans="11:12" s="39" customFormat="1">
      <c r="K153" s="44"/>
      <c r="L153" s="44"/>
    </row>
    <row r="154" spans="11:12" s="39" customFormat="1">
      <c r="K154" s="44"/>
      <c r="L154" s="44"/>
    </row>
    <row r="155" spans="11:12" s="39" customFormat="1">
      <c r="K155" s="44"/>
      <c r="L155" s="44"/>
    </row>
    <row r="156" spans="11:12" s="39" customFormat="1">
      <c r="K156" s="44"/>
      <c r="L156" s="44"/>
    </row>
    <row r="157" spans="11:12" s="39" customFormat="1">
      <c r="K157" s="44"/>
      <c r="L157" s="44"/>
    </row>
    <row r="158" spans="11:12" s="39" customFormat="1">
      <c r="K158" s="44"/>
      <c r="L158" s="44"/>
    </row>
    <row r="159" spans="11:12" s="39" customFormat="1">
      <c r="K159" s="44"/>
      <c r="L159" s="44"/>
    </row>
    <row r="160" spans="11:12" s="39" customFormat="1">
      <c r="K160" s="44"/>
      <c r="L160" s="44"/>
    </row>
    <row r="161" spans="11:12" s="39" customFormat="1">
      <c r="K161" s="44"/>
      <c r="L161" s="44"/>
    </row>
    <row r="162" spans="11:12" s="39" customFormat="1">
      <c r="K162" s="44"/>
      <c r="L162" s="44"/>
    </row>
    <row r="163" spans="11:12" s="39" customFormat="1">
      <c r="K163" s="44"/>
      <c r="L163" s="44"/>
    </row>
    <row r="164" spans="11:12" s="39" customFormat="1">
      <c r="K164" s="44"/>
      <c r="L164" s="44"/>
    </row>
    <row r="165" spans="11:12" s="39" customFormat="1">
      <c r="K165" s="44"/>
      <c r="L165" s="44"/>
    </row>
    <row r="166" spans="11:12" s="39" customFormat="1">
      <c r="K166" s="44"/>
      <c r="L166" s="44"/>
    </row>
    <row r="167" spans="11:12" s="39" customFormat="1">
      <c r="K167" s="44"/>
      <c r="L167" s="44"/>
    </row>
    <row r="168" spans="11:12" s="39" customFormat="1">
      <c r="K168" s="44"/>
      <c r="L168" s="44"/>
    </row>
    <row r="169" spans="11:12" s="39" customFormat="1">
      <c r="K169" s="44"/>
      <c r="L169" s="44"/>
    </row>
    <row r="170" spans="11:12" s="39" customFormat="1">
      <c r="K170" s="44"/>
      <c r="L170" s="44"/>
    </row>
    <row r="171" spans="11:12" s="39" customFormat="1">
      <c r="K171" s="44"/>
      <c r="L171" s="44"/>
    </row>
    <row r="172" spans="11:12" s="39" customFormat="1">
      <c r="K172" s="44"/>
      <c r="L172" s="44"/>
    </row>
    <row r="173" spans="11:12" s="39" customFormat="1">
      <c r="K173" s="44"/>
      <c r="L173" s="44"/>
    </row>
    <row r="174" spans="11:12" s="39" customFormat="1">
      <c r="K174" s="44"/>
      <c r="L174" s="44"/>
    </row>
    <row r="175" spans="11:12" s="39" customFormat="1">
      <c r="K175" s="44"/>
      <c r="L175" s="44"/>
    </row>
    <row r="176" spans="11:12" s="39" customFormat="1">
      <c r="K176" s="44"/>
      <c r="L176" s="44"/>
    </row>
    <row r="177" spans="11:12" s="39" customFormat="1">
      <c r="K177" s="44"/>
      <c r="L177" s="44"/>
    </row>
    <row r="178" spans="11:12" s="39" customFormat="1">
      <c r="K178" s="44"/>
      <c r="L178" s="44"/>
    </row>
    <row r="179" spans="11:12" s="39" customFormat="1">
      <c r="K179" s="44"/>
      <c r="L179" s="44"/>
    </row>
    <row r="180" spans="11:12" s="39" customFormat="1">
      <c r="K180" s="44"/>
      <c r="L180" s="44"/>
    </row>
    <row r="181" spans="11:12" s="39" customFormat="1">
      <c r="K181" s="44"/>
      <c r="L181" s="44"/>
    </row>
    <row r="182" spans="11:12" s="39" customFormat="1">
      <c r="K182" s="44"/>
      <c r="L182" s="44"/>
    </row>
    <row r="183" spans="11:12" s="39" customFormat="1">
      <c r="K183" s="44"/>
      <c r="L183" s="44"/>
    </row>
    <row r="184" spans="11:12" s="39" customFormat="1">
      <c r="K184" s="44"/>
      <c r="L184" s="44"/>
    </row>
    <row r="185" spans="11:12" s="39" customFormat="1">
      <c r="K185" s="44"/>
      <c r="L185" s="44"/>
    </row>
    <row r="186" spans="11:12" s="39" customFormat="1">
      <c r="K186" s="44"/>
      <c r="L186" s="44"/>
    </row>
    <row r="187" spans="11:12" s="39" customFormat="1">
      <c r="K187" s="44"/>
      <c r="L187" s="44"/>
    </row>
    <row r="188" spans="11:12" s="39" customFormat="1">
      <c r="K188" s="44"/>
      <c r="L188" s="44"/>
    </row>
    <row r="189" spans="11:12" s="39" customFormat="1">
      <c r="K189" s="44"/>
      <c r="L189" s="44"/>
    </row>
    <row r="190" spans="11:12" s="39" customFormat="1">
      <c r="K190" s="44"/>
      <c r="L190" s="44"/>
    </row>
    <row r="191" spans="11:12" s="39" customFormat="1">
      <c r="K191" s="44"/>
      <c r="L191" s="44"/>
    </row>
    <row r="192" spans="11:12" s="39" customFormat="1">
      <c r="K192" s="44"/>
      <c r="L192" s="44"/>
    </row>
    <row r="193" spans="11:12" s="39" customFormat="1">
      <c r="K193" s="44"/>
      <c r="L193" s="44"/>
    </row>
    <row r="194" spans="11:12" s="39" customFormat="1">
      <c r="K194" s="44"/>
      <c r="L194" s="44"/>
    </row>
    <row r="195" spans="11:12" s="39" customFormat="1">
      <c r="K195" s="44"/>
      <c r="L195" s="44"/>
    </row>
    <row r="196" spans="11:12" s="39" customFormat="1">
      <c r="K196" s="44"/>
      <c r="L196" s="44"/>
    </row>
    <row r="197" spans="11:12" s="39" customFormat="1">
      <c r="K197" s="44"/>
      <c r="L197" s="44"/>
    </row>
    <row r="198" spans="11:12" s="39" customFormat="1">
      <c r="K198" s="44"/>
      <c r="L198" s="44"/>
    </row>
    <row r="199" spans="11:12" s="39" customFormat="1">
      <c r="K199" s="44"/>
      <c r="L199" s="44"/>
    </row>
    <row r="200" spans="11:12" s="39" customFormat="1">
      <c r="K200" s="44"/>
      <c r="L200" s="44"/>
    </row>
    <row r="201" spans="11:12" s="39" customFormat="1">
      <c r="K201" s="44"/>
      <c r="L201" s="44"/>
    </row>
    <row r="202" spans="11:12" s="39" customFormat="1">
      <c r="K202" s="44"/>
      <c r="L202" s="44"/>
    </row>
    <row r="203" spans="11:12" s="39" customFormat="1">
      <c r="K203" s="44"/>
      <c r="L203" s="44"/>
    </row>
    <row r="204" spans="11:12" s="39" customFormat="1">
      <c r="K204" s="44"/>
      <c r="L204" s="44"/>
    </row>
    <row r="205" spans="11:12" s="39" customFormat="1">
      <c r="K205" s="44"/>
      <c r="L205" s="44"/>
    </row>
    <row r="206" spans="11:12" s="39" customFormat="1">
      <c r="K206" s="44"/>
      <c r="L206" s="44"/>
    </row>
    <row r="207" spans="11:12" s="39" customFormat="1">
      <c r="K207" s="44"/>
      <c r="L207" s="44"/>
    </row>
    <row r="208" spans="11:12" s="39" customFormat="1">
      <c r="K208" s="44"/>
      <c r="L208" s="44"/>
    </row>
    <row r="209" spans="11:12" s="39" customFormat="1">
      <c r="K209" s="44"/>
      <c r="L209" s="44"/>
    </row>
    <row r="210" spans="11:12" s="39" customFormat="1">
      <c r="K210" s="44"/>
      <c r="L210" s="44"/>
    </row>
    <row r="211" spans="11:12" s="39" customFormat="1">
      <c r="K211" s="44"/>
      <c r="L211" s="44"/>
    </row>
    <row r="212" spans="11:12" s="39" customFormat="1">
      <c r="K212" s="44"/>
      <c r="L212" s="44"/>
    </row>
    <row r="213" spans="11:12" s="39" customFormat="1">
      <c r="K213" s="44"/>
      <c r="L213" s="44"/>
    </row>
    <row r="214" spans="11:12" s="39" customFormat="1">
      <c r="K214" s="44"/>
      <c r="L214" s="44"/>
    </row>
    <row r="215" spans="11:12" s="39" customFormat="1">
      <c r="K215" s="44"/>
      <c r="L215" s="44"/>
    </row>
    <row r="216" spans="11:12" s="39" customFormat="1">
      <c r="K216" s="44"/>
      <c r="L216" s="44"/>
    </row>
    <row r="217" spans="11:12" s="39" customFormat="1">
      <c r="K217" s="44"/>
      <c r="L217" s="44"/>
    </row>
    <row r="218" spans="11:12" s="39" customFormat="1">
      <c r="K218" s="44"/>
      <c r="L218" s="44"/>
    </row>
    <row r="219" spans="11:12" s="39" customFormat="1">
      <c r="K219" s="44"/>
      <c r="L219" s="44"/>
    </row>
    <row r="220" spans="11:12" s="39" customFormat="1">
      <c r="K220" s="44"/>
      <c r="L220" s="44"/>
    </row>
    <row r="221" spans="11:12" s="39" customFormat="1">
      <c r="K221" s="44"/>
      <c r="L221" s="44"/>
    </row>
    <row r="222" spans="11:12" s="39" customFormat="1">
      <c r="K222" s="44"/>
      <c r="L222" s="44"/>
    </row>
    <row r="223" spans="11:12" s="39" customFormat="1">
      <c r="K223" s="44"/>
      <c r="L223" s="44"/>
    </row>
    <row r="224" spans="11:12" s="39" customFormat="1">
      <c r="K224" s="44"/>
      <c r="L224" s="44"/>
    </row>
    <row r="225" spans="11:12" s="39" customFormat="1">
      <c r="K225" s="44"/>
      <c r="L225" s="44"/>
    </row>
    <row r="226" spans="11:12" s="39" customFormat="1">
      <c r="K226" s="44"/>
      <c r="L226" s="44"/>
    </row>
    <row r="227" spans="11:12" s="39" customFormat="1">
      <c r="K227" s="44"/>
      <c r="L227" s="44"/>
    </row>
    <row r="228" spans="11:12" s="39" customFormat="1">
      <c r="K228" s="44"/>
      <c r="L228" s="44"/>
    </row>
    <row r="229" spans="11:12" s="39" customFormat="1">
      <c r="K229" s="44"/>
      <c r="L229" s="44"/>
    </row>
    <row r="230" spans="11:12" s="39" customFormat="1">
      <c r="K230" s="44"/>
      <c r="L230" s="44"/>
    </row>
    <row r="231" spans="11:12" s="39" customFormat="1">
      <c r="K231" s="44"/>
      <c r="L231" s="44"/>
    </row>
    <row r="232" spans="11:12" s="39" customFormat="1">
      <c r="K232" s="44"/>
      <c r="L232" s="44"/>
    </row>
    <row r="233" spans="11:12" s="39" customFormat="1">
      <c r="K233" s="44"/>
      <c r="L233" s="44"/>
    </row>
    <row r="234" spans="11:12" s="39" customFormat="1">
      <c r="K234" s="44"/>
      <c r="L234" s="44"/>
    </row>
    <row r="235" spans="11:12" s="39" customFormat="1">
      <c r="K235" s="44"/>
      <c r="L235" s="44"/>
    </row>
    <row r="236" spans="11:12" s="39" customFormat="1">
      <c r="K236" s="44"/>
      <c r="L236" s="44"/>
    </row>
    <row r="237" spans="11:12" s="39" customFormat="1">
      <c r="K237" s="44"/>
      <c r="L237" s="44"/>
    </row>
    <row r="238" spans="11:12" s="39" customFormat="1">
      <c r="K238" s="44"/>
      <c r="L238" s="44"/>
    </row>
    <row r="239" spans="11:12" s="39" customFormat="1">
      <c r="K239" s="44"/>
      <c r="L239" s="44"/>
    </row>
    <row r="240" spans="11:12" s="39" customFormat="1">
      <c r="K240" s="44"/>
      <c r="L240" s="44"/>
    </row>
    <row r="241" spans="11:12" s="39" customFormat="1">
      <c r="K241" s="44"/>
      <c r="L241" s="44"/>
    </row>
    <row r="242" spans="11:12" s="39" customFormat="1">
      <c r="K242" s="44"/>
      <c r="L242" s="44"/>
    </row>
    <row r="243" spans="11:12" s="39" customFormat="1">
      <c r="K243" s="44"/>
      <c r="L243" s="44"/>
    </row>
    <row r="244" spans="11:12" s="39" customFormat="1">
      <c r="K244" s="44"/>
      <c r="L244" s="44"/>
    </row>
    <row r="245" spans="11:12" s="39" customFormat="1">
      <c r="K245" s="44"/>
      <c r="L245" s="44"/>
    </row>
    <row r="246" spans="11:12" s="39" customFormat="1">
      <c r="K246" s="44"/>
      <c r="L246" s="44"/>
    </row>
    <row r="247" spans="11:12" s="39" customFormat="1">
      <c r="K247" s="44"/>
      <c r="L247" s="44"/>
    </row>
    <row r="248" spans="11:12" s="39" customFormat="1">
      <c r="K248" s="44"/>
      <c r="L248" s="44"/>
    </row>
    <row r="249" spans="11:12" s="39" customFormat="1">
      <c r="K249" s="44"/>
      <c r="L249" s="44"/>
    </row>
    <row r="250" spans="11:12" s="39" customFormat="1">
      <c r="K250" s="44"/>
      <c r="L250" s="44"/>
    </row>
    <row r="251" spans="11:12" s="39" customFormat="1">
      <c r="K251" s="44"/>
      <c r="L251" s="44"/>
    </row>
    <row r="252" spans="11:12" s="39" customFormat="1">
      <c r="K252" s="44"/>
      <c r="L252" s="44"/>
    </row>
    <row r="253" spans="11:12" s="39" customFormat="1">
      <c r="K253" s="44"/>
      <c r="L253" s="44"/>
    </row>
    <row r="254" spans="11:12" s="39" customFormat="1">
      <c r="K254" s="44"/>
      <c r="L254" s="44"/>
    </row>
    <row r="255" spans="11:12" s="39" customFormat="1">
      <c r="K255" s="44"/>
      <c r="L255" s="44"/>
    </row>
    <row r="256" spans="11:12" s="39" customFormat="1">
      <c r="K256" s="44"/>
      <c r="L256" s="44"/>
    </row>
    <row r="257" spans="11:12" s="39" customFormat="1">
      <c r="K257" s="44"/>
      <c r="L257" s="44"/>
    </row>
    <row r="258" spans="11:12" s="39" customFormat="1">
      <c r="K258" s="44"/>
      <c r="L258" s="44"/>
    </row>
    <row r="259" spans="11:12" s="39" customFormat="1">
      <c r="K259" s="44"/>
      <c r="L259" s="44"/>
    </row>
    <row r="260" spans="11:12" s="39" customFormat="1">
      <c r="K260" s="44"/>
      <c r="L260" s="44"/>
    </row>
    <row r="261" spans="11:12" s="39" customFormat="1">
      <c r="K261" s="44"/>
      <c r="L261" s="44"/>
    </row>
    <row r="262" spans="11:12" s="39" customFormat="1">
      <c r="K262" s="44"/>
      <c r="L262" s="44"/>
    </row>
    <row r="263" spans="11:12" s="39" customFormat="1">
      <c r="K263" s="44"/>
      <c r="L263" s="44"/>
    </row>
    <row r="264" spans="11:12" s="39" customFormat="1">
      <c r="K264" s="44"/>
      <c r="L264" s="44"/>
    </row>
    <row r="265" spans="11:12" s="39" customFormat="1">
      <c r="K265" s="44"/>
      <c r="L265" s="44"/>
    </row>
  </sheetData>
  <sheetProtection sheet="1" objects="1" scenarios="1"/>
  <mergeCells count="14">
    <mergeCell ref="L18:L20"/>
    <mergeCell ref="C40:F40"/>
    <mergeCell ref="A4:B4"/>
    <mergeCell ref="C23:J23"/>
    <mergeCell ref="C34:D34"/>
    <mergeCell ref="C28:F28"/>
    <mergeCell ref="C29:D29"/>
    <mergeCell ref="C30:D30"/>
    <mergeCell ref="C31:D31"/>
    <mergeCell ref="C33:F33"/>
    <mergeCell ref="C35:D35"/>
    <mergeCell ref="C36:D36"/>
    <mergeCell ref="C37:D37"/>
    <mergeCell ref="C38:D38"/>
  </mergeCells>
  <conditionalFormatting sqref="L6:L8 L10 L15 L18:L20">
    <cfRule type="duplicateValues" dxfId="117" priority="1"/>
    <cfRule type="containsBlanks" dxfId="116" priority="12">
      <formula>LEN(TRIM(L6))=0</formula>
    </cfRule>
  </conditionalFormatting>
  <dataValidations count="1">
    <dataValidation type="custom" allowBlank="1" showInputMessage="1" showErrorMessage="1" errorTitle="Invalid License Key" error="Please enter a valid license key_x000a_xxxxx-xxxxx-xxxxx-xxxxx-xxxxx" sqref="L18:L20 L10 L15 L6:L8" xr:uid="{00000000-0002-0000-0100-000000000000}">
      <formula1>AND(EXACT(L6,UPPER(L6)),LEN(L6)=29,6=FIND("-",L6),12=FIND("-",L6,FIND("-",L6)+1),18=FIND("-",L6,FIND("-",L6,FIND("-",L6)+1)+1),24=FIND("-",L6,FIND("-",L6,FIND("-",L6,FIND("-",L6)+1)+1)+1))</formula1>
    </dataValidation>
  </dataValidations>
  <pageMargins left="0.7" right="0.7" top="0.75" bottom="0.75" header="0.3" footer="0.3"/>
  <pageSetup paperSize="9" orientation="portrait" horizontalDpi="75" verticalDpi="7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I72"/>
  <sheetViews>
    <sheetView showGridLines="0" tabSelected="1" zoomScale="135" zoomScaleNormal="135" zoomScalePageLayoutView="117" workbookViewId="0">
      <pane ySplit="3" topLeftCell="A6" activePane="bottomLeft" state="frozen"/>
      <selection pane="bottomLeft" activeCell="C11" sqref="C11"/>
    </sheetView>
  </sheetViews>
  <sheetFormatPr baseColWidth="10" defaultColWidth="8.83203125" defaultRowHeight="14"/>
  <cols>
    <col min="1" max="1" width="1.5" style="48" customWidth="1"/>
    <col min="2" max="2" width="26.83203125" style="48" customWidth="1"/>
    <col min="3" max="3" width="16.83203125" style="48" customWidth="1"/>
    <col min="4" max="4" width="72.83203125" style="46" customWidth="1"/>
    <col min="5" max="5" width="55.33203125" style="47" customWidth="1"/>
    <col min="6" max="6" width="41.83203125" style="48" hidden="1" customWidth="1"/>
    <col min="7" max="7" width="12.83203125" style="46" customWidth="1"/>
    <col min="8" max="8" width="12.83203125" style="48" customWidth="1"/>
    <col min="9" max="16384" width="8.83203125" style="48"/>
  </cols>
  <sheetData>
    <row r="1" spans="2:9" ht="48" customHeight="1">
      <c r="B1" s="45"/>
      <c r="C1" s="45"/>
      <c r="D1" s="46" t="s">
        <v>2</v>
      </c>
    </row>
    <row r="2" spans="2:9" ht="2" customHeight="1" thickBot="1"/>
    <row r="3" spans="2:9" s="50" customFormat="1" ht="52" customHeight="1" thickBot="1">
      <c r="B3" s="260" t="s">
        <v>350</v>
      </c>
      <c r="C3" s="261"/>
      <c r="D3" s="261"/>
      <c r="E3" s="261"/>
      <c r="F3" s="262"/>
      <c r="G3" s="221"/>
      <c r="H3" s="222"/>
      <c r="I3" s="222"/>
    </row>
    <row r="4" spans="2:9" s="50" customFormat="1" ht="4" customHeight="1">
      <c r="B4" s="49"/>
      <c r="C4" s="49"/>
      <c r="G4" s="48"/>
      <c r="H4" s="48"/>
    </row>
    <row r="5" spans="2:9" s="65" customFormat="1" ht="4" customHeight="1" thickBot="1">
      <c r="B5" s="66"/>
      <c r="C5" s="66"/>
    </row>
    <row r="6" spans="2:9" s="73" customFormat="1" ht="18">
      <c r="B6" s="77" t="s">
        <v>18</v>
      </c>
      <c r="C6" s="145"/>
      <c r="D6" s="146"/>
      <c r="E6" s="147"/>
      <c r="F6" s="148"/>
    </row>
    <row r="7" spans="2:9" s="73" customFormat="1" ht="16" customHeight="1">
      <c r="B7" s="55" t="s">
        <v>17</v>
      </c>
      <c r="C7" s="56" t="s">
        <v>98</v>
      </c>
      <c r="D7" s="56" t="s">
        <v>5</v>
      </c>
      <c r="E7" s="56" t="s">
        <v>157</v>
      </c>
      <c r="F7" s="57"/>
    </row>
    <row r="8" spans="2:9" s="73" customFormat="1" ht="30" customHeight="1">
      <c r="B8" s="59" t="s">
        <v>11</v>
      </c>
      <c r="C8" s="228"/>
      <c r="D8" s="60" t="s">
        <v>352</v>
      </c>
      <c r="E8" s="61" t="s">
        <v>158</v>
      </c>
      <c r="F8" s="203" t="s">
        <v>7</v>
      </c>
    </row>
    <row r="9" spans="2:9" s="73" customFormat="1" ht="30" customHeight="1">
      <c r="B9" s="59" t="s">
        <v>86</v>
      </c>
      <c r="C9" s="190"/>
      <c r="D9" s="60" t="s">
        <v>172</v>
      </c>
      <c r="E9" s="61" t="s">
        <v>158</v>
      </c>
      <c r="F9" s="203" t="s">
        <v>7</v>
      </c>
    </row>
    <row r="10" spans="2:9" s="73" customFormat="1" ht="30" customHeight="1">
      <c r="B10" s="59" t="s">
        <v>11</v>
      </c>
      <c r="C10" s="211"/>
      <c r="D10" s="60" t="s">
        <v>173</v>
      </c>
      <c r="E10" s="61" t="s">
        <v>158</v>
      </c>
      <c r="F10" s="203" t="s">
        <v>7</v>
      </c>
    </row>
    <row r="11" spans="2:9" s="73" customFormat="1" ht="30" customHeight="1">
      <c r="B11" s="59" t="s">
        <v>87</v>
      </c>
      <c r="C11" s="211"/>
      <c r="D11" s="60" t="s">
        <v>88</v>
      </c>
      <c r="E11" s="61" t="s">
        <v>158</v>
      </c>
      <c r="F11" s="203"/>
    </row>
    <row r="12" spans="2:9" s="73" customFormat="1" ht="30" customHeight="1">
      <c r="B12" s="59" t="s">
        <v>87</v>
      </c>
      <c r="C12" s="234"/>
      <c r="D12" s="60" t="s">
        <v>374</v>
      </c>
      <c r="E12" s="61" t="s">
        <v>158</v>
      </c>
      <c r="F12" s="203" t="s">
        <v>7</v>
      </c>
    </row>
    <row r="13" spans="2:9" s="73" customFormat="1" ht="16" customHeight="1">
      <c r="B13" s="263"/>
      <c r="C13" s="264"/>
      <c r="D13" s="264"/>
      <c r="E13" s="264"/>
      <c r="F13" s="265"/>
      <c r="G13" s="183"/>
    </row>
    <row r="14" spans="2:9" s="73" customFormat="1" ht="30" customHeight="1">
      <c r="B14" s="59" t="s">
        <v>87</v>
      </c>
      <c r="C14" s="190"/>
      <c r="D14" s="60" t="s">
        <v>239</v>
      </c>
      <c r="E14" s="61" t="s">
        <v>158</v>
      </c>
      <c r="F14" s="203" t="s">
        <v>7</v>
      </c>
      <c r="G14" s="183"/>
    </row>
    <row r="15" spans="2:9" s="73" customFormat="1" ht="30" customHeight="1">
      <c r="B15" s="59" t="s">
        <v>11</v>
      </c>
      <c r="C15" s="190"/>
      <c r="D15" s="60" t="s">
        <v>240</v>
      </c>
      <c r="E15" s="61" t="s">
        <v>158</v>
      </c>
      <c r="F15" s="203" t="s">
        <v>7</v>
      </c>
      <c r="G15" s="183"/>
    </row>
    <row r="16" spans="2:9" s="58" customFormat="1" ht="16" customHeight="1">
      <c r="B16" s="263" t="s">
        <v>198</v>
      </c>
      <c r="C16" s="264"/>
      <c r="D16" s="264"/>
      <c r="E16" s="264"/>
      <c r="F16" s="265"/>
      <c r="G16" s="63"/>
    </row>
    <row r="17" spans="2:7" s="73" customFormat="1" ht="30" customHeight="1">
      <c r="B17" s="59" t="s">
        <v>11</v>
      </c>
      <c r="C17" s="215"/>
      <c r="D17" s="60" t="s">
        <v>199</v>
      </c>
      <c r="E17" s="61" t="s">
        <v>158</v>
      </c>
      <c r="F17" s="62" t="s">
        <v>7</v>
      </c>
    </row>
    <row r="18" spans="2:7" s="73" customFormat="1" ht="30" customHeight="1">
      <c r="B18" s="59" t="s">
        <v>197</v>
      </c>
      <c r="C18" s="215"/>
      <c r="D18" s="60" t="s">
        <v>196</v>
      </c>
      <c r="E18" s="61" t="s">
        <v>158</v>
      </c>
      <c r="F18" s="62" t="s">
        <v>7</v>
      </c>
    </row>
    <row r="19" spans="2:7" s="73" customFormat="1" ht="30" customHeight="1">
      <c r="B19" s="59" t="s">
        <v>87</v>
      </c>
      <c r="C19" s="215"/>
      <c r="D19" s="60" t="s">
        <v>200</v>
      </c>
      <c r="E19" s="61" t="s">
        <v>158</v>
      </c>
      <c r="F19" s="62" t="s">
        <v>7</v>
      </c>
    </row>
    <row r="20" spans="2:7" s="73" customFormat="1" ht="30" customHeight="1" thickBot="1">
      <c r="B20" s="232" t="s">
        <v>220</v>
      </c>
      <c r="C20" s="220"/>
      <c r="D20" s="172" t="s">
        <v>319</v>
      </c>
      <c r="E20" s="173" t="s">
        <v>158</v>
      </c>
      <c r="F20" s="174" t="s">
        <v>7</v>
      </c>
    </row>
    <row r="21" spans="2:7" s="58" customFormat="1" ht="13">
      <c r="D21" s="63"/>
      <c r="E21" s="64"/>
      <c r="G21" s="63"/>
    </row>
    <row r="22" spans="2:7" s="58" customFormat="1" ht="13">
      <c r="D22" s="63"/>
      <c r="E22" s="64"/>
      <c r="G22" s="63"/>
    </row>
    <row r="23" spans="2:7" s="58" customFormat="1" ht="13">
      <c r="D23" s="63"/>
      <c r="E23" s="64"/>
      <c r="G23" s="63"/>
    </row>
    <row r="24" spans="2:7" s="58" customFormat="1" ht="13">
      <c r="D24" s="63"/>
      <c r="E24" s="64"/>
      <c r="G24" s="63"/>
    </row>
    <row r="25" spans="2:7" s="58" customFormat="1" ht="13">
      <c r="D25" s="63"/>
      <c r="E25" s="64"/>
      <c r="G25" s="63"/>
    </row>
    <row r="26" spans="2:7" s="58" customFormat="1" ht="13">
      <c r="D26" s="63"/>
      <c r="E26" s="64"/>
      <c r="G26" s="63"/>
    </row>
    <row r="27" spans="2:7" s="58" customFormat="1" ht="13">
      <c r="D27" s="63"/>
      <c r="E27" s="64"/>
      <c r="G27" s="63"/>
    </row>
    <row r="28" spans="2:7" s="58" customFormat="1" ht="13">
      <c r="D28" s="63"/>
      <c r="E28" s="64"/>
      <c r="G28" s="63"/>
    </row>
    <row r="29" spans="2:7" s="58" customFormat="1" ht="13">
      <c r="D29" s="63"/>
      <c r="E29" s="64"/>
      <c r="G29" s="63"/>
    </row>
    <row r="30" spans="2:7" s="58" customFormat="1" ht="13">
      <c r="D30" s="63"/>
      <c r="E30" s="64"/>
      <c r="G30" s="63"/>
    </row>
    <row r="31" spans="2:7" s="58" customFormat="1" ht="13">
      <c r="D31" s="63"/>
      <c r="E31" s="64"/>
      <c r="G31" s="63"/>
    </row>
    <row r="32" spans="2:7" s="58" customFormat="1" ht="13">
      <c r="D32" s="63"/>
      <c r="E32" s="64"/>
      <c r="G32" s="63"/>
    </row>
    <row r="33" spans="2:7" s="58" customFormat="1" ht="13">
      <c r="D33" s="63"/>
      <c r="E33" s="64"/>
      <c r="G33" s="63"/>
    </row>
    <row r="34" spans="2:7" s="51" customFormat="1">
      <c r="D34" s="52"/>
      <c r="E34" s="53"/>
      <c r="G34" s="52"/>
    </row>
    <row r="35" spans="2:7" s="51" customFormat="1">
      <c r="D35" s="52"/>
      <c r="E35" s="53"/>
      <c r="G35" s="52"/>
    </row>
    <row r="36" spans="2:7" s="51" customFormat="1">
      <c r="D36" s="52"/>
      <c r="E36" s="53"/>
      <c r="G36" s="52"/>
    </row>
    <row r="37" spans="2:7" s="51" customFormat="1">
      <c r="D37" s="52"/>
      <c r="E37" s="53"/>
      <c r="G37" s="52"/>
    </row>
    <row r="38" spans="2:7" s="51" customFormat="1">
      <c r="D38" s="52"/>
      <c r="E38" s="53"/>
      <c r="G38" s="52"/>
    </row>
    <row r="39" spans="2:7" s="51" customFormat="1">
      <c r="D39" s="52"/>
      <c r="E39" s="53"/>
      <c r="G39" s="52"/>
    </row>
    <row r="40" spans="2:7" s="51" customFormat="1">
      <c r="D40" s="52"/>
      <c r="E40" s="53"/>
      <c r="G40" s="52"/>
    </row>
    <row r="41" spans="2:7" s="51" customFormat="1">
      <c r="D41" s="52"/>
      <c r="E41" s="53"/>
      <c r="G41" s="52"/>
    </row>
    <row r="42" spans="2:7" s="51" customFormat="1">
      <c r="D42" s="52"/>
      <c r="E42" s="53"/>
      <c r="G42" s="52"/>
    </row>
    <row r="43" spans="2:7" s="51" customFormat="1">
      <c r="D43" s="52"/>
      <c r="E43" s="53"/>
      <c r="G43" s="52"/>
    </row>
    <row r="44" spans="2:7" s="51" customFormat="1">
      <c r="D44" s="52"/>
      <c r="E44" s="53"/>
      <c r="G44" s="52"/>
    </row>
    <row r="45" spans="2:7" s="51" customFormat="1">
      <c r="D45" s="52"/>
      <c r="E45" s="53"/>
      <c r="G45" s="46"/>
    </row>
    <row r="46" spans="2:7" s="51" customFormat="1">
      <c r="D46" s="52"/>
      <c r="E46" s="53"/>
      <c r="G46" s="46"/>
    </row>
    <row r="47" spans="2:7" s="51" customFormat="1">
      <c r="D47" s="52"/>
      <c r="E47" s="53"/>
      <c r="G47" s="46"/>
    </row>
    <row r="48" spans="2:7">
      <c r="B48" s="51"/>
      <c r="C48" s="51"/>
      <c r="D48" s="52"/>
      <c r="E48" s="53"/>
      <c r="F48" s="51"/>
    </row>
    <row r="49" spans="2:6">
      <c r="B49" s="51"/>
      <c r="C49" s="51"/>
      <c r="D49" s="52"/>
      <c r="E49" s="53"/>
      <c r="F49" s="51"/>
    </row>
    <row r="50" spans="2:6">
      <c r="B50" s="51"/>
      <c r="C50" s="51"/>
      <c r="D50" s="52"/>
      <c r="E50" s="53"/>
      <c r="F50" s="51"/>
    </row>
    <row r="51" spans="2:6">
      <c r="B51" s="51"/>
      <c r="C51" s="51"/>
      <c r="D51" s="52"/>
      <c r="E51" s="53"/>
      <c r="F51" s="51"/>
    </row>
    <row r="52" spans="2:6">
      <c r="B52" s="51"/>
      <c r="C52" s="51"/>
      <c r="D52" s="52"/>
      <c r="E52" s="53"/>
      <c r="F52" s="51"/>
    </row>
    <row r="53" spans="2:6">
      <c r="B53" s="51"/>
      <c r="C53" s="51"/>
      <c r="D53" s="52"/>
      <c r="E53" s="53"/>
      <c r="F53" s="51"/>
    </row>
    <row r="54" spans="2:6">
      <c r="B54" s="51"/>
      <c r="C54" s="51"/>
      <c r="D54" s="52"/>
      <c r="E54" s="53"/>
      <c r="F54" s="51"/>
    </row>
    <row r="55" spans="2:6">
      <c r="B55" s="51"/>
      <c r="C55" s="51"/>
      <c r="D55" s="52"/>
      <c r="E55" s="53"/>
      <c r="F55" s="51"/>
    </row>
    <row r="56" spans="2:6">
      <c r="B56" s="51"/>
      <c r="C56" s="51"/>
      <c r="D56" s="52"/>
      <c r="E56" s="53"/>
      <c r="F56" s="51"/>
    </row>
    <row r="57" spans="2:6">
      <c r="B57" s="51"/>
      <c r="C57" s="51"/>
      <c r="D57" s="52"/>
      <c r="E57" s="53"/>
      <c r="F57" s="51"/>
    </row>
    <row r="58" spans="2:6">
      <c r="B58" s="51"/>
      <c r="C58" s="51"/>
      <c r="D58" s="52"/>
      <c r="E58" s="53"/>
      <c r="F58" s="51"/>
    </row>
    <row r="59" spans="2:6">
      <c r="B59" s="51"/>
      <c r="C59" s="51"/>
      <c r="D59" s="52"/>
      <c r="E59" s="53"/>
      <c r="F59" s="51"/>
    </row>
    <row r="60" spans="2:6">
      <c r="B60" s="51"/>
      <c r="C60" s="51"/>
      <c r="D60" s="52"/>
      <c r="E60" s="53"/>
      <c r="F60" s="51"/>
    </row>
    <row r="61" spans="2:6">
      <c r="B61" s="51"/>
      <c r="C61" s="51"/>
      <c r="D61" s="52"/>
      <c r="E61" s="53"/>
      <c r="F61" s="51"/>
    </row>
    <row r="62" spans="2:6">
      <c r="B62" s="51"/>
      <c r="C62" s="51"/>
      <c r="D62" s="52"/>
      <c r="E62" s="53"/>
      <c r="F62" s="51"/>
    </row>
    <row r="63" spans="2:6">
      <c r="B63" s="51"/>
      <c r="C63" s="51"/>
      <c r="D63" s="52"/>
      <c r="E63" s="53"/>
      <c r="F63" s="51"/>
    </row>
    <row r="64" spans="2:6">
      <c r="B64" s="51"/>
      <c r="C64" s="51"/>
      <c r="D64" s="52"/>
      <c r="E64" s="53"/>
      <c r="F64" s="51"/>
    </row>
    <row r="65" spans="2:6">
      <c r="B65" s="51"/>
      <c r="C65" s="51"/>
      <c r="D65" s="52"/>
      <c r="E65" s="53"/>
      <c r="F65" s="51"/>
    </row>
    <row r="66" spans="2:6">
      <c r="B66" s="51"/>
      <c r="C66" s="51"/>
      <c r="D66" s="52"/>
      <c r="E66" s="53"/>
      <c r="F66" s="51"/>
    </row>
    <row r="67" spans="2:6">
      <c r="B67" s="51"/>
      <c r="C67" s="51"/>
      <c r="D67" s="52"/>
      <c r="E67" s="53"/>
      <c r="F67" s="51"/>
    </row>
    <row r="68" spans="2:6">
      <c r="B68" s="51"/>
      <c r="C68" s="51"/>
      <c r="D68" s="52"/>
      <c r="E68" s="53"/>
      <c r="F68" s="51"/>
    </row>
    <row r="69" spans="2:6">
      <c r="B69" s="51"/>
      <c r="C69" s="51"/>
      <c r="D69" s="52"/>
      <c r="E69" s="53"/>
      <c r="F69" s="51"/>
    </row>
    <row r="70" spans="2:6">
      <c r="B70" s="51"/>
      <c r="C70" s="51"/>
      <c r="D70" s="52"/>
      <c r="E70" s="53"/>
      <c r="F70" s="51"/>
    </row>
    <row r="71" spans="2:6">
      <c r="B71" s="51"/>
      <c r="C71" s="51"/>
      <c r="D71" s="52"/>
      <c r="E71" s="53"/>
      <c r="F71" s="51"/>
    </row>
    <row r="72" spans="2:6">
      <c r="B72" s="51"/>
      <c r="C72" s="51"/>
      <c r="D72" s="52"/>
      <c r="E72" s="53"/>
      <c r="F72" s="51"/>
    </row>
  </sheetData>
  <sheetProtection sheet="1" objects="1" scenarios="1"/>
  <mergeCells count="3">
    <mergeCell ref="B3:F3"/>
    <mergeCell ref="B16:F16"/>
    <mergeCell ref="B13:F13"/>
  </mergeCells>
  <conditionalFormatting sqref="C9">
    <cfRule type="expression" dxfId="115" priority="119">
      <formula>LEN(C9)&lt;8</formula>
    </cfRule>
  </conditionalFormatting>
  <conditionalFormatting sqref="C14:C15">
    <cfRule type="expression" dxfId="114" priority="11">
      <formula>LEN(C14)&lt;8</formula>
    </cfRule>
  </conditionalFormatting>
  <conditionalFormatting sqref="C11">
    <cfRule type="expression" dxfId="113" priority="9">
      <formula>LEN(C11)&lt;8</formula>
    </cfRule>
  </conditionalFormatting>
  <conditionalFormatting sqref="C10">
    <cfRule type="expression" dxfId="112" priority="8">
      <formula>LEN(C10)&lt;8</formula>
    </cfRule>
  </conditionalFormatting>
  <conditionalFormatting sqref="C17:C20">
    <cfRule type="expression" dxfId="111" priority="7">
      <formula>LEN(C17)&lt;8</formula>
    </cfRule>
  </conditionalFormatting>
  <conditionalFormatting sqref="C8">
    <cfRule type="expression" dxfId="110" priority="5">
      <formula>LEN(C8)&gt;40</formula>
    </cfRule>
    <cfRule type="expression" dxfId="109" priority="6">
      <formula>LEN(C8)&lt;8</formula>
    </cfRule>
  </conditionalFormatting>
  <conditionalFormatting sqref="C12">
    <cfRule type="expression" dxfId="108" priority="2">
      <formula>LEN(C12)&lt;12</formula>
    </cfRule>
  </conditionalFormatting>
  <dataValidations count="4">
    <dataValidation type="textLength" allowBlank="1" showInputMessage="1" showErrorMessage="1" errorTitle="Password Length Error" error="Password must be minimum of 8 and maximum 12 characters length" promptTitle="Password Policy" prompt="8-12 character length, atleast one Uppercase, lowercase, number &amp; special character (e.g: @!#$%?^)" sqref="C14 C10:C11" xr:uid="{AA3DCDA1-51A3-1B4F-BA51-00B31742B9AE}">
      <formula1>8</formula1>
      <formula2>12</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special character (e.g: @!#$%?^)" sqref="C17:C20 C9" xr:uid="{42594C90-3A27-2F49-8094-3AF94BD00ED5}">
      <formula1>8</formula1>
      <formula2>20</formula2>
    </dataValidation>
    <dataValidation type="textLength" allowBlank="1" showInputMessage="1" showErrorMessage="1" errorTitle="Password Length Error" error="Password must be minimum of 8 and maximum 12 characters length" promptTitle="Password Policy" prompt="8-12 character length, atleast one Uppercase, lowercase, number &amp; special character (e.g: @!#$%?^)_x000a_Not Supported: Adjacent repeating of characters " sqref="C15" xr:uid="{4249498A-E86F-3C40-A9D1-8945D75D9F37}">
      <formula1>8</formula1>
      <formula2>12</formula2>
    </dataValidation>
    <dataValidation type="textLength" allowBlank="1" showInputMessage="1" showErrorMessage="1" errorTitle="Password Length Error" error="Password must be minimum of 8 and maximum 12 characters length" promptTitle="Password Policy" prompt="12-255 character length, atleast one Uppercase, lowercase, number &amp; special character (e.g: @!#$%?^)" sqref="C12" xr:uid="{7D18767F-9E97-DE42-9A14-DD8B7AAD2148}">
      <formula1>8</formula1>
      <formula2>12</formula2>
    </dataValidation>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68"/>
  <sheetViews>
    <sheetView zoomScale="120" zoomScaleNormal="120" workbookViewId="0">
      <pane ySplit="4" topLeftCell="A5" activePane="bottomLeft" state="frozen"/>
      <selection pane="bottomLeft" activeCell="J11" sqref="J11"/>
    </sheetView>
  </sheetViews>
  <sheetFormatPr baseColWidth="10" defaultColWidth="12.5" defaultRowHeight="13"/>
  <cols>
    <col min="1" max="1" width="1.6640625" style="67" customWidth="1"/>
    <col min="2" max="2" width="9.33203125" style="74" customWidth="1"/>
    <col min="3" max="3" width="32.6640625" style="74" customWidth="1"/>
    <col min="4" max="5" width="17.6640625" style="74" customWidth="1"/>
    <col min="6" max="6" width="7.5" style="74" customWidth="1"/>
    <col min="7" max="7" width="2.6640625" style="67" customWidth="1"/>
    <col min="8" max="11" width="27.6640625" style="74" customWidth="1"/>
    <col min="12" max="15" width="27.6640625" style="67" customWidth="1"/>
    <col min="16" max="28" width="12.5" style="67"/>
    <col min="29" max="16384" width="12.5" style="74"/>
  </cols>
  <sheetData>
    <row r="1" spans="1:28" s="67" customFormat="1" ht="48" customHeight="1"/>
    <row r="2" spans="1:28" s="68" customFormat="1" ht="2" customHeight="1" thickBot="1">
      <c r="C2" s="69"/>
      <c r="D2" s="70"/>
      <c r="E2" s="70"/>
    </row>
    <row r="3" spans="1:28" s="68" customFormat="1" ht="32.25" customHeight="1" thickBot="1">
      <c r="B3" s="271" t="s">
        <v>315</v>
      </c>
      <c r="C3" s="272"/>
      <c r="D3" s="272"/>
      <c r="E3" s="272"/>
      <c r="F3" s="272"/>
      <c r="G3" s="272"/>
      <c r="H3" s="272"/>
      <c r="I3" s="272"/>
      <c r="J3" s="272"/>
      <c r="K3" s="273"/>
    </row>
    <row r="4" spans="1:28" s="73" customFormat="1" ht="4" customHeight="1" thickBot="1">
      <c r="A4" s="71"/>
      <c r="B4" s="71"/>
      <c r="C4" s="72"/>
      <c r="D4" s="72"/>
      <c r="E4" s="72"/>
      <c r="F4" s="71"/>
      <c r="G4" s="71"/>
      <c r="H4" s="71"/>
      <c r="I4" s="71"/>
      <c r="J4" s="71"/>
      <c r="K4" s="68"/>
      <c r="L4" s="68"/>
      <c r="M4" s="71"/>
      <c r="N4" s="71"/>
      <c r="O4" s="71"/>
      <c r="P4" s="71"/>
      <c r="Q4" s="71"/>
      <c r="R4" s="71"/>
      <c r="S4" s="71"/>
      <c r="T4" s="71"/>
      <c r="U4" s="71"/>
      <c r="V4" s="71"/>
      <c r="W4" s="71"/>
      <c r="X4" s="71"/>
      <c r="Y4" s="71"/>
      <c r="Z4" s="71"/>
      <c r="AA4" s="71"/>
    </row>
    <row r="5" spans="1:28" s="133" customFormat="1" ht="16" customHeight="1">
      <c r="A5" s="131"/>
      <c r="B5" s="274" t="s">
        <v>386</v>
      </c>
      <c r="C5" s="275"/>
      <c r="D5" s="275"/>
      <c r="E5" s="275"/>
      <c r="F5" s="276"/>
      <c r="G5" s="132"/>
      <c r="H5" s="285" t="s">
        <v>385</v>
      </c>
      <c r="I5" s="286"/>
      <c r="J5" s="286"/>
      <c r="K5" s="286"/>
      <c r="L5" s="286"/>
      <c r="M5" s="286"/>
      <c r="N5" s="286"/>
      <c r="O5" s="287"/>
      <c r="P5" s="131"/>
      <c r="Q5" s="131"/>
      <c r="R5" s="131"/>
      <c r="S5" s="131"/>
      <c r="T5" s="131"/>
      <c r="U5" s="131"/>
      <c r="V5" s="131"/>
      <c r="W5" s="131"/>
      <c r="X5" s="131"/>
      <c r="Y5" s="131"/>
      <c r="Z5" s="131"/>
      <c r="AA5" s="131"/>
      <c r="AB5" s="131"/>
    </row>
    <row r="6" spans="1:28" s="133" customFormat="1" ht="16" customHeight="1">
      <c r="A6" s="131"/>
      <c r="B6" s="134" t="s">
        <v>4</v>
      </c>
      <c r="C6" s="135" t="s">
        <v>97</v>
      </c>
      <c r="D6" s="135" t="s">
        <v>129</v>
      </c>
      <c r="E6" s="135" t="s">
        <v>6</v>
      </c>
      <c r="F6" s="136" t="s">
        <v>25</v>
      </c>
      <c r="G6" s="137"/>
      <c r="H6" s="236" t="s">
        <v>279</v>
      </c>
      <c r="I6" s="235" t="s">
        <v>280</v>
      </c>
      <c r="J6" s="235" t="s">
        <v>281</v>
      </c>
      <c r="K6" s="235" t="s">
        <v>282</v>
      </c>
      <c r="L6" s="235" t="s">
        <v>7</v>
      </c>
      <c r="M6" s="235" t="s">
        <v>7</v>
      </c>
      <c r="N6" s="235" t="s">
        <v>7</v>
      </c>
      <c r="O6" s="237" t="s">
        <v>7</v>
      </c>
      <c r="P6" s="131"/>
      <c r="Q6" s="131"/>
      <c r="R6" s="131"/>
      <c r="S6" s="131"/>
      <c r="T6" s="131"/>
      <c r="U6" s="131"/>
      <c r="V6" s="131"/>
      <c r="W6" s="131"/>
      <c r="X6" s="131"/>
      <c r="Y6" s="131"/>
      <c r="Z6" s="131"/>
      <c r="AA6" s="131"/>
      <c r="AB6" s="131"/>
    </row>
    <row r="7" spans="1:28" s="133" customFormat="1" ht="16" customHeight="1" thickBot="1">
      <c r="A7" s="131"/>
      <c r="B7" s="193">
        <v>1611</v>
      </c>
      <c r="C7" s="205" t="s">
        <v>312</v>
      </c>
      <c r="D7" s="198" t="s">
        <v>258</v>
      </c>
      <c r="E7" s="198" t="s">
        <v>259</v>
      </c>
      <c r="F7" s="199">
        <v>1500</v>
      </c>
      <c r="G7" s="138"/>
      <c r="H7" s="238" t="s">
        <v>275</v>
      </c>
      <c r="I7" s="239" t="s">
        <v>276</v>
      </c>
      <c r="J7" s="239" t="s">
        <v>277</v>
      </c>
      <c r="K7" s="239" t="s">
        <v>278</v>
      </c>
      <c r="L7" s="239" t="s">
        <v>7</v>
      </c>
      <c r="M7" s="239" t="s">
        <v>7</v>
      </c>
      <c r="N7" s="239" t="s">
        <v>7</v>
      </c>
      <c r="O7" s="240" t="s">
        <v>7</v>
      </c>
      <c r="P7" s="131"/>
      <c r="Q7" s="131"/>
      <c r="R7" s="131"/>
      <c r="S7" s="131"/>
      <c r="T7" s="131"/>
      <c r="U7" s="131"/>
      <c r="V7" s="131"/>
      <c r="W7" s="131"/>
      <c r="X7" s="131"/>
      <c r="Y7" s="131"/>
      <c r="Z7" s="131"/>
      <c r="AA7" s="131"/>
      <c r="AB7" s="131"/>
    </row>
    <row r="8" spans="1:28" s="133" customFormat="1" ht="16" customHeight="1">
      <c r="A8" s="131"/>
      <c r="B8" s="194">
        <v>1612</v>
      </c>
      <c r="C8" s="139" t="s">
        <v>313</v>
      </c>
      <c r="D8" s="196" t="s">
        <v>260</v>
      </c>
      <c r="E8" s="198" t="s">
        <v>261</v>
      </c>
      <c r="F8" s="197">
        <v>9000</v>
      </c>
      <c r="G8" s="138"/>
      <c r="H8" s="144"/>
      <c r="I8" s="144"/>
      <c r="J8" s="144"/>
      <c r="K8" s="144"/>
      <c r="L8" s="131"/>
      <c r="M8" s="131"/>
      <c r="N8" s="131"/>
      <c r="O8" s="131"/>
      <c r="P8" s="131"/>
      <c r="Q8" s="131"/>
      <c r="R8" s="131"/>
      <c r="S8" s="131"/>
      <c r="T8" s="131"/>
      <c r="U8" s="131"/>
      <c r="V8" s="131"/>
      <c r="W8" s="131"/>
      <c r="X8" s="131"/>
      <c r="Y8" s="131"/>
      <c r="Z8" s="131"/>
      <c r="AA8" s="131"/>
      <c r="AB8" s="131"/>
    </row>
    <row r="9" spans="1:28" s="133" customFormat="1" ht="16" customHeight="1">
      <c r="A9" s="131"/>
      <c r="B9" s="194">
        <v>1613</v>
      </c>
      <c r="C9" s="139" t="s">
        <v>314</v>
      </c>
      <c r="D9" s="196" t="s">
        <v>262</v>
      </c>
      <c r="E9" s="198" t="s">
        <v>263</v>
      </c>
      <c r="F9" s="197">
        <v>9000</v>
      </c>
      <c r="G9" s="138"/>
      <c r="H9" s="144"/>
      <c r="I9" s="144"/>
      <c r="J9" s="144"/>
      <c r="K9" s="144"/>
      <c r="L9" s="131"/>
      <c r="M9" s="131"/>
      <c r="N9" s="131"/>
      <c r="O9" s="131"/>
      <c r="P9" s="131"/>
      <c r="Q9" s="131"/>
      <c r="R9" s="131"/>
      <c r="S9" s="131"/>
      <c r="T9" s="131"/>
      <c r="U9" s="131"/>
      <c r="V9" s="131"/>
      <c r="W9" s="131"/>
      <c r="X9" s="131"/>
      <c r="Y9" s="131"/>
      <c r="Z9" s="131"/>
      <c r="AA9" s="131"/>
      <c r="AB9" s="131"/>
    </row>
    <row r="10" spans="1:28" s="133" customFormat="1" ht="16" customHeight="1" thickBot="1">
      <c r="A10" s="131"/>
      <c r="B10" s="195">
        <v>1614</v>
      </c>
      <c r="C10" s="206" t="s">
        <v>213</v>
      </c>
      <c r="D10" s="208" t="s">
        <v>7</v>
      </c>
      <c r="E10" s="208" t="s">
        <v>7</v>
      </c>
      <c r="F10" s="200">
        <v>9000</v>
      </c>
      <c r="G10" s="138"/>
      <c r="H10" s="144"/>
      <c r="I10" s="144"/>
      <c r="J10" s="144"/>
      <c r="K10" s="144"/>
      <c r="L10" s="131"/>
      <c r="M10" s="131"/>
      <c r="N10" s="131"/>
      <c r="O10" s="131"/>
      <c r="P10" s="131"/>
      <c r="Q10" s="131"/>
      <c r="R10" s="131"/>
      <c r="S10" s="131"/>
      <c r="T10" s="131"/>
      <c r="U10" s="131"/>
      <c r="V10" s="131"/>
      <c r="W10" s="131"/>
      <c r="X10" s="131"/>
      <c r="Y10" s="131"/>
      <c r="Z10" s="131"/>
      <c r="AA10" s="131"/>
      <c r="AB10" s="131"/>
    </row>
    <row r="11" spans="1:28" s="131" customFormat="1" ht="16" customHeight="1" thickBot="1">
      <c r="C11" s="142"/>
      <c r="E11" s="142"/>
      <c r="F11" s="142"/>
      <c r="G11" s="143"/>
      <c r="H11" s="223" t="s">
        <v>343</v>
      </c>
      <c r="I11" s="224" t="s">
        <v>354</v>
      </c>
      <c r="J11" s="225" t="s">
        <v>388</v>
      </c>
      <c r="K11" s="67"/>
      <c r="L11" s="67"/>
      <c r="M11" s="67"/>
      <c r="N11" s="67"/>
      <c r="O11" s="67"/>
    </row>
    <row r="12" spans="1:28" ht="16">
      <c r="B12" s="67"/>
      <c r="C12" s="274" t="s">
        <v>233</v>
      </c>
      <c r="D12" s="277"/>
      <c r="E12" s="278"/>
      <c r="F12" s="67"/>
      <c r="G12" s="76"/>
      <c r="H12" s="226" t="s">
        <v>344</v>
      </c>
      <c r="I12" s="266" t="s">
        <v>364</v>
      </c>
      <c r="J12" s="268"/>
      <c r="K12" s="266" t="s">
        <v>363</v>
      </c>
      <c r="L12" s="267"/>
    </row>
    <row r="13" spans="1:28" ht="16" customHeight="1">
      <c r="B13" s="67"/>
      <c r="C13" s="134" t="s">
        <v>97</v>
      </c>
      <c r="D13" s="135" t="s">
        <v>221</v>
      </c>
      <c r="E13" s="136" t="s">
        <v>222</v>
      </c>
      <c r="F13" s="67"/>
      <c r="G13" s="76"/>
      <c r="H13" s="218" t="str">
        <f>H6</f>
        <v>sfo01m01esx01</v>
      </c>
      <c r="I13" s="290" t="s">
        <v>355</v>
      </c>
      <c r="J13" s="291"/>
      <c r="K13" s="290" t="s">
        <v>359</v>
      </c>
      <c r="L13" s="292"/>
    </row>
    <row r="14" spans="1:28" ht="16" customHeight="1">
      <c r="B14" s="67"/>
      <c r="C14" s="279" t="str">
        <f>C8</f>
        <v>SDDC-DPortGroup-vMotion</v>
      </c>
      <c r="D14" s="196" t="s">
        <v>284</v>
      </c>
      <c r="E14" s="197" t="s">
        <v>285</v>
      </c>
      <c r="F14" s="67"/>
      <c r="G14" s="76"/>
      <c r="H14" s="218" t="str">
        <f>I6</f>
        <v>sfo01m01esx02</v>
      </c>
      <c r="I14" s="290" t="s">
        <v>356</v>
      </c>
      <c r="J14" s="291"/>
      <c r="K14" s="290" t="s">
        <v>360</v>
      </c>
      <c r="L14" s="292"/>
    </row>
    <row r="15" spans="1:28" ht="16" customHeight="1">
      <c r="B15" s="67"/>
      <c r="C15" s="280"/>
      <c r="D15" s="213" t="s">
        <v>7</v>
      </c>
      <c r="E15" s="197" t="s">
        <v>7</v>
      </c>
      <c r="F15" s="67"/>
      <c r="G15" s="76"/>
      <c r="H15" s="218" t="str">
        <f>J6</f>
        <v>sfo01m01esx03</v>
      </c>
      <c r="I15" s="290" t="s">
        <v>357</v>
      </c>
      <c r="J15" s="291"/>
      <c r="K15" s="290" t="s">
        <v>361</v>
      </c>
      <c r="L15" s="292"/>
    </row>
    <row r="16" spans="1:28" ht="16" customHeight="1">
      <c r="B16" s="67"/>
      <c r="C16" s="204" t="str">
        <f>C8&amp;"-IPs"</f>
        <v>SDDC-DPortGroup-vMotion-IPs</v>
      </c>
      <c r="D16" s="281" t="s">
        <v>7</v>
      </c>
      <c r="E16" s="282"/>
      <c r="F16" s="67"/>
      <c r="G16" s="76"/>
      <c r="H16" s="218" t="str">
        <f>K6</f>
        <v>sfo01m01esx04</v>
      </c>
      <c r="I16" s="290" t="s">
        <v>358</v>
      </c>
      <c r="J16" s="291"/>
      <c r="K16" s="290" t="s">
        <v>362</v>
      </c>
      <c r="L16" s="292"/>
    </row>
    <row r="17" spans="2:12" ht="16" customHeight="1">
      <c r="B17" s="67"/>
      <c r="C17" s="279" t="str">
        <f>C9</f>
        <v xml:space="preserve">SDDC-DPortGroup-VSAN </v>
      </c>
      <c r="D17" s="213" t="s">
        <v>286</v>
      </c>
      <c r="E17" s="197" t="s">
        <v>287</v>
      </c>
      <c r="F17" s="67"/>
      <c r="G17" s="76"/>
      <c r="H17" s="218" t="str">
        <f>L6</f>
        <v>n/a</v>
      </c>
      <c r="I17" s="283" t="s">
        <v>7</v>
      </c>
      <c r="J17" s="293"/>
      <c r="K17" s="283" t="s">
        <v>7</v>
      </c>
      <c r="L17" s="284"/>
    </row>
    <row r="18" spans="2:12" ht="16" customHeight="1">
      <c r="B18" s="67"/>
      <c r="C18" s="280"/>
      <c r="D18" s="213" t="s">
        <v>7</v>
      </c>
      <c r="E18" s="197" t="s">
        <v>7</v>
      </c>
      <c r="F18" s="67"/>
      <c r="G18" s="76"/>
      <c r="H18" s="218" t="str">
        <f>M6</f>
        <v>n/a</v>
      </c>
      <c r="I18" s="283" t="s">
        <v>7</v>
      </c>
      <c r="J18" s="293"/>
      <c r="K18" s="283" t="s">
        <v>7</v>
      </c>
      <c r="L18" s="284"/>
    </row>
    <row r="19" spans="2:12" ht="16" customHeight="1" thickBot="1">
      <c r="B19" s="67"/>
      <c r="C19" s="185" t="str">
        <f>C9&amp;"-IPs"</f>
        <v>SDDC-DPortGroup-VSAN -IPs</v>
      </c>
      <c r="D19" s="269" t="s">
        <v>7</v>
      </c>
      <c r="E19" s="270"/>
      <c r="F19" s="67"/>
      <c r="G19" s="76"/>
      <c r="H19" s="218" t="str">
        <f>N6</f>
        <v>n/a</v>
      </c>
      <c r="I19" s="283" t="s">
        <v>7</v>
      </c>
      <c r="J19" s="293"/>
      <c r="K19" s="283" t="s">
        <v>7</v>
      </c>
      <c r="L19" s="284"/>
    </row>
    <row r="20" spans="2:12" ht="14" thickBot="1">
      <c r="B20" s="67"/>
      <c r="C20" s="67"/>
      <c r="D20" s="67"/>
      <c r="E20" s="67"/>
      <c r="F20" s="67"/>
      <c r="G20" s="76"/>
      <c r="H20" s="219" t="str">
        <f>O6</f>
        <v>n/a</v>
      </c>
      <c r="I20" s="288" t="s">
        <v>7</v>
      </c>
      <c r="J20" s="294"/>
      <c r="K20" s="288" t="s">
        <v>7</v>
      </c>
      <c r="L20" s="289"/>
    </row>
    <row r="21" spans="2:12" ht="14" thickBot="1">
      <c r="B21" s="67"/>
      <c r="C21" s="67"/>
      <c r="D21" s="67"/>
      <c r="E21" s="67"/>
      <c r="F21" s="67"/>
      <c r="G21" s="75"/>
      <c r="H21" s="67"/>
      <c r="I21" s="67"/>
      <c r="J21" s="67"/>
      <c r="K21" s="67"/>
    </row>
    <row r="22" spans="2:12">
      <c r="B22" s="67"/>
      <c r="C22" s="140" t="s">
        <v>191</v>
      </c>
      <c r="D22" s="201" t="s">
        <v>283</v>
      </c>
      <c r="E22" s="67"/>
      <c r="F22" s="67"/>
      <c r="G22" s="75"/>
      <c r="H22" s="67"/>
      <c r="I22" s="67"/>
      <c r="J22" s="67"/>
      <c r="K22" s="67"/>
    </row>
    <row r="23" spans="2:12" ht="14" thickBot="1">
      <c r="B23" s="67"/>
      <c r="C23" s="141" t="s">
        <v>192</v>
      </c>
      <c r="D23" s="202"/>
      <c r="E23" s="67"/>
      <c r="F23" s="67"/>
      <c r="G23" s="76"/>
      <c r="H23" s="67"/>
      <c r="I23" s="67"/>
      <c r="J23" s="67"/>
      <c r="K23" s="67"/>
    </row>
    <row r="24" spans="2:12" s="67" customFormat="1"/>
    <row r="25" spans="2:12" s="67" customFormat="1"/>
    <row r="26" spans="2:12" s="67" customFormat="1"/>
    <row r="27" spans="2:12" s="67" customFormat="1"/>
    <row r="28" spans="2:12" s="67" customFormat="1"/>
    <row r="29" spans="2:12" s="67" customFormat="1"/>
    <row r="30" spans="2:12" s="67" customFormat="1"/>
    <row r="31" spans="2:12" s="67" customFormat="1"/>
    <row r="32" spans="2:12" s="67" customFormat="1"/>
    <row r="33" s="67" customFormat="1"/>
    <row r="34" s="67" customFormat="1"/>
    <row r="35" s="67" customFormat="1"/>
    <row r="36" s="67" customFormat="1"/>
    <row r="37" s="67" customFormat="1"/>
    <row r="38" s="67" customFormat="1"/>
    <row r="39" s="67" customFormat="1"/>
    <row r="40" s="67" customFormat="1"/>
    <row r="41" s="67" customFormat="1"/>
    <row r="42" s="67" customFormat="1"/>
    <row r="43" s="67" customFormat="1"/>
    <row r="44" s="67" customFormat="1"/>
    <row r="45" s="67" customFormat="1"/>
    <row r="46" s="67" customFormat="1"/>
    <row r="47" s="67" customFormat="1"/>
    <row r="48" s="67" customFormat="1"/>
    <row r="49" spans="2:11" s="67" customFormat="1"/>
    <row r="50" spans="2:11" s="67" customFormat="1"/>
    <row r="51" spans="2:11" s="67" customFormat="1"/>
    <row r="52" spans="2:11" s="67" customFormat="1"/>
    <row r="53" spans="2:11" s="67" customFormat="1"/>
    <row r="54" spans="2:11" s="67" customFormat="1"/>
    <row r="55" spans="2:11" s="67" customFormat="1"/>
    <row r="56" spans="2:11" s="67" customFormat="1"/>
    <row r="57" spans="2:11" s="67" customFormat="1"/>
    <row r="58" spans="2:11" s="67" customFormat="1"/>
    <row r="59" spans="2:11" s="67" customFormat="1"/>
    <row r="60" spans="2:11" s="67" customFormat="1">
      <c r="H60" s="74"/>
      <c r="I60" s="74"/>
      <c r="J60" s="74"/>
      <c r="K60" s="74"/>
    </row>
    <row r="61" spans="2:11" s="67" customFormat="1">
      <c r="B61" s="74"/>
      <c r="C61" s="74"/>
      <c r="D61" s="74"/>
      <c r="E61" s="74"/>
      <c r="F61" s="74"/>
      <c r="H61" s="74"/>
      <c r="I61" s="74"/>
      <c r="J61" s="74"/>
      <c r="K61" s="74"/>
    </row>
    <row r="62" spans="2:11" s="67" customFormat="1">
      <c r="B62" s="74"/>
      <c r="C62" s="74"/>
      <c r="D62" s="74"/>
      <c r="E62" s="74"/>
      <c r="F62" s="74"/>
      <c r="H62" s="74"/>
      <c r="I62" s="74"/>
      <c r="J62" s="74"/>
      <c r="K62" s="74"/>
    </row>
    <row r="63" spans="2:11" s="67" customFormat="1">
      <c r="B63" s="74"/>
      <c r="C63" s="74"/>
      <c r="D63" s="74"/>
      <c r="E63" s="74"/>
      <c r="F63" s="74"/>
      <c r="H63" s="74"/>
      <c r="I63" s="74"/>
      <c r="J63" s="74"/>
      <c r="K63" s="74"/>
    </row>
    <row r="64" spans="2:11" s="67" customFormat="1">
      <c r="B64" s="74"/>
      <c r="C64" s="74"/>
      <c r="D64" s="74"/>
      <c r="E64" s="74"/>
      <c r="F64" s="74"/>
      <c r="H64" s="74"/>
      <c r="I64" s="74"/>
      <c r="J64" s="74"/>
      <c r="K64" s="74"/>
    </row>
    <row r="65" spans="2:11" s="67" customFormat="1">
      <c r="B65" s="74"/>
      <c r="C65" s="74"/>
      <c r="D65" s="74"/>
      <c r="E65" s="74"/>
      <c r="F65" s="74"/>
      <c r="H65" s="74"/>
      <c r="I65" s="74"/>
      <c r="J65" s="74"/>
      <c r="K65" s="74"/>
    </row>
    <row r="66" spans="2:11" s="67" customFormat="1">
      <c r="B66" s="74"/>
      <c r="C66" s="74"/>
      <c r="D66" s="74"/>
      <c r="E66" s="74"/>
      <c r="F66" s="74"/>
      <c r="H66" s="74"/>
      <c r="I66" s="74"/>
      <c r="J66" s="74"/>
      <c r="K66" s="74"/>
    </row>
    <row r="67" spans="2:11" s="67" customFormat="1">
      <c r="B67" s="74"/>
      <c r="C67" s="74"/>
      <c r="D67" s="74"/>
      <c r="E67" s="74"/>
      <c r="F67" s="74"/>
      <c r="H67" s="74"/>
      <c r="I67" s="74"/>
      <c r="J67" s="74"/>
      <c r="K67" s="74"/>
    </row>
    <row r="68" spans="2:11" s="67" customFormat="1">
      <c r="B68" s="74"/>
      <c r="C68" s="74"/>
      <c r="D68" s="74"/>
      <c r="E68" s="74"/>
      <c r="F68" s="74"/>
      <c r="H68" s="74"/>
      <c r="I68" s="74"/>
      <c r="J68" s="74"/>
      <c r="K68" s="74"/>
    </row>
  </sheetData>
  <sheetProtection sheet="1" objects="1" scenarios="1"/>
  <mergeCells count="26">
    <mergeCell ref="K20:L20"/>
    <mergeCell ref="I13:J13"/>
    <mergeCell ref="I14:J14"/>
    <mergeCell ref="I15:J15"/>
    <mergeCell ref="I16:J16"/>
    <mergeCell ref="K16:L16"/>
    <mergeCell ref="K13:L13"/>
    <mergeCell ref="K14:L14"/>
    <mergeCell ref="K15:L15"/>
    <mergeCell ref="I17:J17"/>
    <mergeCell ref="I18:J18"/>
    <mergeCell ref="I19:J19"/>
    <mergeCell ref="I20:J20"/>
    <mergeCell ref="K12:L12"/>
    <mergeCell ref="I12:J12"/>
    <mergeCell ref="D19:E19"/>
    <mergeCell ref="B3:K3"/>
    <mergeCell ref="B5:F5"/>
    <mergeCell ref="C12:E12"/>
    <mergeCell ref="C14:C15"/>
    <mergeCell ref="C17:C18"/>
    <mergeCell ref="D16:E16"/>
    <mergeCell ref="K17:L17"/>
    <mergeCell ref="K18:L18"/>
    <mergeCell ref="K19:L19"/>
    <mergeCell ref="H5:O5"/>
  </mergeCells>
  <conditionalFormatting sqref="C7">
    <cfRule type="containsText" dxfId="107" priority="117" operator="containsText" text="n/a">
      <formula>NOT(ISERROR(SEARCH("n/a",C7)))</formula>
    </cfRule>
    <cfRule type="containsBlanks" dxfId="106" priority="120">
      <formula>LEN(TRIM(C7))=0</formula>
    </cfRule>
  </conditionalFormatting>
  <conditionalFormatting sqref="C8:C9">
    <cfRule type="containsText" dxfId="105" priority="111" operator="containsText" text="n/a">
      <formula>NOT(ISERROR(SEARCH("n/a",C8)))</formula>
    </cfRule>
    <cfRule type="containsBlanks" dxfId="104" priority="112">
      <formula>LEN(TRIM(C8))=0</formula>
    </cfRule>
  </conditionalFormatting>
  <conditionalFormatting sqref="B7">
    <cfRule type="containsText" dxfId="103" priority="101" operator="containsText" text="n/a">
      <formula>NOT(ISERROR(SEARCH("n/a",B7)))</formula>
    </cfRule>
    <cfRule type="containsBlanks" dxfId="102" priority="102">
      <formula>LEN(TRIM(B7))=0</formula>
    </cfRule>
  </conditionalFormatting>
  <conditionalFormatting sqref="D8:E8 F8:F9 I13:J20">
    <cfRule type="containsBlanks" dxfId="101" priority="98">
      <formula>LEN(TRIM(D8))=0</formula>
    </cfRule>
  </conditionalFormatting>
  <conditionalFormatting sqref="B8">
    <cfRule type="containsBlanks" dxfId="100" priority="97">
      <formula>LEN(TRIM(B8))=0</formula>
    </cfRule>
  </conditionalFormatting>
  <conditionalFormatting sqref="B9">
    <cfRule type="containsBlanks" dxfId="99" priority="96">
      <formula>LEN(TRIM(B9))=0</formula>
    </cfRule>
  </conditionalFormatting>
  <conditionalFormatting sqref="D7:F7 E8:E9">
    <cfRule type="containsText" dxfId="98" priority="89" operator="containsText" text="n/a">
      <formula>NOT(ISERROR(SEARCH("n/a",D7)))</formula>
    </cfRule>
    <cfRule type="containsBlanks" dxfId="97" priority="90">
      <formula>LEN(TRIM(D7))=0</formula>
    </cfRule>
  </conditionalFormatting>
  <conditionalFormatting sqref="B10">
    <cfRule type="containsBlanks" dxfId="96" priority="37">
      <formula>LEN(TRIM(B10))=0</formula>
    </cfRule>
  </conditionalFormatting>
  <conditionalFormatting sqref="D10:F10">
    <cfRule type="containsBlanks" dxfId="95" priority="35">
      <formula>LEN(TRIM(D10))=0</formula>
    </cfRule>
  </conditionalFormatting>
  <conditionalFormatting sqref="C14 C17">
    <cfRule type="containsText" dxfId="94" priority="32" operator="containsText" text="n/a">
      <formula>NOT(ISERROR(SEARCH("n/a",C14)))</formula>
    </cfRule>
    <cfRule type="containsBlanks" dxfId="93" priority="33">
      <formula>LEN(TRIM(C14))=0</formula>
    </cfRule>
  </conditionalFormatting>
  <conditionalFormatting sqref="D17:E18">
    <cfRule type="containsBlanks" dxfId="92" priority="28">
      <formula>LEN(TRIM(D17))=0</formula>
    </cfRule>
  </conditionalFormatting>
  <conditionalFormatting sqref="D19">
    <cfRule type="containsBlanks" dxfId="91" priority="27">
      <formula>LEN(TRIM(D19))=0</formula>
    </cfRule>
  </conditionalFormatting>
  <conditionalFormatting sqref="K13:L20">
    <cfRule type="containsBlanks" dxfId="90" priority="23">
      <formula>LEN(TRIM(K13))=0</formula>
    </cfRule>
  </conditionalFormatting>
  <conditionalFormatting sqref="H6">
    <cfRule type="expression" dxfId="89" priority="18">
      <formula>IF(H6&lt;&gt;"n/a",COUNTIF($H$6:$O$6,H6)&gt;1)</formula>
    </cfRule>
  </conditionalFormatting>
  <conditionalFormatting sqref="I6">
    <cfRule type="expression" dxfId="88" priority="17">
      <formula>IF(I6&lt;&gt;"n/a",COUNTIF($H$6:$O$6,I6)&gt;1)</formula>
    </cfRule>
  </conditionalFormatting>
  <conditionalFormatting sqref="J6">
    <cfRule type="expression" dxfId="87" priority="16">
      <formula>IF(J6&lt;&gt;"n/a",COUNTIF($H$6:$O$6,J6)&gt;1)</formula>
    </cfRule>
  </conditionalFormatting>
  <conditionalFormatting sqref="K6">
    <cfRule type="expression" dxfId="86" priority="15">
      <formula>IF(K6&lt;&gt;"n/a",COUNTIF($H$6:$O$6,K6)&gt;1)</formula>
    </cfRule>
  </conditionalFormatting>
  <conditionalFormatting sqref="L6">
    <cfRule type="expression" dxfId="85" priority="14">
      <formula>IF(L6&lt;&gt;"n/a",COUNTIF($H$6:$O$6,L6)&gt;1)</formula>
    </cfRule>
  </conditionalFormatting>
  <conditionalFormatting sqref="M6">
    <cfRule type="expression" dxfId="84" priority="13">
      <formula>IF(M6&lt;&gt;"n/a",COUNTIF($H$6:$O$6,M6)&gt;1)</formula>
    </cfRule>
  </conditionalFormatting>
  <conditionalFormatting sqref="N6">
    <cfRule type="expression" dxfId="83" priority="12">
      <formula>IF(N6&lt;&gt;"n/a",COUNTIF($H$6:$O$6,N6)&gt;1)</formula>
    </cfRule>
  </conditionalFormatting>
  <conditionalFormatting sqref="O6">
    <cfRule type="expression" dxfId="82" priority="11">
      <formula>IF(O6&lt;&gt;"n/a",COUNTIF($H$6:$O$6,O6)&gt;1)</formula>
    </cfRule>
  </conditionalFormatting>
  <conditionalFormatting sqref="H7">
    <cfRule type="expression" dxfId="81" priority="10">
      <formula>IF(H7&lt;&gt;"n/a",COUNTIF($H$7:$O$7,H7)&gt;1)</formula>
    </cfRule>
  </conditionalFormatting>
  <conditionalFormatting sqref="I7">
    <cfRule type="expression" dxfId="80" priority="9">
      <formula>IF(I7&lt;&gt;"n/a",COUNTIF($H$7:$O$7,I7)&gt;1)</formula>
    </cfRule>
  </conditionalFormatting>
  <conditionalFormatting sqref="J7">
    <cfRule type="expression" dxfId="79" priority="8">
      <formula>IF(J7&lt;&gt;"n/a",COUNTIF($H$7:$O$7,J7)&gt;1)</formula>
    </cfRule>
  </conditionalFormatting>
  <conditionalFormatting sqref="K7">
    <cfRule type="expression" dxfId="78" priority="7">
      <formula>IF(K7&lt;&gt;"n/a",COUNTIF($H$7:$O$7,K7)&gt;1)</formula>
    </cfRule>
  </conditionalFormatting>
  <conditionalFormatting sqref="L7">
    <cfRule type="expression" dxfId="77" priority="6">
      <formula>IF(L7&lt;&gt;"n/a",COUNTIF($H$7:$O$7,L7)&gt;1)</formula>
    </cfRule>
  </conditionalFormatting>
  <conditionalFormatting sqref="M7">
    <cfRule type="expression" dxfId="76" priority="5">
      <formula>IF(M7&lt;&gt;"n/a",COUNTIF($H$7:$O$7,M7)&gt;1)</formula>
    </cfRule>
  </conditionalFormatting>
  <conditionalFormatting sqref="N7">
    <cfRule type="expression" dxfId="75" priority="4">
      <formula>IF(N7&lt;&gt;"n/a",COUNTIF($H$7:$O$7,N7)&gt;1)</formula>
    </cfRule>
  </conditionalFormatting>
  <conditionalFormatting sqref="O7">
    <cfRule type="expression" dxfId="74" priority="3">
      <formula>IF(O7&lt;&gt;"n/a",COUNTIF($H$7:$O$7,O7)&gt;1)</formula>
    </cfRule>
  </conditionalFormatting>
  <dataValidations count="9">
    <dataValidation type="custom" allowBlank="1" showInputMessage="1" showErrorMessage="1" errorTitle="Invalid IP Address" error="Please enter a valid IP Address" sqref="J7:O7 E7:E9 D22 H7" xr:uid="{23E143A0-2EFB-0D47-B36F-9F76505C07C0}">
      <formula1>IF(ISNUMBER(VALUE(SUBSTITUTE(D7,".",""))),AND(--LEFT(D7,FIND(".",D7)-1)&lt;256,--MID(SUBSTITUTE(D7,".",REPT(" ",99)),99,99)&lt;256,--MID(SUBSTITUTE(D7,".",REPT(" ",99)),198,99)&lt;256,--RIGHT(SUBSTITUTE(D7,".",REPT(" ",99)),99)&lt;256),D7="n/a")</formula1>
    </dataValidation>
    <dataValidation type="custom" allowBlank="1" showInputMessage="1" showErrorMessage="1" errorTitle="Invalid IP Address " error="Please enter a valid IP Address" sqref="I7" xr:uid="{2201C015-0C68-7447-A064-B3C9A0A32B62}">
      <formula1>IF(ISNUMBER(VALUE(SUBSTITUTE(I7,".",""))),AND(--LEFT(I7,FIND(".",I7)-1)&lt;256,--MID(SUBSTITUTE(I7,".",REPT(" ",99)),99,99)&lt;256,--MID(SUBSTITUTE(I7,".",REPT(" ",99)),198,99)&lt;256,--RIGHT(SUBSTITUTE(I7,".",REPT(" ",99)),99)&lt;256),I7="n/a")</formula1>
    </dataValidation>
    <dataValidation type="list" allowBlank="1" showInputMessage="1" showErrorMessage="1" errorTitle="Invalid IP Address" error="Please enter a valid IP Address" sqref="J11" xr:uid="{0A5A4CB6-8C5C-DF40-92A8-17965C983C15}">
      <formula1>"Yes,No"</formula1>
    </dataValidation>
    <dataValidation allowBlank="1" showInputMessage="1" showErrorMessage="1" promptTitle="SDDC-DPortGroup-vMotion-IPs" prompt="Comma separated list of inclusion ips if required, mark n/a if not required" sqref="D16:E16" xr:uid="{D91D9F93-1C6C-2749-9F10-D469A3E4D6E2}"/>
    <dataValidation type="custom" allowBlank="1" showInputMessage="1" showErrorMessage="1" errorTitle="Invalid IP Address" error="Please enter a valid IP Address" promptTitle="SDDC-DPortGroup-vMotion" prompt="Provide inclusion range" sqref="D14:E14" xr:uid="{BF263885-C7E6-5E42-9EBB-D726186E889B}">
      <formula1>IF(ISNUMBER(VALUE(SUBSTITUTE(D14,".",""))),AND(--LEFT(D14,FIND(".",D14)-1)&lt;256,--MID(SUBSTITUTE(D14,".",REPT(" ",99)),99,99)&lt;256,--MID(SUBSTITUTE(D14,".",REPT(" ",99)),198,99)&lt;256,--RIGHT(SUBSTITUTE(D14,".",REPT(" ",99)),99)&lt;256),D14="n/a")</formula1>
    </dataValidation>
    <dataValidation type="custom" allowBlank="1" showInputMessage="1" showErrorMessage="1" errorTitle="Invalid IP Address" error="Please enter a valid IP Address" promptTitle="SDDC-DPortGroup-vMotion" prompt="Additional range if required, mark n/a if not required" sqref="D15:E15" xr:uid="{C593F647-5CF5-1841-96B7-C66BEB6B90D5}">
      <formula1>IF(ISNUMBER(VALUE(SUBSTITUTE(D15,".",""))),AND(--LEFT(D15,FIND(".",D15)-1)&lt;256,--MID(SUBSTITUTE(D15,".",REPT(" ",99)),99,99)&lt;256,--MID(SUBSTITUTE(D15,".",REPT(" ",99)),198,99)&lt;256,--RIGHT(SUBSTITUTE(D15,".",REPT(" ",99)),99)&lt;256),D15="n/a")</formula1>
    </dataValidation>
    <dataValidation allowBlank="1" showInputMessage="1" showErrorMessage="1" promptTitle="SDDC-DPortGroup-VSAN-IPs" prompt="Comma separated list of inclusion ips if required, mark n/a if not required" sqref="D19:E19" xr:uid="{58F58B1F-6655-2C41-A31E-3C9E0016CFA5}"/>
    <dataValidation type="custom" allowBlank="1" showInputMessage="1" showErrorMessage="1" errorTitle="Invalid IP Address" error="Please enter a valid IP Address" promptTitle="SDDC-DPortGroup-VSAN" prompt="Provide inclusion range" sqref="D17:E17" xr:uid="{7292D99B-9BC6-2342-ABD5-7B36F3FE90FF}">
      <formula1>IF(ISNUMBER(VALUE(SUBSTITUTE(D17,".",""))),AND(--LEFT(D17,FIND(".",D17)-1)&lt;256,--MID(SUBSTITUTE(D17,".",REPT(" ",99)),99,99)&lt;256,--MID(SUBSTITUTE(D17,".",REPT(" ",99)),198,99)&lt;256,--RIGHT(SUBSTITUTE(D17,".",REPT(" ",99)),99)&lt;256),D17="n/a")</formula1>
    </dataValidation>
    <dataValidation type="custom" allowBlank="1" showInputMessage="1" showErrorMessage="1" errorTitle="Invalid IP Address" error="Please enter a valid IP Address" promptTitle="SDDC-DPortGroup-VSAN" prompt="Additional range if required, mark n/a if not required" sqref="D18:E18" xr:uid="{F0EA70A2-8876-4F4C-B92E-B92B0F07FB26}">
      <formula1>IF(ISNUMBER(VALUE(SUBSTITUTE(D18,".",""))),AND(--LEFT(D18,FIND(".",D18)-1)&lt;256,--MID(SUBSTITUTE(D18,".",REPT(" ",99)),99,99)&lt;256,--MID(SUBSTITUTE(D18,".",REPT(" ",99)),198,99)&lt;256,--RIGHT(SUBSTITUTE(D18,".",REPT(" ",99)),99)&lt;256),D18="n/a")</formula1>
    </dataValidation>
  </dataValidations>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L45"/>
  <sheetViews>
    <sheetView showGridLines="0" zoomScale="130" zoomScaleNormal="130" zoomScalePageLayoutView="116" workbookViewId="0">
      <pane ySplit="4" topLeftCell="A5" activePane="bottomLeft" state="frozen"/>
      <selection pane="bottomLeft" activeCell="E17" sqref="E17"/>
    </sheetView>
  </sheetViews>
  <sheetFormatPr baseColWidth="10" defaultColWidth="9" defaultRowHeight="13"/>
  <cols>
    <col min="1" max="1" width="1.5" style="54" customWidth="1"/>
    <col min="2" max="2" width="3.33203125" style="54" customWidth="1"/>
    <col min="3" max="3" width="45.83203125" style="54" customWidth="1"/>
    <col min="4" max="4" width="1.6640625" style="54" customWidth="1"/>
    <col min="5" max="5" width="41.33203125" style="54" customWidth="1"/>
    <col min="6" max="6" width="16.83203125" style="54" customWidth="1"/>
    <col min="7" max="7" width="18.83203125" style="54" customWidth="1"/>
    <col min="8" max="8" width="2.83203125" style="54" customWidth="1"/>
    <col min="9" max="9" width="41.33203125" style="54" customWidth="1"/>
    <col min="10" max="10" width="16.83203125" style="54" customWidth="1"/>
    <col min="11" max="11" width="17.33203125" style="54" customWidth="1"/>
    <col min="12" max="16384" width="9" style="54"/>
  </cols>
  <sheetData>
    <row r="1" spans="2:11" ht="48" customHeight="1">
      <c r="B1" s="156"/>
      <c r="C1" s="157"/>
      <c r="E1" s="54" t="s">
        <v>2</v>
      </c>
    </row>
    <row r="2" spans="2:11" ht="3" customHeight="1" thickBot="1">
      <c r="B2" s="156"/>
      <c r="C2" s="157"/>
    </row>
    <row r="3" spans="2:11" ht="52" customHeight="1" thickBot="1">
      <c r="B3" s="302" t="s">
        <v>311</v>
      </c>
      <c r="C3" s="303"/>
      <c r="D3" s="303"/>
      <c r="E3" s="303"/>
      <c r="F3" s="303"/>
      <c r="G3" s="303"/>
      <c r="H3" s="304"/>
      <c r="I3" s="304"/>
      <c r="J3" s="304"/>
      <c r="K3" s="305"/>
    </row>
    <row r="4" spans="2:11" s="73" customFormat="1" ht="2" customHeight="1">
      <c r="B4" s="158"/>
      <c r="C4" s="158"/>
      <c r="I4" s="54"/>
      <c r="J4" s="54"/>
    </row>
    <row r="5" spans="2:11" s="73" customFormat="1" ht="20">
      <c r="B5" s="152" t="s">
        <v>121</v>
      </c>
      <c r="C5" s="160"/>
      <c r="E5" s="78" t="s">
        <v>21</v>
      </c>
      <c r="F5" s="149" t="s">
        <v>13</v>
      </c>
      <c r="G5" s="149" t="s">
        <v>0</v>
      </c>
      <c r="H5" s="161"/>
      <c r="I5" s="162" t="s">
        <v>162</v>
      </c>
      <c r="J5" s="306" t="s">
        <v>20</v>
      </c>
      <c r="K5" s="307"/>
    </row>
    <row r="6" spans="2:11" s="73" customFormat="1" ht="15" customHeight="1">
      <c r="B6" s="153" t="str">
        <f>IF((AND(G6&lt;&gt;"",G7&lt;&gt;"")),"✓","")</f>
        <v>✓</v>
      </c>
      <c r="C6" s="73" t="s">
        <v>65</v>
      </c>
      <c r="E6" s="150" t="s">
        <v>163</v>
      </c>
      <c r="F6" s="163"/>
      <c r="G6" s="188" t="s">
        <v>265</v>
      </c>
      <c r="H6" s="166"/>
      <c r="I6" s="150" t="s">
        <v>379</v>
      </c>
      <c r="J6" s="308" t="s">
        <v>267</v>
      </c>
      <c r="K6" s="309"/>
    </row>
    <row r="7" spans="2:11" s="73" customFormat="1" ht="15" customHeight="1">
      <c r="B7" s="153" t="str">
        <f>IF(J6&lt;&gt;"","✓","")</f>
        <v>✓</v>
      </c>
      <c r="C7" s="73" t="s">
        <v>122</v>
      </c>
      <c r="E7" s="150" t="s">
        <v>164</v>
      </c>
      <c r="F7" s="163"/>
      <c r="G7" s="188" t="s">
        <v>7</v>
      </c>
      <c r="H7" s="158"/>
    </row>
    <row r="8" spans="2:11" s="73" customFormat="1" ht="15" customHeight="1">
      <c r="B8" s="153" t="str">
        <f>IF((AND(G8&lt;&gt;"",G9&lt;&gt;"")),"✓","")</f>
        <v>✓</v>
      </c>
      <c r="C8" s="73" t="s">
        <v>66</v>
      </c>
      <c r="E8" s="150" t="s">
        <v>125</v>
      </c>
      <c r="F8" s="163"/>
      <c r="G8" s="188" t="s">
        <v>325</v>
      </c>
      <c r="H8" s="158"/>
      <c r="I8" s="165" t="s">
        <v>244</v>
      </c>
      <c r="J8" s="299" t="s">
        <v>20</v>
      </c>
      <c r="K8" s="313"/>
    </row>
    <row r="9" spans="2:11" s="73" customFormat="1" ht="15" customHeight="1">
      <c r="B9" s="153" t="str">
        <f>IF(G10&lt;&gt;"","✓","")</f>
        <v/>
      </c>
      <c r="C9" s="73" t="s">
        <v>64</v>
      </c>
      <c r="E9" s="150" t="s">
        <v>126</v>
      </c>
      <c r="F9" s="163"/>
      <c r="G9" s="188" t="s">
        <v>7</v>
      </c>
      <c r="H9" s="158"/>
      <c r="I9" s="150" t="s">
        <v>316</v>
      </c>
      <c r="J9" s="297" t="s">
        <v>174</v>
      </c>
      <c r="K9" s="310"/>
    </row>
    <row r="10" spans="2:11" s="73" customFormat="1" ht="15" customHeight="1">
      <c r="B10" s="153" t="str">
        <f>IF((AND(J9&lt;&gt;"")),"✓","")</f>
        <v>✓</v>
      </c>
      <c r="C10" s="73" t="s">
        <v>120</v>
      </c>
      <c r="H10" s="158"/>
    </row>
    <row r="11" spans="2:11" s="73" customFormat="1" ht="15" customHeight="1">
      <c r="B11" s="153" t="str">
        <f>IF((AND('Prerequisite Checklist'!C7="Verified")),"✓","")</f>
        <v/>
      </c>
      <c r="C11" s="73" t="s">
        <v>186</v>
      </c>
      <c r="E11" s="78" t="s">
        <v>99</v>
      </c>
      <c r="F11" s="297" t="s">
        <v>266</v>
      </c>
      <c r="G11" s="310"/>
      <c r="H11" s="158"/>
    </row>
    <row r="12" spans="2:11" s="73" customFormat="1" ht="15" customHeight="1">
      <c r="B12" s="153" t="str">
        <f>IF((AND('Prerequisite Checklist'!C8="Verified")),"✓","")</f>
        <v/>
      </c>
      <c r="C12" s="73" t="s">
        <v>104</v>
      </c>
      <c r="H12" s="158"/>
    </row>
    <row r="13" spans="2:11" s="73" customFormat="1" ht="15" customHeight="1">
      <c r="H13" s="158"/>
    </row>
    <row r="14" spans="2:11" s="73" customFormat="1" ht="20" customHeight="1">
      <c r="B14" s="152" t="s">
        <v>23</v>
      </c>
      <c r="C14" s="159"/>
      <c r="E14" s="150" t="s">
        <v>10</v>
      </c>
      <c r="F14" s="149" t="s">
        <v>13</v>
      </c>
      <c r="G14" s="149" t="s">
        <v>0</v>
      </c>
      <c r="H14" s="166"/>
      <c r="I14" s="150" t="s">
        <v>22</v>
      </c>
      <c r="J14" s="149" t="s">
        <v>20</v>
      </c>
      <c r="K14" s="149"/>
    </row>
    <row r="15" spans="2:11" s="73" customFormat="1" ht="15" customHeight="1">
      <c r="B15" s="154" t="str">
        <f>IF((AND(F15&lt;&gt;"",F16&lt;&gt;"",F17&lt;&gt;"")),"✓","")</f>
        <v>✓</v>
      </c>
      <c r="C15" s="73" t="s">
        <v>155</v>
      </c>
      <c r="E15" s="150" t="s">
        <v>24</v>
      </c>
      <c r="F15" s="188" t="s">
        <v>268</v>
      </c>
      <c r="G15" s="167" t="s">
        <v>272</v>
      </c>
      <c r="H15" s="166"/>
      <c r="I15" s="150" t="s">
        <v>180</v>
      </c>
      <c r="J15" s="188" t="s">
        <v>288</v>
      </c>
      <c r="K15" s="151"/>
    </row>
    <row r="16" spans="2:11" s="73" customFormat="1" ht="15" customHeight="1">
      <c r="B16" s="154" t="str">
        <f>IF((AND(G15&lt;&gt;"",G16&lt;&gt;"",G17&lt;&gt;"")),"✓","")</f>
        <v>✓</v>
      </c>
      <c r="C16" s="73" t="s">
        <v>156</v>
      </c>
      <c r="E16" s="150" t="s">
        <v>310</v>
      </c>
      <c r="F16" s="188" t="s">
        <v>269</v>
      </c>
      <c r="G16" s="167" t="s">
        <v>271</v>
      </c>
      <c r="H16" s="158"/>
      <c r="I16" s="150" t="s">
        <v>101</v>
      </c>
      <c r="J16" s="188" t="s">
        <v>289</v>
      </c>
      <c r="K16" s="207" t="s">
        <v>7</v>
      </c>
    </row>
    <row r="17" spans="2:12" s="73" customFormat="1" ht="15" customHeight="1">
      <c r="B17" s="153" t="str">
        <f>IF('Prerequisite Checklist'!C11="Verified","✓","")</f>
        <v/>
      </c>
      <c r="C17" s="73" t="s">
        <v>67</v>
      </c>
      <c r="E17" s="150" t="s">
        <v>309</v>
      </c>
      <c r="F17" s="188" t="s">
        <v>270</v>
      </c>
      <c r="G17" s="167" t="s">
        <v>273</v>
      </c>
      <c r="H17" s="158"/>
      <c r="I17" s="150" t="s">
        <v>167</v>
      </c>
      <c r="J17" s="299" t="s">
        <v>20</v>
      </c>
      <c r="K17" s="313"/>
    </row>
    <row r="18" spans="2:12" s="73" customFormat="1" ht="15" customHeight="1">
      <c r="B18" s="154" t="str">
        <f>IF(J15&lt;&gt;"","✓","")</f>
        <v>✓</v>
      </c>
      <c r="C18" s="73" t="s">
        <v>91</v>
      </c>
      <c r="E18" s="78" t="s">
        <v>335</v>
      </c>
      <c r="F18" s="216" t="s">
        <v>351</v>
      </c>
      <c r="H18" s="158"/>
      <c r="I18" s="150" t="s">
        <v>381</v>
      </c>
      <c r="J18" s="297" t="s">
        <v>264</v>
      </c>
      <c r="K18" s="298"/>
    </row>
    <row r="19" spans="2:12" s="73" customFormat="1" ht="15" customHeight="1">
      <c r="B19" s="154" t="str">
        <f>IF((AND(J16&lt;&gt;"")),"✓","")</f>
        <v>✓</v>
      </c>
      <c r="C19" s="73" t="s">
        <v>92</v>
      </c>
      <c r="H19" s="158"/>
      <c r="I19" s="150" t="s">
        <v>382</v>
      </c>
      <c r="J19" s="295">
        <v>9000</v>
      </c>
      <c r="K19" s="296"/>
    </row>
    <row r="20" spans="2:12" s="73" customFormat="1" ht="15" customHeight="1">
      <c r="B20" s="154" t="str">
        <f>IF((AND(K16&lt;&gt;"")),"✓","")</f>
        <v>✓</v>
      </c>
      <c r="C20" s="73" t="s">
        <v>93</v>
      </c>
      <c r="E20" s="164" t="s">
        <v>115</v>
      </c>
      <c r="F20" s="299" t="s">
        <v>20</v>
      </c>
      <c r="G20" s="313"/>
      <c r="H20" s="158"/>
      <c r="I20" s="150" t="s">
        <v>245</v>
      </c>
      <c r="J20" s="311" t="s">
        <v>30</v>
      </c>
      <c r="K20" s="312"/>
    </row>
    <row r="21" spans="2:12" s="73" customFormat="1" ht="15" customHeight="1">
      <c r="B21" s="155" t="str">
        <f>IF(F11&lt;&gt;"","✓","")</f>
        <v>✓</v>
      </c>
      <c r="C21" s="73" t="s">
        <v>102</v>
      </c>
      <c r="E21" s="150" t="s">
        <v>113</v>
      </c>
      <c r="F21" s="297" t="s">
        <v>112</v>
      </c>
      <c r="G21" s="310"/>
      <c r="H21" s="158"/>
    </row>
    <row r="22" spans="2:12" s="73" customFormat="1" ht="15" customHeight="1">
      <c r="B22" s="155" t="str">
        <f>IF(AND(J18&lt;&gt;""),"✓","")</f>
        <v>✓</v>
      </c>
      <c r="C22" s="73" t="s">
        <v>103</v>
      </c>
      <c r="E22" s="150" t="s">
        <v>110</v>
      </c>
      <c r="F22" s="297" t="s">
        <v>111</v>
      </c>
      <c r="G22" s="310"/>
      <c r="H22" s="158"/>
      <c r="I22" s="150" t="s">
        <v>320</v>
      </c>
      <c r="J22" s="299" t="s">
        <v>20</v>
      </c>
      <c r="K22" s="313"/>
    </row>
    <row r="23" spans="2:12" s="73" customFormat="1" ht="15" customHeight="1">
      <c r="E23" s="150" t="s">
        <v>179</v>
      </c>
      <c r="F23" s="311" t="s">
        <v>153</v>
      </c>
      <c r="G23" s="312"/>
      <c r="H23" s="158"/>
      <c r="I23" s="150" t="s">
        <v>326</v>
      </c>
      <c r="J23" s="297" t="s">
        <v>330</v>
      </c>
      <c r="K23" s="298"/>
    </row>
    <row r="24" spans="2:12" s="73" customFormat="1" ht="15" customHeight="1">
      <c r="E24" s="150" t="s">
        <v>178</v>
      </c>
      <c r="F24" s="297" t="s">
        <v>177</v>
      </c>
      <c r="G24" s="310"/>
      <c r="H24" s="158"/>
      <c r="I24" s="150" t="s">
        <v>327</v>
      </c>
      <c r="J24" s="297" t="s">
        <v>321</v>
      </c>
      <c r="K24" s="298"/>
    </row>
    <row r="25" spans="2:12" s="73" customFormat="1" ht="15" customHeight="1">
      <c r="H25" s="158"/>
      <c r="I25" s="150" t="s">
        <v>328</v>
      </c>
      <c r="J25" s="297" t="s">
        <v>322</v>
      </c>
      <c r="K25" s="298"/>
    </row>
    <row r="26" spans="2:12" s="73" customFormat="1" ht="15" customHeight="1">
      <c r="H26" s="158"/>
      <c r="I26" s="150" t="s">
        <v>329</v>
      </c>
      <c r="J26" s="297" t="s">
        <v>331</v>
      </c>
      <c r="K26" s="298"/>
    </row>
    <row r="27" spans="2:12" s="73" customFormat="1" ht="15" customHeight="1">
      <c r="H27" s="158"/>
      <c r="I27" s="54"/>
      <c r="J27" s="54"/>
      <c r="K27" s="54"/>
    </row>
    <row r="28" spans="2:12" s="73" customFormat="1" ht="20" customHeight="1">
      <c r="B28" s="152" t="s">
        <v>1</v>
      </c>
      <c r="C28" s="159"/>
      <c r="E28" s="78" t="s">
        <v>10</v>
      </c>
      <c r="F28" s="149" t="s">
        <v>13</v>
      </c>
      <c r="G28" s="149" t="s">
        <v>0</v>
      </c>
      <c r="H28" s="168"/>
      <c r="I28" s="165" t="s">
        <v>251</v>
      </c>
      <c r="J28" s="186" t="s">
        <v>221</v>
      </c>
      <c r="K28" s="186" t="s">
        <v>222</v>
      </c>
    </row>
    <row r="29" spans="2:12" s="73" customFormat="1" ht="15" customHeight="1">
      <c r="B29" s="154" t="str">
        <f>IF((AND(F29&lt;&gt;"")),"✓","")</f>
        <v>✓</v>
      </c>
      <c r="C29" s="73" t="s">
        <v>96</v>
      </c>
      <c r="E29" s="150" t="s">
        <v>12</v>
      </c>
      <c r="F29" s="188" t="s">
        <v>292</v>
      </c>
      <c r="G29" s="167" t="s">
        <v>274</v>
      </c>
      <c r="H29" s="168"/>
      <c r="I29" s="187" t="s">
        <v>252</v>
      </c>
      <c r="J29" s="190">
        <v>5000</v>
      </c>
      <c r="K29" s="190">
        <v>5200</v>
      </c>
      <c r="L29" s="54"/>
    </row>
    <row r="30" spans="2:12" s="73" customFormat="1" ht="15" customHeight="1">
      <c r="B30" s="154" t="str">
        <f>IF((AND(G29&lt;&gt;"")),"✓","")</f>
        <v>✓</v>
      </c>
      <c r="C30" s="73" t="s">
        <v>95</v>
      </c>
      <c r="E30" s="150" t="s">
        <v>14</v>
      </c>
      <c r="F30" s="151"/>
      <c r="G30" s="167" t="s">
        <v>290</v>
      </c>
      <c r="H30" s="169" t="b">
        <f>MID(G31,FIND(".",G31,FIND(".",G31,FIND(".",G31)+1)+1)+1,LEN(G31)-FIND(".",G31,FIND(".",G31,FIND(".",G31)+1)+1))-(MID(G30,FIND(".",G30,FIND(".",G30,FIND(".",G30)+1)+1)+1,LEN(G30)-FIND(".",G30,FIND(".",G30,FIND(".",G30)+1)+1))-1)&lt;3</f>
        <v>0</v>
      </c>
      <c r="I30" s="54"/>
      <c r="J30" s="54"/>
      <c r="K30" s="54"/>
      <c r="L30" s="54"/>
    </row>
    <row r="31" spans="2:12" s="73" customFormat="1" ht="15" customHeight="1">
      <c r="B31" s="153" t="str">
        <f>IF('Prerequisite Checklist'!C11="Verified","✓","")</f>
        <v/>
      </c>
      <c r="C31" s="73" t="s">
        <v>94</v>
      </c>
      <c r="E31" s="150" t="s">
        <v>15</v>
      </c>
      <c r="F31" s="151"/>
      <c r="G31" s="167" t="s">
        <v>291</v>
      </c>
      <c r="H31" s="169"/>
      <c r="I31" s="54"/>
      <c r="J31" s="54"/>
      <c r="K31" s="54"/>
      <c r="L31" s="54"/>
    </row>
    <row r="32" spans="2:12" s="73" customFormat="1" ht="15" customHeight="1">
      <c r="B32" s="154" t="str">
        <f>IF((AND(G30&lt;&gt;"",G31&lt;&gt;"")),"✓","")</f>
        <v>✓</v>
      </c>
      <c r="C32" s="73" t="s">
        <v>16</v>
      </c>
      <c r="H32" s="169" t="e">
        <f>MID(#REF!,FIND(".",#REF!,FIND(".",#REF!,FIND(".",#REF!)+1)+1)+1,LEN(#REF!)-FIND(".",#REF!,FIND(".",#REF!,FIND(".",#REF!)+1)+1))-(MID(#REF!,FIND(".",#REF!,FIND(".",#REF!,FIND(".",#REF!)+1)+1)+1,LEN(#REF!)-FIND(".",#REF!,FIND(".",#REF!,FIND(".",#REF!)+1)+1))-1)&lt;((8-#REF!)*2)</f>
        <v>#REF!</v>
      </c>
      <c r="I32" s="54"/>
      <c r="J32" s="54"/>
      <c r="K32" s="54"/>
      <c r="L32" s="54"/>
    </row>
    <row r="33" spans="2:12" s="73" customFormat="1" ht="15" customHeight="1">
      <c r="H33" s="158"/>
      <c r="I33" s="54"/>
      <c r="J33" s="54"/>
      <c r="K33" s="54"/>
      <c r="L33" s="54"/>
    </row>
    <row r="34" spans="2:12" s="73" customFormat="1" ht="20" customHeight="1">
      <c r="B34" s="180" t="s">
        <v>19</v>
      </c>
      <c r="C34" s="159"/>
      <c r="E34" s="78" t="s">
        <v>337</v>
      </c>
      <c r="F34" s="175" t="s">
        <v>13</v>
      </c>
      <c r="G34" s="175" t="s">
        <v>0</v>
      </c>
    </row>
    <row r="35" spans="2:12" s="73" customFormat="1" ht="15" customHeight="1">
      <c r="B35" s="154" t="str">
        <f>IF((AND(F35&lt;&gt;"",F37&lt;&gt;"",F38&lt;&gt;"")),"✓","")</f>
        <v>✓</v>
      </c>
      <c r="C35" s="73" t="s">
        <v>224</v>
      </c>
      <c r="E35" s="150" t="s">
        <v>338</v>
      </c>
      <c r="F35" s="188" t="s">
        <v>293</v>
      </c>
      <c r="G35" s="167" t="s">
        <v>297</v>
      </c>
    </row>
    <row r="36" spans="2:12" s="73" customFormat="1" ht="15" customHeight="1">
      <c r="B36" s="154" t="str">
        <f>IF((AND(G35&lt;&gt;"",G36&lt;&gt;"",G37&lt;&gt;"",G38&lt;&gt;"")),"✓","")</f>
        <v>✓</v>
      </c>
      <c r="C36" s="73" t="s">
        <v>225</v>
      </c>
      <c r="E36" s="150" t="s">
        <v>339</v>
      </c>
      <c r="F36" s="188" t="s">
        <v>294</v>
      </c>
      <c r="G36" s="167" t="s">
        <v>298</v>
      </c>
    </row>
    <row r="37" spans="2:12" s="73" customFormat="1" ht="15" customHeight="1">
      <c r="B37" s="154" t="str">
        <f>IF((G35&lt;&gt;""),"✓","")</f>
        <v>✓</v>
      </c>
      <c r="C37" s="73" t="s">
        <v>226</v>
      </c>
      <c r="E37" s="150" t="s">
        <v>340</v>
      </c>
      <c r="F37" s="188" t="s">
        <v>296</v>
      </c>
      <c r="G37" s="167" t="s">
        <v>299</v>
      </c>
    </row>
    <row r="38" spans="2:12" s="73" customFormat="1" ht="15" customHeight="1">
      <c r="B38" s="153" t="str">
        <f>IF('Prerequisite Checklist'!C11="Verified","✓","")</f>
        <v/>
      </c>
      <c r="C38" s="73" t="s">
        <v>227</v>
      </c>
      <c r="E38" s="150" t="s">
        <v>341</v>
      </c>
      <c r="F38" s="188" t="s">
        <v>295</v>
      </c>
      <c r="G38" s="167" t="s">
        <v>300</v>
      </c>
    </row>
    <row r="39" spans="2:12" s="73" customFormat="1" ht="15" customHeight="1">
      <c r="E39" s="78" t="s">
        <v>336</v>
      </c>
      <c r="F39" s="216" t="s">
        <v>376</v>
      </c>
      <c r="H39" s="158"/>
      <c r="I39" s="54"/>
      <c r="J39" s="54"/>
      <c r="K39" s="54"/>
      <c r="L39" s="54"/>
    </row>
    <row r="40" spans="2:12" s="73" customFormat="1" ht="15" customHeight="1">
      <c r="H40" s="158"/>
      <c r="I40" s="54"/>
      <c r="J40" s="54"/>
      <c r="K40" s="54"/>
      <c r="L40" s="54"/>
    </row>
    <row r="41" spans="2:12" s="73" customFormat="1" ht="20" customHeight="1">
      <c r="B41" s="152" t="s">
        <v>198</v>
      </c>
      <c r="C41" s="159"/>
      <c r="E41" s="78" t="s">
        <v>198</v>
      </c>
      <c r="F41" s="299" t="s">
        <v>20</v>
      </c>
      <c r="G41" s="300"/>
      <c r="H41" s="158"/>
      <c r="I41" s="54"/>
      <c r="J41" s="54"/>
      <c r="K41" s="54"/>
      <c r="L41" s="54"/>
    </row>
    <row r="42" spans="2:12" ht="16" customHeight="1">
      <c r="B42" s="154" t="str">
        <f>IF((AND(F42&lt;&gt;"")),"✓","")</f>
        <v>✓</v>
      </c>
      <c r="C42" s="73" t="s">
        <v>204</v>
      </c>
      <c r="E42" s="150" t="s">
        <v>207</v>
      </c>
      <c r="F42" s="298" t="s">
        <v>210</v>
      </c>
      <c r="G42" s="298"/>
    </row>
    <row r="43" spans="2:12" ht="16" customHeight="1">
      <c r="B43" s="154" t="str">
        <f>IF((AND(F42&lt;&gt;"")),"✓","")</f>
        <v>✓</v>
      </c>
      <c r="C43" s="73" t="s">
        <v>205</v>
      </c>
      <c r="E43" s="150" t="s">
        <v>208</v>
      </c>
      <c r="F43" s="301" t="s">
        <v>301</v>
      </c>
      <c r="G43" s="301"/>
    </row>
    <row r="44" spans="2:12" ht="16" customHeight="1">
      <c r="B44" s="153" t="str">
        <f>IF('Prerequisite Checklist'!C11="Verified","✓","")</f>
        <v/>
      </c>
      <c r="C44" s="73" t="s">
        <v>206</v>
      </c>
      <c r="E44" s="150" t="s">
        <v>209</v>
      </c>
      <c r="F44" s="298" t="s">
        <v>211</v>
      </c>
      <c r="G44" s="298"/>
    </row>
    <row r="45" spans="2:12" ht="16" customHeight="1">
      <c r="E45" s="150" t="s">
        <v>212</v>
      </c>
      <c r="F45" s="298" t="s">
        <v>302</v>
      </c>
      <c r="G45" s="298"/>
    </row>
  </sheetData>
  <sheetProtection sheet="1" objects="1" scenarios="1"/>
  <mergeCells count="25">
    <mergeCell ref="B3:K3"/>
    <mergeCell ref="J5:K5"/>
    <mergeCell ref="J6:K6"/>
    <mergeCell ref="F24:G24"/>
    <mergeCell ref="F21:G21"/>
    <mergeCell ref="J20:K20"/>
    <mergeCell ref="J8:K8"/>
    <mergeCell ref="J9:K9"/>
    <mergeCell ref="F11:G11"/>
    <mergeCell ref="F20:G20"/>
    <mergeCell ref="J18:K18"/>
    <mergeCell ref="J17:K17"/>
    <mergeCell ref="F22:G22"/>
    <mergeCell ref="F23:G23"/>
    <mergeCell ref="J22:K22"/>
    <mergeCell ref="J23:K23"/>
    <mergeCell ref="J19:K19"/>
    <mergeCell ref="J24:K24"/>
    <mergeCell ref="J25:K25"/>
    <mergeCell ref="F44:G44"/>
    <mergeCell ref="F45:G45"/>
    <mergeCell ref="F41:G41"/>
    <mergeCell ref="F42:G42"/>
    <mergeCell ref="F43:G43"/>
    <mergeCell ref="J26:K26"/>
  </mergeCells>
  <conditionalFormatting sqref="B28:B32 B45:B302 B5:B6 B8:B9 B14:B20">
    <cfRule type="cellIs" dxfId="73" priority="361" operator="equal">
      <formula>"✓"</formula>
    </cfRule>
  </conditionalFormatting>
  <conditionalFormatting sqref="B10">
    <cfRule type="cellIs" dxfId="72" priority="358" operator="equal">
      <formula>"✓"</formula>
    </cfRule>
  </conditionalFormatting>
  <conditionalFormatting sqref="B21">
    <cfRule type="cellIs" dxfId="71" priority="333" operator="equal">
      <formula>"✓"</formula>
    </cfRule>
  </conditionalFormatting>
  <conditionalFormatting sqref="B22">
    <cfRule type="cellIs" dxfId="70" priority="332" operator="equal">
      <formula>"✓"</formula>
    </cfRule>
  </conditionalFormatting>
  <conditionalFormatting sqref="B11">
    <cfRule type="cellIs" dxfId="69" priority="325" operator="equal">
      <formula>"✓"</formula>
    </cfRule>
  </conditionalFormatting>
  <conditionalFormatting sqref="B7">
    <cfRule type="cellIs" dxfId="68" priority="316" operator="equal">
      <formula>"✓"</formula>
    </cfRule>
  </conditionalFormatting>
  <conditionalFormatting sqref="G30:G31">
    <cfRule type="expression" dxfId="67" priority="313">
      <formula>$H$30=TRUE</formula>
    </cfRule>
  </conditionalFormatting>
  <conditionalFormatting sqref="J18:K18 J20:K20">
    <cfRule type="containsText" dxfId="66" priority="212" operator="containsText" text="n/a">
      <formula>NOT(ISERROR(SEARCH("n/a",J18)))</formula>
    </cfRule>
    <cfRule type="containsBlanks" dxfId="65" priority="553">
      <formula>LEN(TRIM(J18))=0</formula>
    </cfRule>
  </conditionalFormatting>
  <conditionalFormatting sqref="J9:K9 G15:G17">
    <cfRule type="containsBlanks" dxfId="64" priority="251">
      <formula>LEN(TRIM(G9))=0</formula>
    </cfRule>
  </conditionalFormatting>
  <conditionalFormatting sqref="G7">
    <cfRule type="containsBlanks" dxfId="63" priority="244">
      <formula>LEN(TRIM(G7))=0</formula>
    </cfRule>
  </conditionalFormatting>
  <conditionalFormatting sqref="G8 J15:J16 F17">
    <cfRule type="containsText" dxfId="62" priority="240" operator="containsText" text="n/a">
      <formula>NOT(ISERROR(SEARCH("n/a",F8)))</formula>
    </cfRule>
    <cfRule type="containsBlanks" dxfId="61" priority="241">
      <formula>LEN(TRIM(F8))=0</formula>
    </cfRule>
  </conditionalFormatting>
  <conditionalFormatting sqref="F29">
    <cfRule type="containsText" dxfId="60" priority="223" operator="containsText" text="n/a">
      <formula>NOT(ISERROR(SEARCH("n/a",F29)))</formula>
    </cfRule>
    <cfRule type="containsBlanks" dxfId="59" priority="224">
      <formula>LEN(TRIM(F29))=0</formula>
    </cfRule>
  </conditionalFormatting>
  <conditionalFormatting sqref="F15">
    <cfRule type="containsText" dxfId="58" priority="219" operator="containsText" text="n/a">
      <formula>NOT(ISERROR(SEARCH("n/a",F15)))</formula>
    </cfRule>
    <cfRule type="containsBlanks" dxfId="57" priority="220">
      <formula>LEN(TRIM(F15))=0</formula>
    </cfRule>
  </conditionalFormatting>
  <conditionalFormatting sqref="F16">
    <cfRule type="containsText" dxfId="56" priority="217" operator="containsText" text="n/a">
      <formula>NOT(ISERROR(SEARCH("n/a",F16)))</formula>
    </cfRule>
    <cfRule type="containsBlanks" dxfId="55" priority="218">
      <formula>LEN(TRIM(F16))=0</formula>
    </cfRule>
  </conditionalFormatting>
  <conditionalFormatting sqref="F11:G11">
    <cfRule type="containsText" dxfId="54" priority="210" operator="containsText" text="n/a">
      <formula>NOT(ISERROR(SEARCH("n/a",F11)))</formula>
    </cfRule>
    <cfRule type="containsBlanks" dxfId="53" priority="211">
      <formula>LEN(TRIM(F11))=0</formula>
    </cfRule>
  </conditionalFormatting>
  <conditionalFormatting sqref="F23:G23">
    <cfRule type="containsText" dxfId="52" priority="206" operator="containsText" text="n/a">
      <formula>NOT(ISERROR(SEARCH("n/a",F23)))</formula>
    </cfRule>
    <cfRule type="containsBlanks" dxfId="51" priority="207">
      <formula>LEN(TRIM(F23))=0</formula>
    </cfRule>
  </conditionalFormatting>
  <conditionalFormatting sqref="G29:G31">
    <cfRule type="containsBlanks" dxfId="50" priority="202">
      <formula>LEN(TRIM(G29))=0</formula>
    </cfRule>
  </conditionalFormatting>
  <conditionalFormatting sqref="G9">
    <cfRule type="containsBlanks" dxfId="49" priority="54">
      <formula>LEN(TRIM(G9))=0</formula>
    </cfRule>
  </conditionalFormatting>
  <conditionalFormatting sqref="B12">
    <cfRule type="cellIs" dxfId="48" priority="52" operator="equal">
      <formula>"✓"</formula>
    </cfRule>
  </conditionalFormatting>
  <conditionalFormatting sqref="B41">
    <cfRule type="cellIs" dxfId="47" priority="50" operator="equal">
      <formula>"✓"</formula>
    </cfRule>
  </conditionalFormatting>
  <conditionalFormatting sqref="B42:B44">
    <cfRule type="cellIs" dxfId="46" priority="49" operator="equal">
      <formula>"✓"</formula>
    </cfRule>
  </conditionalFormatting>
  <conditionalFormatting sqref="B34:B38">
    <cfRule type="cellIs" dxfId="45" priority="48" operator="equal">
      <formula>"✓"</formula>
    </cfRule>
  </conditionalFormatting>
  <conditionalFormatting sqref="F35">
    <cfRule type="containsText" dxfId="44" priority="41" operator="containsText" text="n/a">
      <formula>NOT(ISERROR(SEARCH("n/a",F35)))</formula>
    </cfRule>
    <cfRule type="containsBlanks" dxfId="43" priority="42">
      <formula>LEN(TRIM(F35))=0</formula>
    </cfRule>
  </conditionalFormatting>
  <conditionalFormatting sqref="F36:F38">
    <cfRule type="containsText" dxfId="42" priority="39" operator="containsText" text="n/a">
      <formula>NOT(ISERROR(SEARCH("n/a",F36)))</formula>
    </cfRule>
    <cfRule type="containsBlanks" dxfId="41" priority="40">
      <formula>LEN(TRIM(F36))=0</formula>
    </cfRule>
  </conditionalFormatting>
  <conditionalFormatting sqref="J29:K29">
    <cfRule type="containsText" dxfId="40" priority="32" operator="containsText" text="n/a">
      <formula>NOT(ISERROR(SEARCH("n/a",J29)))</formula>
    </cfRule>
    <cfRule type="containsBlanks" dxfId="39" priority="33">
      <formula>LEN(TRIM(J29))=0</formula>
    </cfRule>
  </conditionalFormatting>
  <conditionalFormatting sqref="J29:K29">
    <cfRule type="duplicateValues" dxfId="38" priority="31"/>
  </conditionalFormatting>
  <conditionalFormatting sqref="G6">
    <cfRule type="containsText" dxfId="37" priority="29" operator="containsText" text="n/a">
      <formula>NOT(ISERROR(SEARCH("n/a",G6)))</formula>
    </cfRule>
    <cfRule type="containsBlanks" dxfId="36" priority="606">
      <formula>LEN(TRIM(G6))=0</formula>
    </cfRule>
  </conditionalFormatting>
  <conditionalFormatting sqref="J6:K6">
    <cfRule type="containsText" dxfId="35" priority="27" operator="containsText" text="n/a">
      <formula>NOT(ISERROR(SEARCH("n/a",J6)))</formula>
    </cfRule>
    <cfRule type="containsBlanks" dxfId="34" priority="28">
      <formula>LEN(TRIM(J6))=0</formula>
    </cfRule>
  </conditionalFormatting>
  <conditionalFormatting sqref="J9:K9">
    <cfRule type="top10" dxfId="33" priority="25" rank="10"/>
  </conditionalFormatting>
  <conditionalFormatting sqref="J23:K23">
    <cfRule type="containsText" dxfId="32" priority="23" operator="containsText" text="n/a">
      <formula>NOT(ISERROR(SEARCH("n/a",J23)))</formula>
    </cfRule>
    <cfRule type="containsBlanks" dxfId="31" priority="24">
      <formula>LEN(TRIM(J23))=0</formula>
    </cfRule>
  </conditionalFormatting>
  <conditionalFormatting sqref="J24:K24">
    <cfRule type="containsText" dxfId="30" priority="17" operator="containsText" text="n/a">
      <formula>NOT(ISERROR(SEARCH("n/a",J24)))</formula>
    </cfRule>
    <cfRule type="containsBlanks" dxfId="29" priority="18">
      <formula>LEN(TRIM(J24))=0</formula>
    </cfRule>
  </conditionalFormatting>
  <conditionalFormatting sqref="G29:G31 G15:G17 G35:G38 F43:G43">
    <cfRule type="duplicateValues" dxfId="28" priority="630"/>
  </conditionalFormatting>
  <conditionalFormatting sqref="J19:K19">
    <cfRule type="containsText" dxfId="27" priority="6" operator="containsText" text="n/a">
      <formula>NOT(ISERROR(SEARCH("n/a",J19)))</formula>
    </cfRule>
    <cfRule type="containsBlanks" dxfId="26" priority="7">
      <formula>LEN(TRIM(J19))=0</formula>
    </cfRule>
  </conditionalFormatting>
  <conditionalFormatting sqref="F43:G43">
    <cfRule type="containsText" dxfId="25" priority="3" operator="containsText" text="n/a">
      <formula>NOT(ISERROR(SEARCH("n/a",F43)))</formula>
    </cfRule>
    <cfRule type="containsBlanks" dxfId="24" priority="4">
      <formula>LEN(TRIM(F43))=0</formula>
    </cfRule>
  </conditionalFormatting>
  <conditionalFormatting sqref="F16:F17 F29 F35:F38 F42:G42">
    <cfRule type="duplicateValues" dxfId="23" priority="1"/>
  </conditionalFormatting>
  <dataValidations count="6">
    <dataValidation type="list" allowBlank="1" showInputMessage="1" showErrorMessage="1" sqref="F24:G24 F21:G21" xr:uid="{00000000-0002-0000-0400-000000000000}">
      <formula1>"vmnic0,vmnic1,vmnic2,vmnic3,vmnic4,vmnic5,vmnic6,vmnic7,vmnic8,vmnic9"</formula1>
    </dataValidation>
    <dataValidation type="list" allowBlank="1" showInputMessage="1" showErrorMessage="1" sqref="K16" xr:uid="{00000000-0002-0000-0400-000001000000}">
      <formula1>"n/a,intel-merom,intel-penryn,intel-nehalem,intel-westmere,intel-sandybridge,intel-ivybridge, intel-haswell, amd-rev-e,amd-rev-f,amd-greyhound-no3dnow,amd-greyhound, amd-bulldozer,amd-piledriver"</formula1>
    </dataValidation>
    <dataValidation type="list" allowBlank="1" showInputMessage="1" showErrorMessage="1" sqref="F22:G22" xr:uid="{00000000-0002-0000-0400-000002000000}">
      <formula1>"vmk0"</formula1>
    </dataValidation>
    <dataValidation type="custom" allowBlank="1" showInputMessage="1" showErrorMessage="1" errorTitle="Invalid IP Address" error="Please enter a valid IP Address" sqref="G35:G38 G15:G17 G29:G31 F43:G44 G6:G7" xr:uid="{23002188-381D-E54B-A80C-8131575E75A0}">
      <formula1>IF(ISNUMBER(VALUE(SUBSTITUTE(F6,".",""))),AND(--LEFT(F6,FIND(".",F6)-1)&lt;256,--MID(SUBSTITUTE(F6,".",REPT(" ",99)),99,99)&lt;256,--MID(SUBSTITUTE(F6,".",REPT(" ",99)),198,99)&lt;256,--RIGHT(SUBSTITUTE(F6,".",REPT(" ",99)),99)&lt;256),F6="n/a")</formula1>
    </dataValidation>
    <dataValidation type="list" allowBlank="1" showInputMessage="1" showErrorMessage="1" sqref="F18" xr:uid="{37F560C2-65EC-C14E-A970-BA8F8C527E01}">
      <formula1>"tiny,small,medium,large,xlarge"</formula1>
    </dataValidation>
    <dataValidation type="list" allowBlank="1" showInputMessage="1" showErrorMessage="1" sqref="F39" xr:uid="{00000000-0002-0000-0500-000000000000}">
      <formula1>"small,medium,large"</formula1>
    </dataValidation>
  </dataValidations>
  <printOptions horizontalCentered="1"/>
  <pageMargins left="0.5" right="0.5" top="0.5" bottom="0.5" header="0.25" footer="0.25"/>
  <pageSetup scale="39" orientation="portrait" r:id="rId1"/>
  <headerFooter alignWithMargins="0">
    <oddFooter>&amp;L&amp;8http://www.vertex42.com/ExcelTemplates/spring-cleaning-checklist.html</oddFooter>
  </headerFooter>
  <ignoredErrors>
    <ignoredError sqref="H32" evalError="1"/>
  </ignoredErrors>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87" id="{494CDE26-026C-7F41-AC49-C9500C6F2880}">
            <xm:f>IF((LEFT(G15,FIND("~",SUBSTITUTE(G15,".","~",3))-1))=(LEFT('Hosts and Networks'!D7,FIND("~",SUBSTITUTE('Hosts and Networks'!D7,".","~",3))-1)),FALSE,TRUE)</xm:f>
            <x14:dxf>
              <font>
                <b/>
                <i val="0"/>
                <color rgb="FF9C0006"/>
              </font>
              <fill>
                <patternFill>
                  <bgColor theme="5" tint="0.59996337778862885"/>
                </patternFill>
              </fill>
            </x14:dxf>
          </x14:cfRule>
          <xm:sqref>G15</xm:sqref>
        </x14:conditionalFormatting>
        <x14:conditionalFormatting xmlns:xm="http://schemas.microsoft.com/office/excel/2006/main">
          <x14:cfRule type="expression" priority="84" id="{85DC85B8-4A7C-464D-825A-CCD75E99FF5E}">
            <xm:f>IF((LEFT(G17,FIND("~",SUBSTITUTE(G17,".","~",3))-1))=(LEFT('Hosts and Networks'!D7,FIND("~",SUBSTITUTE('Hosts and Networks'!D7,".","~",3))-1)),FALSE,TRUE)</xm:f>
            <x14:dxf>
              <font>
                <b/>
                <i val="0"/>
                <color rgb="FF9C0006"/>
              </font>
              <fill>
                <patternFill>
                  <bgColor theme="5" tint="0.59996337778862885"/>
                </patternFill>
              </fill>
            </x14:dxf>
          </x14:cfRule>
          <xm:sqref>G17</xm:sqref>
        </x14:conditionalFormatting>
        <x14:conditionalFormatting xmlns:xm="http://schemas.microsoft.com/office/excel/2006/main">
          <x14:cfRule type="expression" priority="82" id="{BBF81E8B-70EA-7346-AC07-791118679279}">
            <xm:f>IF((LEFT(G29,FIND("~",SUBSTITUTE(G29,".","~",3))-1))=(LEFT('Hosts and Networks'!D7,FIND("~",SUBSTITUTE('Hosts and Networks'!D7,".","~",3))-1)),FALSE,TRUE)</xm:f>
            <x14:dxf>
              <font>
                <b/>
                <i val="0"/>
                <color rgb="FF9C0006"/>
              </font>
              <fill>
                <patternFill>
                  <bgColor theme="5" tint="0.59996337778862885"/>
                </patternFill>
              </fill>
            </x14:dxf>
          </x14:cfRule>
          <xm:sqref>G29</xm:sqref>
        </x14:conditionalFormatting>
        <x14:conditionalFormatting xmlns:xm="http://schemas.microsoft.com/office/excel/2006/main">
          <x14:cfRule type="expression" priority="80" id="{209DE953-EBBF-7B4F-B701-AF093962B882}">
            <xm:f>IF((LEFT(G30,FIND("~",SUBSTITUTE(G30,".","~",3))-1))=(LEFT('Hosts and Networks'!D7,FIND("~",SUBSTITUTE('Hosts and Networks'!D7,".","~",3))-1)),FALSE,TRUE)</xm:f>
            <x14:dxf>
              <font>
                <b/>
                <i val="0"/>
                <color rgb="FF9C0006"/>
              </font>
              <fill>
                <patternFill>
                  <bgColor theme="5" tint="0.59996337778862885"/>
                </patternFill>
              </fill>
            </x14:dxf>
          </x14:cfRule>
          <xm:sqref>G30</xm:sqref>
        </x14:conditionalFormatting>
        <x14:conditionalFormatting xmlns:xm="http://schemas.microsoft.com/office/excel/2006/main">
          <x14:cfRule type="expression" priority="79" id="{FAFA9283-53A7-C142-AE00-5FFA40DE1B52}">
            <xm:f>IF((LEFT(G31,FIND("~",SUBSTITUTE(G31,".","~",3))-1))=(LEFT('Hosts and Networks'!D7,FIND("~",SUBSTITUTE('Hosts and Networks'!D7,".","~",3))-1)),FALSE,TRUE)</xm:f>
            <x14:dxf>
              <font>
                <b/>
                <i val="0"/>
                <color rgb="FF9C0006"/>
              </font>
              <fill>
                <patternFill>
                  <bgColor theme="5" tint="0.59996337778862885"/>
                </patternFill>
              </fill>
            </x14:dxf>
          </x14:cfRule>
          <xm:sqref>G31</xm:sqref>
        </x14:conditionalFormatting>
        <x14:conditionalFormatting xmlns:xm="http://schemas.microsoft.com/office/excel/2006/main">
          <x14:cfRule type="expression" priority="561" id="{15C7ACD0-3DE2-384F-B441-D9FDAEDB58C2}">
            <xm:f>IF((LEFT(G16,FIND("~",SUBSTITUTE(G16,".","~",3))-1))=(LEFT('Hosts and Networks'!D7,FIND("~",SUBSTITUTE('Hosts and Networks'!D7,".","~",3))-1)),FALSE,TRUE)</xm:f>
            <x14:dxf>
              <font>
                <b/>
                <i val="0"/>
                <color rgb="FF9C0006"/>
              </font>
              <fill>
                <patternFill>
                  <bgColor theme="5" tint="0.59996337778862885"/>
                </patternFill>
              </fill>
            </x14:dxf>
          </x14:cfRule>
          <xm:sqref>G16</xm:sqref>
        </x14:conditionalFormatting>
        <x14:conditionalFormatting xmlns:xm="http://schemas.microsoft.com/office/excel/2006/main">
          <x14:cfRule type="expression" priority="11" id="{0F8435E8-1CCF-734E-91AE-DB3049BFCB47}">
            <xm:f>IF((LEFT(G35,FIND("~",SUBSTITUTE(G35,".","~",3))-1))=(LEFT('Hosts and Networks'!D7,FIND("~",SUBSTITUTE('Hosts and Networks'!D7,".","~",3))-1)),FALSE,TRUE)</xm:f>
            <x14:dxf>
              <font>
                <b/>
                <i val="0"/>
                <color rgb="FF9C0006"/>
              </font>
              <fill>
                <patternFill>
                  <bgColor theme="5" tint="0.59996337778862885"/>
                </patternFill>
              </fill>
            </x14:dxf>
          </x14:cfRule>
          <xm:sqref>G35</xm:sqref>
        </x14:conditionalFormatting>
        <x14:conditionalFormatting xmlns:xm="http://schemas.microsoft.com/office/excel/2006/main">
          <x14:cfRule type="expression" priority="10" id="{A94E01A0-C0DF-A04D-AB74-9242E5CBBDDE}">
            <xm:f>IF((LEFT(G36,FIND("~",SUBSTITUTE(G36,".","~",3))-1))=(LEFT('Hosts and Networks'!D7,FIND("~",SUBSTITUTE('Hosts and Networks'!D7,".","~",3))-1)),FALSE,TRUE)</xm:f>
            <x14:dxf>
              <font>
                <b/>
                <i val="0"/>
                <color rgb="FF9C0006"/>
              </font>
              <fill>
                <patternFill>
                  <bgColor theme="5" tint="0.59996337778862885"/>
                </patternFill>
              </fill>
            </x14:dxf>
          </x14:cfRule>
          <xm:sqref>G36</xm:sqref>
        </x14:conditionalFormatting>
        <x14:conditionalFormatting xmlns:xm="http://schemas.microsoft.com/office/excel/2006/main">
          <x14:cfRule type="expression" priority="9" id="{0C629DB1-E88E-ED41-9A01-245E675F4202}">
            <xm:f>IF((LEFT(G37,FIND("~",SUBSTITUTE(G37,".","~",3))-1))=(LEFT('Hosts and Networks'!D7,FIND("~",SUBSTITUTE('Hosts and Networks'!D7,".","~",3))-1)),FALSE,TRUE)</xm:f>
            <x14:dxf>
              <font>
                <b/>
                <i val="0"/>
                <color rgb="FF9C0006"/>
              </font>
              <fill>
                <patternFill>
                  <bgColor theme="5" tint="0.59996337778862885"/>
                </patternFill>
              </fill>
            </x14:dxf>
          </x14:cfRule>
          <xm:sqref>G37</xm:sqref>
        </x14:conditionalFormatting>
        <x14:conditionalFormatting xmlns:xm="http://schemas.microsoft.com/office/excel/2006/main">
          <x14:cfRule type="expression" priority="8" id="{B7CB038F-F245-FE4A-AA77-F17B0FC289C5}">
            <xm:f>IF((LEFT(G38,FIND("~",SUBSTITUTE(G38,".","~",3))-1))=(LEFT('Hosts and Networks'!D7,FIND("~",SUBSTITUTE('Hosts and Networks'!D7,".","~",3))-1)),FALSE,TRUE)</xm:f>
            <x14:dxf>
              <font>
                <b/>
                <i val="0"/>
                <color rgb="FF9C0006"/>
              </font>
              <fill>
                <patternFill>
                  <bgColor theme="5" tint="0.59996337778862885"/>
                </patternFill>
              </fill>
            </x14:dxf>
          </x14:cfRule>
          <xm:sqref>G38</xm:sqref>
        </x14:conditionalFormatting>
        <x14:conditionalFormatting xmlns:xm="http://schemas.microsoft.com/office/excel/2006/main">
          <x14:cfRule type="expression" priority="2" id="{A15390DF-0388-EE45-9A60-A8A87F611E4E}">
            <xm:f>IF((LEFT(F43,FIND("~",SUBSTITUTE(F43,".","~",3))-1))=(LEFT('Hosts and Networks'!D7,FIND("~",SUBSTITUTE('Hosts and Networks'!D7,".","~",3))-1)),FALSE,TRUE)</xm:f>
            <x14:dxf>
              <font>
                <b/>
                <i val="0"/>
                <color rgb="FF9C0006"/>
              </font>
              <fill>
                <patternFill>
                  <bgColor theme="5" tint="0.59996337778862885"/>
                </patternFill>
              </fill>
            </x14:dxf>
          </x14:cfRule>
          <xm:sqref>F43:G43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1"/>
  <sheetViews>
    <sheetView showZeros="0" topLeftCell="A44" zoomScale="135" zoomScaleNormal="135" zoomScalePageLayoutView="125" workbookViewId="0">
      <selection activeCell="A60" sqref="A60"/>
    </sheetView>
  </sheetViews>
  <sheetFormatPr baseColWidth="10" defaultColWidth="8.83203125" defaultRowHeight="15"/>
  <cols>
    <col min="1" max="1" width="172.6640625" style="1" customWidth="1"/>
    <col min="2" max="2" width="42.5" style="1" customWidth="1"/>
    <col min="3" max="16384" width="8.83203125" style="1"/>
  </cols>
  <sheetData>
    <row r="1" spans="1:1">
      <c r="A1" s="1" t="s">
        <v>194</v>
      </c>
    </row>
    <row r="2" spans="1:1">
      <c r="A2" s="5" t="str">
        <f>"workflowName.vcf-ems=workflowconfig/workflowspec-ems.json"</f>
        <v>workflowName.vcf-ems=workflowconfig/workflowspec-ems.json</v>
      </c>
    </row>
    <row r="3" spans="1:1" s="2" customFormat="1">
      <c r="A3" s="2" t="s">
        <v>74</v>
      </c>
    </row>
    <row r="4" spans="1:1" s="2" customFormat="1">
      <c r="A4" s="2" t="s">
        <v>144</v>
      </c>
    </row>
    <row r="5" spans="1:1" s="2" customFormat="1">
      <c r="A5" s="4" t="str">
        <f>IF('Management Workloads'!L6="n/a","vcloud-suite-license@key=","vcloud-suite-license@key="&amp;'Management Workloads'!L6)</f>
        <v>vcloud-suite-license@key=</v>
      </c>
    </row>
    <row r="6" spans="1:1">
      <c r="A6" s="1" t="s">
        <v>151</v>
      </c>
    </row>
    <row r="7" spans="1:1">
      <c r="A7" s="5" t="str">
        <f>IF('Management Workloads'!L8="n/a","mgmt-vcenter-6-license@key=","mgmt-vcenter-6-license@key="&amp;'Management Workloads'!L8)</f>
        <v>mgmt-vcenter-6-license@key=</v>
      </c>
    </row>
    <row r="8" spans="1:1">
      <c r="A8" s="1" t="s">
        <v>152</v>
      </c>
    </row>
    <row r="9" spans="1:1" s="2" customFormat="1">
      <c r="A9" s="4" t="str">
        <f>IF('Management Workloads'!L10="n/a","nsx-license@key=","nsx-license@key="&amp;'Management Workloads'!L10)</f>
        <v>nsx-license@key=</v>
      </c>
    </row>
    <row r="10" spans="1:1" s="9" customFormat="1">
      <c r="A10" s="4" t="str">
        <f>IF('Management Workloads'!L7="n/a","vsan-license@key=","vsan-license@key="&amp;'Management Workloads'!L7)</f>
        <v>vsan-license@key=</v>
      </c>
    </row>
    <row r="11" spans="1:1" s="9" customFormat="1">
      <c r="A11" s="4" t="str">
        <f>IF('Management Workloads'!L18="n/a","log-insight-license@key=","log-insight-license@key="&amp;'Management Workloads'!L18)</f>
        <v>log-insight-license@key=</v>
      </c>
    </row>
    <row r="12" spans="1:1" s="9" customFormat="1">
      <c r="A12" s="4" t="str">
        <f>IF('Management Workloads'!L15="n/a","sddc-manager-license@key=","sddc-manager-license@key="&amp;'Management Workloads'!L15)</f>
        <v>sddc-manager-license@key=</v>
      </c>
    </row>
    <row r="13" spans="1:1" s="9" customFormat="1"/>
    <row r="14" spans="1:1" s="2" customFormat="1">
      <c r="A14" s="2" t="s">
        <v>76</v>
      </c>
    </row>
    <row r="15" spans="1:1" s="2" customFormat="1">
      <c r="A15" s="2" t="s">
        <v>68</v>
      </c>
    </row>
    <row r="16" spans="1:1">
      <c r="A16" s="5" t="str">
        <f>IF('Deploy Parameters'!G8="n/a","ntp-server@address=","ntp-server@address="&amp;'Deploy Parameters'!G8)</f>
        <v>ntp-server@address=172.16.11.253</v>
      </c>
    </row>
    <row r="17" spans="1:1">
      <c r="A17" s="5" t="str">
        <f>IF('Deploy Parameters'!G9="n/a","remote-site-ntp-server@address=","remote-site-ntp-server@address="&amp;'Deploy Parameters'!G9)</f>
        <v>remote-site-ntp-server@address=</v>
      </c>
    </row>
    <row r="19" spans="1:1">
      <c r="A19" s="1" t="s">
        <v>247</v>
      </c>
    </row>
    <row r="20" spans="1:1">
      <c r="A20" s="5" t="str">
        <f>IF('Deploy Parameters'!J6="n/a","ldapADIdentitySource.domainName=","ldapADIdentitySource.domainName="&amp;'Deploy Parameters'!J6)</f>
        <v>ldapADIdentitySource.domainName=sfo01.rainpole.local</v>
      </c>
    </row>
    <row r="21" spans="1:1">
      <c r="A21" s="5" t="str">
        <f>IF('Deploy Parameters'!J6="n/a","ldapADIdentitySource.subDomainPrefix=","ldapADIdentitySource.subDomainPrefix="&amp;'Deploy Parameters'!J6)</f>
        <v>ldapADIdentitySource.subDomainPrefix=sfo01.rainpole.local</v>
      </c>
    </row>
    <row r="22" spans="1:1">
      <c r="A22" s="6"/>
    </row>
    <row r="23" spans="1:1">
      <c r="A23" s="1" t="s">
        <v>165</v>
      </c>
    </row>
    <row r="24" spans="1:1">
      <c r="A24" s="7" t="str">
        <f>IF('Deploy Parameters'!F11="n/a","sso-site-name@value=","sso-site-name@value="&amp;'Deploy Parameters'!F11)</f>
        <v>sso-site-name@value=sfo01</v>
      </c>
    </row>
    <row r="26" spans="1:1">
      <c r="A26" s="1" t="s">
        <v>114</v>
      </c>
    </row>
    <row r="27" spans="1:1">
      <c r="A27" s="5" t="str">
        <f>IF('Deploy Parameters'!J20="n/a","default-network-name=","default-network-name="&amp;'Deploy Parameters'!J20)</f>
        <v>default-network-name=VM Network</v>
      </c>
    </row>
    <row r="30" spans="1:1">
      <c r="A30" s="1" t="s">
        <v>201</v>
      </c>
    </row>
    <row r="31" spans="1:1">
      <c r="A31" s="1" t="s">
        <v>202</v>
      </c>
    </row>
    <row r="32" spans="1:1">
      <c r="A32" s="5" t="str">
        <f>"sddc-manager-root-credentials="&amp;'Users and Groups'!C17</f>
        <v>sddc-manager-root-credentials=</v>
      </c>
    </row>
    <row r="33" spans="1:1">
      <c r="A33" s="5" t="str">
        <f>"sddc-manager-superuser-credentials="&amp;'Users and Groups'!C18</f>
        <v>sddc-manager-superuser-credentials=</v>
      </c>
    </row>
    <row r="34" spans="1:1">
      <c r="A34" s="5" t="str">
        <f>"sddc-manager-restapi-user-credentials="&amp;'Users and Groups'!C19</f>
        <v>sddc-manager-restapi-user-credentials=</v>
      </c>
    </row>
    <row r="35" spans="1:1">
      <c r="A35" s="5" t="str">
        <f>"sddc-manager-automation-sso.username="&amp;'Users and Groups'!B20</f>
        <v>sddc-manager-automation-sso.username=automation</v>
      </c>
    </row>
    <row r="36" spans="1:1">
      <c r="A36" s="5" t="str">
        <f>"sddc-manager-automation-sso.password="&amp;'Users and Groups'!C20</f>
        <v>sddc-manager-automation-sso.password=</v>
      </c>
    </row>
    <row r="38" spans="1:1">
      <c r="A38" s="1" t="s">
        <v>203</v>
      </c>
    </row>
    <row r="39" spans="1:1">
      <c r="A39" s="5" t="str">
        <f>"sddcManagerIp.Address="&amp;'Deploy Parameters'!F43</f>
        <v>sddcManagerIp.Address=172.16.11.60</v>
      </c>
    </row>
    <row r="40" spans="1:1">
      <c r="A40" s="5" t="str">
        <f>"sddcManagerIp.netmask="&amp;'Deploy Parameters'!F44</f>
        <v>sddcManagerIp.netmask=255.255.255.0</v>
      </c>
    </row>
    <row r="41" spans="1:1">
      <c r="A41" s="5" t="str">
        <f>"sddcManager-deployment-vmname="&amp;'Deploy Parameters'!F42</f>
        <v>sddcManager-deployment-vmname=sddc-manager</v>
      </c>
    </row>
    <row r="42" spans="1:1">
      <c r="A42" s="5" t="str">
        <f>"sddcManager-HostPoolName="&amp;'Deploy Parameters'!F45</f>
        <v>sddcManager-HostPoolName=sfo01-networkpool</v>
      </c>
    </row>
    <row r="45" spans="1:1">
      <c r="A45" s="1" t="s">
        <v>73</v>
      </c>
    </row>
    <row r="46" spans="1:1">
      <c r="A46" s="1" t="s">
        <v>26</v>
      </c>
    </row>
    <row r="47" spans="1:1">
      <c r="A47" s="5" t="str">
        <f>"esxi.username="&amp;'Users and Groups'!B8</f>
        <v>esxi.username=root</v>
      </c>
    </row>
    <row r="48" spans="1:1">
      <c r="A48" s="5" t="str">
        <f>"esxi.password="&amp;'Users and Groups'!C8</f>
        <v>esxi.password=</v>
      </c>
    </row>
    <row r="49" spans="1:1">
      <c r="A49" s="6"/>
    </row>
    <row r="50" spans="1:1">
      <c r="A50" s="6" t="s">
        <v>83</v>
      </c>
    </row>
    <row r="51" spans="1:1">
      <c r="A51" s="5" t="str">
        <f>"vcenter-root-credentials@password="&amp;'Users and Groups'!C10</f>
        <v>vcenter-root-credentials@password=</v>
      </c>
    </row>
    <row r="52" spans="1:1">
      <c r="A52" s="6" t="s">
        <v>84</v>
      </c>
    </row>
    <row r="53" spans="1:1">
      <c r="A53" s="5" t="str">
        <f>"vcenter-admin-credentials@password="&amp;'Users and Groups'!C9</f>
        <v>vcenter-admin-credentials@password=</v>
      </c>
    </row>
    <row r="54" spans="1:1">
      <c r="A54" s="6" t="s">
        <v>219</v>
      </c>
    </row>
    <row r="55" spans="1:1">
      <c r="A55" s="5" t="str">
        <f>"auto-sso-admin.username="&amp;'Users and Groups'!B20</f>
        <v>auto-sso-admin.username=automation</v>
      </c>
    </row>
    <row r="56" spans="1:1">
      <c r="A56" s="5" t="str">
        <f>"auto-sso-admin.password="&amp;'Users and Groups'!C20</f>
        <v>auto-sso-admin.password=</v>
      </c>
    </row>
    <row r="57" spans="1:1">
      <c r="A57" s="6"/>
    </row>
    <row r="58" spans="1:1">
      <c r="A58" s="6" t="s">
        <v>85</v>
      </c>
    </row>
    <row r="59" spans="1:1">
      <c r="A59" s="5" t="str">
        <f>"nsx-admin-credentials@password="&amp;'Users and Groups'!C11</f>
        <v>nsx-admin-credentials@password=</v>
      </c>
    </row>
    <row r="60" spans="1:1">
      <c r="A60" s="5" t="str">
        <f>"nsx-edge-cli-credentials@password="&amp;'Users and Groups'!C12</f>
        <v>nsx-edge-cli-credentials@password=</v>
      </c>
    </row>
    <row r="61" spans="1:1">
      <c r="A61" s="6"/>
    </row>
    <row r="62" spans="1:1">
      <c r="A62" s="6" t="s">
        <v>108</v>
      </c>
    </row>
    <row r="63" spans="1:1" ht="16">
      <c r="A63" s="8" t="str">
        <f>"physical-nic-dedicated-to-mgmt-dvs@value="&amp;'Deploy Parameters'!F21</f>
        <v>physical-nic-dedicated-to-mgmt-dvs@value=vmnic1</v>
      </c>
    </row>
    <row r="64" spans="1:1">
      <c r="A64" s="6" t="s">
        <v>109</v>
      </c>
    </row>
    <row r="65" spans="1:1">
      <c r="A65" s="7" t="str">
        <f>"vm-kernel-adapter-management-name@value="&amp;'Deploy Parameters'!F22</f>
        <v>vm-kernel-adapter-management-name@value=vmk0</v>
      </c>
    </row>
    <row r="66" spans="1:1">
      <c r="A66" s="13" t="s">
        <v>181</v>
      </c>
    </row>
    <row r="67" spans="1:1">
      <c r="A67" s="13" t="s">
        <v>154</v>
      </c>
    </row>
    <row r="68" spans="1:1">
      <c r="A68" s="14" t="str">
        <f>IF('Deploy Parameters'!F23="n/a","management-hosts-vss-name@value=","management-hosts-vss-name@value="&amp;'Deploy Parameters'!F23)</f>
        <v>management-hosts-vss-name@value=vSwitch0</v>
      </c>
    </row>
    <row r="69" spans="1:1">
      <c r="A69" s="14" t="str">
        <f>"management-hosts-vmnic="&amp;'Deploy Parameters'!F24</f>
        <v>management-hosts-vmnic=vmnic0</v>
      </c>
    </row>
    <row r="70" spans="1:1">
      <c r="A70" s="6"/>
    </row>
    <row r="71" spans="1:1">
      <c r="A71" s="6" t="s">
        <v>116</v>
      </c>
    </row>
    <row r="72" spans="1:1">
      <c r="A72" s="7" t="str">
        <f>IF('Deploy Parameters'!J9="n/a","management-vsan-datastore-name@value=","management-vsan-datastore-name@value="&amp;'Deploy Parameters'!J9)</f>
        <v>management-vsan-datastore-name@value=sfo01-m01-vsan</v>
      </c>
    </row>
    <row r="73" spans="1:1">
      <c r="A73" s="6"/>
    </row>
    <row r="74" spans="1:1">
      <c r="A74" s="6" t="s">
        <v>346</v>
      </c>
    </row>
    <row r="75" spans="1:1">
      <c r="A75" s="5" t="str">
        <f>IF('Hosts and Networks'!J11="Yes","skipThumbprintValidation=false",IF('Hosts and Networks'!J11="No","skipThumbprintValidation=true"))</f>
        <v>skipThumbprintValidation=true</v>
      </c>
    </row>
    <row r="76" spans="1:1">
      <c r="A76" s="6" t="s">
        <v>347</v>
      </c>
    </row>
    <row r="77" spans="1:1">
      <c r="A77" s="5" t="str">
        <f>IF('Hosts and Networks'!I13="n/a","esxi.mgmt-1.sshThumbprint=","esxi.mgmt-1.sshThumbprint="&amp;'Hosts and Networks'!I13)</f>
        <v>esxi.mgmt-1.sshThumbprint=SHA256:RBA2O5XImupEfJSaoBcYYzc0aR9gWjlkY8VqptIub9w</v>
      </c>
    </row>
    <row r="78" spans="1:1">
      <c r="A78" s="5" t="str">
        <f>IF('Hosts and Networks'!I14="n/a","esxi.mgmt-2.sshThumbprint=","esxi.mgmt-2.sshThumbprint="&amp;'Hosts and Networks'!I14)</f>
        <v>esxi.mgmt-2.sshThumbprint=SHA256:gC6mtEWkCIcYH/AvrP68XTOkynMFVqgN3OsI292dnWE</v>
      </c>
    </row>
    <row r="79" spans="1:1">
      <c r="A79" s="5" t="str">
        <f>IF('Hosts and Networks'!I15="n/a","esxi.mgmt-3.sshThumbprint=","esxi.mgmt-3.sshThumbprint="&amp;'Hosts and Networks'!I15)</f>
        <v>esxi.mgmt-3.sshThumbprint=SHA256:8XZOzXNJrTFV1pAsWcran3EXpvRmA8NbWBZ8UyCII0Q</v>
      </c>
    </row>
    <row r="80" spans="1:1">
      <c r="A80" s="5" t="str">
        <f>IF('Hosts and Networks'!I16="n/a","esxi.mgmt-4.sshThumbprint=","esxi.mgmt-4.sshThumbprint="&amp;'Hosts and Networks'!I16)</f>
        <v>esxi.mgmt-4.sshThumbprint=SHA256:OIPBfY9cc1huP0VLY8zNJLBcAM3UPmDBbzMVZvjmnLo</v>
      </c>
    </row>
    <row r="81" spans="1:1">
      <c r="A81" s="5" t="str">
        <f>IF('Hosts and Networks'!I17="n/a","esxi.mgmt-5.sshThumbprint=","esxi.mgmt-5.sshThumbprint="&amp;'Hosts and Networks'!I17)</f>
        <v>esxi.mgmt-5.sshThumbprint=</v>
      </c>
    </row>
    <row r="82" spans="1:1">
      <c r="A82" s="5" t="str">
        <f>IF('Hosts and Networks'!I18="n/a","esxi.mgmt-6.sshThumbprint=","esxi.mgmt-6.sshThumbprint="&amp;'Hosts and Networks'!I18)</f>
        <v>esxi.mgmt-6.sshThumbprint=</v>
      </c>
    </row>
    <row r="83" spans="1:1">
      <c r="A83" s="5" t="str">
        <f>IF('Hosts and Networks'!I19="n/a","esxi.mgmt-7.sshThumbprint=","esxi.mgmt-7.sshThumbprint="&amp;'Hosts and Networks'!I19)</f>
        <v>esxi.mgmt-7.sshThumbprint=</v>
      </c>
    </row>
    <row r="84" spans="1:1">
      <c r="A84" s="5" t="str">
        <f>IF('Hosts and Networks'!I20="n/a","esxi.mgmt-8.sshThumbprint=","esxi.mgmt-8.sshThumbprint="&amp;'Hosts and Networks'!I20)</f>
        <v>esxi.mgmt-8.sshThumbprint=</v>
      </c>
    </row>
    <row r="85" spans="1:1">
      <c r="A85" s="6" t="s">
        <v>348</v>
      </c>
    </row>
    <row r="86" spans="1:1">
      <c r="A86" s="5" t="str">
        <f>IF('Hosts and Networks'!K13="n/a","esxi.mgmt-1.sslThumbprint=","esxi.mgmt-1.sslThumbprint="&amp;'Hosts and Networks'!K13)</f>
        <v>esxi.mgmt-1.sslThumbprint=27:09:80:C3:59:00:73:F0:80:93:15:36:7E:5D:C9:72:69:32:EF:99</v>
      </c>
    </row>
    <row r="87" spans="1:1">
      <c r="A87" s="5" t="str">
        <f>IF('Hosts and Networks'!K14="n/a","esxi.mgmt-2.sslThumbprint=","esxi.mgmt-2.sslThumbprint="&amp;'Hosts and Networks'!K14)</f>
        <v>esxi.mgmt-2.sslThumbprint=E3:33:4D:5B:87:5C:5E:39:B1:06:CA:0B:23:B4:43:BA:1D:AE:8B:AB</v>
      </c>
    </row>
    <row r="88" spans="1:1">
      <c r="A88" s="5" t="str">
        <f>IF('Hosts and Networks'!K15="n/a","esxi.mgmt-3.sslThumbprint=","esxi.mgmt-3.sslThumbprint="&amp;'Hosts and Networks'!K15)</f>
        <v>esxi.mgmt-3.sslThumbprint=EB:A3:F2:55:00:46:EE:2B:9F:89:3D:A3:5A:A8:65:6B:A3:77:57:87</v>
      </c>
    </row>
    <row r="89" spans="1:1">
      <c r="A89" s="5" t="str">
        <f>IF('Hosts and Networks'!K16="n/a","esxi.mgmt-4.sslThumbprint=","esxi.mgmt-4.sslThumbprint="&amp;'Hosts and Networks'!K16)</f>
        <v>esxi.mgmt-4.sslThumbprint=13:42:5E:6A:B7:1A:3A:5E:5E:AA:54:0E:24:0A:AD:FF:55:FA:14:4D</v>
      </c>
    </row>
    <row r="90" spans="1:1">
      <c r="A90" s="5" t="str">
        <f>IF('Hosts and Networks'!K17="n/a","esxi.mgmt-5.sslThumbprint=","esxi.mgmt-5.sslThumbprint="&amp;'Hosts and Networks'!K17)</f>
        <v>esxi.mgmt-5.sslThumbprint=</v>
      </c>
    </row>
    <row r="91" spans="1:1">
      <c r="A91" s="5" t="str">
        <f>IF('Hosts and Networks'!K18="n/a","esxi.mgmt-6.sslThumbprint=","esxi.mgmt-6.sslThumbprint="&amp;'Hosts and Networks'!K18)</f>
        <v>esxi.mgmt-6.sslThumbprint=</v>
      </c>
    </row>
    <row r="92" spans="1:1">
      <c r="A92" s="5" t="str">
        <f>IF('Hosts and Networks'!K19="n/a","esxi.mgmt-7.sslThumbprint=","esxi.mgmt-7.sslThumbprint="&amp;'Hosts and Networks'!K19)</f>
        <v>esxi.mgmt-7.sslThumbprint=</v>
      </c>
    </row>
    <row r="93" spans="1:1">
      <c r="A93" s="5" t="str">
        <f>IF('Hosts and Networks'!K20="n/a","esxi.mgmt-8.sslThumbprint=","esxi.mgmt-8.sslThumbprint="&amp;'Hosts and Networks'!K20)</f>
        <v>esxi.mgmt-8.sslThumbprint=</v>
      </c>
    </row>
    <row r="94" spans="1:1">
      <c r="A94" s="6"/>
    </row>
    <row r="95" spans="1:1">
      <c r="A95" s="1" t="s">
        <v>160</v>
      </c>
    </row>
    <row r="96" spans="1:1">
      <c r="A96" s="5" t="str">
        <f>IF('Hosts and Networks'!H7="n/a","esxi.mgmt-1.address=","esxi.mgmt-1.address="&amp;'Hosts and Networks'!H7)</f>
        <v>esxi.mgmt-1.address=172.16.11.101</v>
      </c>
    </row>
    <row r="97" spans="1:1">
      <c r="A97" s="5" t="str">
        <f>IF('Hosts and Networks'!H6="n/a","esxi.mgmt-1.hostname=","esxi.mgmt-1.hostname="&amp;'Hosts and Networks'!H6)</f>
        <v>esxi.mgmt-1.hostname=sfo01m01esx01</v>
      </c>
    </row>
    <row r="98" spans="1:1">
      <c r="A98" s="5" t="str">
        <f>IF('Hosts and Networks'!I7="n/a","esxi.mgmt-2.address=","esxi.mgmt-2.address="&amp;'Hosts and Networks'!I7)</f>
        <v>esxi.mgmt-2.address=172.16.11.102</v>
      </c>
    </row>
    <row r="99" spans="1:1">
      <c r="A99" s="5" t="str">
        <f>IF('Hosts and Networks'!I6="n/a","esxi.mgmt-2.hostname=","esxi.mgmt-2.hostname="&amp;'Hosts and Networks'!I6)</f>
        <v>esxi.mgmt-2.hostname=sfo01m01esx02</v>
      </c>
    </row>
    <row r="100" spans="1:1">
      <c r="A100" s="5" t="str">
        <f>IF('Hosts and Networks'!J7="n/a","esxi.mgmt-3.address=","esxi.mgmt-3.address="&amp;'Hosts and Networks'!J7)</f>
        <v>esxi.mgmt-3.address=172.16.11.103</v>
      </c>
    </row>
    <row r="101" spans="1:1">
      <c r="A101" s="5" t="str">
        <f>IF('Hosts and Networks'!J6="n/a","esxi.mgmt-3.hostname=","esxi.mgmt-3.hostname="&amp;'Hosts and Networks'!J6)</f>
        <v>esxi.mgmt-3.hostname=sfo01m01esx03</v>
      </c>
    </row>
    <row r="102" spans="1:1">
      <c r="A102" s="5" t="str">
        <f>IF('Hosts and Networks'!K7="n/a","esxi.mgmt-4.address=","esxi.mgmt-4.address="&amp;'Hosts and Networks'!K7)</f>
        <v>esxi.mgmt-4.address=172.16.11.104</v>
      </c>
    </row>
    <row r="103" spans="1:1">
      <c r="A103" s="5" t="str">
        <f>IF('Hosts and Networks'!K6="n/a","esxi.mgmt-4.hostname=","esxi.mgmt-4.hostname="&amp;'Hosts and Networks'!K6)</f>
        <v>esxi.mgmt-4.hostname=sfo01m01esx04</v>
      </c>
    </row>
    <row r="104" spans="1:1">
      <c r="A104" s="5" t="str">
        <f>IF('Hosts and Networks'!L7="n/a","esxi.mgmt-5.address=","esxi.mgmt-5.address="&amp;'Hosts and Networks'!L7)</f>
        <v>esxi.mgmt-5.address=</v>
      </c>
    </row>
    <row r="105" spans="1:1">
      <c r="A105" s="5" t="str">
        <f>IF('Hosts and Networks'!L6="n/a","esxi.mgmt-5.hostname=","esxi.mgmt-5.hostname="&amp;'Hosts and Networks'!L6)</f>
        <v>esxi.mgmt-5.hostname=</v>
      </c>
    </row>
    <row r="106" spans="1:1">
      <c r="A106" s="5" t="str">
        <f>IF('Hosts and Networks'!M7="n/a","esxi.mgmt-6.address=","esxi.mgmt-6.address="&amp;'Hosts and Networks'!M7)</f>
        <v>esxi.mgmt-6.address=</v>
      </c>
    </row>
    <row r="107" spans="1:1">
      <c r="A107" s="5" t="str">
        <f>IF('Hosts and Networks'!M6="n/a","esxi.mgmt-6.hostname=","esxi.mgmt-6.hostname="&amp;'Hosts and Networks'!M6)</f>
        <v>esxi.mgmt-6.hostname=</v>
      </c>
    </row>
    <row r="108" spans="1:1">
      <c r="A108" s="5" t="str">
        <f>(IF('Hosts and Networks'!N7="n/a","esxi.mgmt-7.address=","esxi.mgmt-7.address="&amp;'Hosts and Networks'!N7))</f>
        <v>esxi.mgmt-7.address=</v>
      </c>
    </row>
    <row r="109" spans="1:1">
      <c r="A109" s="5" t="str">
        <f>IF('Hosts and Networks'!N6="n/a","esxi.mgmt-7.hostname=","esxi.mgmt-7.hostname="&amp;'Hosts and Networks'!N6)</f>
        <v>esxi.mgmt-7.hostname=</v>
      </c>
    </row>
    <row r="110" spans="1:1">
      <c r="A110" s="5" t="str">
        <f>IF('Hosts and Networks'!O7="n/a","esxi.mgmt-8.address=","esxi.mgmt-8.address="&amp;'Hosts and Networks'!O7)</f>
        <v>esxi.mgmt-8.address=</v>
      </c>
    </row>
    <row r="111" spans="1:1">
      <c r="A111" s="5" t="str">
        <f>IF('Hosts and Networks'!O6="n/a","esxi.mgmt-8.hostname=","esxi.mgmt-8.hostname="&amp;'Hosts and Networks'!O6)</f>
        <v>esxi.mgmt-8.hostname=</v>
      </c>
    </row>
    <row r="112" spans="1:1">
      <c r="A112" s="1" t="s">
        <v>89</v>
      </c>
    </row>
    <row r="113" spans="1:1">
      <c r="A113" s="5" t="str">
        <f>"mgmtVmotionNetwork.cidrNotation="&amp;'Hosts and Networks'!D8</f>
        <v>mgmtVmotionNetwork.cidrNotation=172.16.12.0/24</v>
      </c>
    </row>
    <row r="114" spans="1:1">
      <c r="A114" s="5" t="str">
        <f>"mgmtVmotionNetwork.gateway="&amp;'Hosts and Networks'!E8</f>
        <v>mgmtVmotionNetwork.gateway=172.16.12.253</v>
      </c>
    </row>
    <row r="115" spans="1:1">
      <c r="A115" s="5" t="str">
        <f>IF('Hosts and Networks'!H8="n/a","esx-mgmt-1VmotionVmkernelIp.address=","esx-mgmt-1VmotionVmkernelIp.address="&amp;'Hosts and Networks'!H8)</f>
        <v>esx-mgmt-1VmotionVmkernelIp.address=</v>
      </c>
    </row>
    <row r="116" spans="1:1">
      <c r="A116" s="5" t="str">
        <f>IF('Hosts and Networks'!I8="n/a","esx-mgmt-2VmotionVmkernelIp.address=","esx-mgmt-2VmotionVmkernelIp.address="&amp;'Hosts and Networks'!I8)</f>
        <v>esx-mgmt-2VmotionVmkernelIp.address=</v>
      </c>
    </row>
    <row r="117" spans="1:1">
      <c r="A117" s="5" t="str">
        <f>IF('Hosts and Networks'!J8="n/a","esx-mgmt-3VmotionVmkernelIp.address=","esx-mgmt-3VmotionVmkernelIp.address="&amp;'Hosts and Networks'!J8)</f>
        <v>esx-mgmt-3VmotionVmkernelIp.address=</v>
      </c>
    </row>
    <row r="118" spans="1:1">
      <c r="A118" s="5" t="str">
        <f>IF('Hosts and Networks'!K8="n/a","esx-mgmt-4VmotionVmkernelIp.address=","esx-mgmt-4VmotionVmkernelIp.address="&amp;'Hosts and Networks'!K8)</f>
        <v>esx-mgmt-4VmotionVmkernelIp.address=</v>
      </c>
    </row>
    <row r="119" spans="1:1">
      <c r="A119" s="5" t="str">
        <f>IF('Hosts and Networks'!L8="n/a","esx-mgmt-5VmotionVmkernelIp.address=","esx-mgmt-5VmotionVmkernelIp.address="&amp;'Hosts and Networks'!L8)</f>
        <v>esx-mgmt-5VmotionVmkernelIp.address=</v>
      </c>
    </row>
    <row r="120" spans="1:1">
      <c r="A120" s="5" t="str">
        <f>IF('Hosts and Networks'!M8="n/a","esx-mgmt-6VmotionVmkernelIp.address=","esx-mgmt-6VmotionVmkernelIp.address="&amp;'Hosts and Networks'!M8)</f>
        <v>esx-mgmt-6VmotionVmkernelIp.address=</v>
      </c>
    </row>
    <row r="121" spans="1:1">
      <c r="A121" s="5" t="str">
        <f>IF('Hosts and Networks'!N8="n/a","esx-mgmt-7VmotionVmkernelIp.address=","esx-mgmt-7VmotionVmkernelIp.address="&amp;'Hosts and Networks'!N8)</f>
        <v>esx-mgmt-7VmotionVmkernelIp.address=</v>
      </c>
    </row>
    <row r="122" spans="1:1">
      <c r="A122" s="5" t="str">
        <f>IF('Hosts and Networks'!O8="n/a","esx-mgmt-8VmotionVmkernelIp.address=","esx-mgmt-8VmotionVmkernelIp.address="&amp;'Hosts and Networks'!O8)</f>
        <v>esx-mgmt-8VmotionVmkernelIp.address=</v>
      </c>
    </row>
    <row r="123" spans="1:1">
      <c r="A123" s="1" t="s">
        <v>90</v>
      </c>
    </row>
    <row r="124" spans="1:1">
      <c r="A124" s="5" t="str">
        <f>IF('Hosts and Networks'!D9="n/a","mgmtVsanNetwork.cidrNotation=","mgmtVsanNetwork.cidrNotation="&amp;'Hosts and Networks'!D9)</f>
        <v>mgmtVsanNetwork.cidrNotation=172.16.13.0/24</v>
      </c>
    </row>
    <row r="125" spans="1:1">
      <c r="A125" s="5" t="str">
        <f>IF('Hosts and Networks'!E9="n/a","mgmtVsanNetwork.gateway=","mgmtVsanNetwork.gateway="&amp;'Hosts and Networks'!E9)</f>
        <v>mgmtVsanNetwork.gateway=172.16.13.253</v>
      </c>
    </row>
    <row r="126" spans="1:1">
      <c r="A126" s="5" t="str">
        <f>IF('Hosts and Networks'!H9="n/a","esx-mgmt-1VsanVmkernelIp.address=","esx-mgmt-1VsanVmkernelIp.address="&amp;'Hosts and Networks'!H9)</f>
        <v>esx-mgmt-1VsanVmkernelIp.address=</v>
      </c>
    </row>
    <row r="127" spans="1:1">
      <c r="A127" s="5" t="str">
        <f>IF('Hosts and Networks'!I9="n/a","esx-mgmt-2VsanVmkernelIp.address=","esx-mgmt-2VsanVmkernelIp.address="&amp;'Hosts and Networks'!I9)</f>
        <v>esx-mgmt-2VsanVmkernelIp.address=</v>
      </c>
    </row>
    <row r="128" spans="1:1">
      <c r="A128" s="5" t="str">
        <f>IF('Hosts and Networks'!J9="n/a","esx-mgmt-3VsanVmkernelIp.address=","esx-mgmt-3VsanVmkernelIp.address="&amp;'Hosts and Networks'!J9)</f>
        <v>esx-mgmt-3VsanVmkernelIp.address=</v>
      </c>
    </row>
    <row r="129" spans="1:1">
      <c r="A129" s="5" t="str">
        <f>IF('Hosts and Networks'!K9="n/a","esx-mgmt-4VsanVmkernelIp.address=","esx-mgmt-4VsanVmkernelIp.address="&amp;'Hosts and Networks'!K9)</f>
        <v>esx-mgmt-4VsanVmkernelIp.address=</v>
      </c>
    </row>
    <row r="130" spans="1:1">
      <c r="A130" s="5" t="str">
        <f>IF('Hosts and Networks'!L9="n/a","esx-mgmt-5VsanVmkernelIp.address=","esx-mgmt-5VsanVmkernelIp.address="&amp;'Hosts and Networks'!L9)</f>
        <v>esx-mgmt-5VsanVmkernelIp.address=</v>
      </c>
    </row>
    <row r="131" spans="1:1">
      <c r="A131" s="5" t="str">
        <f>IF('Hosts and Networks'!M9="n/a","esx-mgmt-6VsanVmkernelIp.address=","esx-mgmt-6VsanVmkernelIp.address="&amp;'Hosts and Networks'!M9)</f>
        <v>esx-mgmt-6VsanVmkernelIp.address=</v>
      </c>
    </row>
    <row r="132" spans="1:1">
      <c r="A132" s="5" t="str">
        <f>IF('Hosts and Networks'!N9="n/a","esx-mgmt-7VsanVmkernelIp.address=","esx-mgmt-7VsanVmkernelIp.address="&amp;'Hosts and Networks'!N9)</f>
        <v>esx-mgmt-7VsanVmkernelIp.address=</v>
      </c>
    </row>
    <row r="133" spans="1:1">
      <c r="A133" s="5" t="str">
        <f>IF('Hosts and Networks'!O9="n/a","esx-mgmt-8VsanVmkernelIp.address=","esx-mgmt-8VsanVmkernelIp.address="&amp;'Hosts and Networks'!O9)</f>
        <v>esx-mgmt-8VsanVmkernelIp.address=</v>
      </c>
    </row>
    <row r="134" spans="1:1" s="6" customFormat="1"/>
    <row r="135" spans="1:1">
      <c r="A135" s="1" t="s">
        <v>214</v>
      </c>
    </row>
    <row r="136" spans="1:1">
      <c r="A136" s="5" t="str">
        <f>IF('Hosts and Networks'!E10="n/a","vtepManagementNetwork.gateway=","vtepManagementNetwork.gateway="&amp;'Hosts and Networks'!E10)</f>
        <v>vtepManagementNetwork.gateway=</v>
      </c>
    </row>
    <row r="137" spans="1:1">
      <c r="A137" s="5" t="str">
        <f>"vtepManagementNetwork.primaryDns="&amp;'Deploy Parameters'!G6</f>
        <v>vtepManagementNetwork.primaryDns=172.16.11.4</v>
      </c>
    </row>
    <row r="138" spans="1:1">
      <c r="A138" s="5" t="str">
        <f>IF('Deploy Parameters'!G7="n/a","vtepManagementNetwork.secondaryDns=","vtepManagementNetwork.secondaryDns="&amp;'Deploy Parameters'!G7)</f>
        <v>vtepManagementNetwork.secondaryDns=</v>
      </c>
    </row>
    <row r="139" spans="1:1">
      <c r="A139" s="5" t="str">
        <f>IF('Deploy Parameters'!J6="n/a","vtepManagementNetwork.searchDomain="&amp;'Deploy Parameters'!J6:K6,"vtepManagementNetwork.searchDomain="&amp;'Deploy Parameters'!J6)</f>
        <v>vtepManagementNetwork.searchDomain=sfo01.rainpole.local</v>
      </c>
    </row>
    <row r="140" spans="1:1">
      <c r="A140" s="5" t="str">
        <f>IF('Hosts and Networks'!D10="n/a","vtepManagementNetwork.cidrNotation=","vtepManagementNetwork.cidrNotation="&amp;'Hosts and Networks'!D10)</f>
        <v>vtepManagementNetwork.cidrNotation=</v>
      </c>
    </row>
    <row r="141" spans="1:1">
      <c r="A141" s="6"/>
    </row>
    <row r="142" spans="1:1">
      <c r="A142" s="1" t="s">
        <v>117</v>
      </c>
    </row>
    <row r="143" spans="1:1">
      <c r="A143" s="5" t="str">
        <f>"nsx-management-vtep-ip-pool.startAddress="</f>
        <v>nsx-management-vtep-ip-pool.startAddress=</v>
      </c>
    </row>
    <row r="144" spans="1:1">
      <c r="A144" s="5" t="str">
        <f>"nsx-management-vtep-ip-pool.endAddress="</f>
        <v>nsx-management-vtep-ip-pool.endAddress=</v>
      </c>
    </row>
    <row r="146" spans="1:1">
      <c r="A146" s="3" t="s">
        <v>253</v>
      </c>
    </row>
    <row r="147" spans="1:1">
      <c r="A147" s="12" t="str">
        <f>IF('Deploy Parameters'!J29="n/a","mgmt-nsx-segment-id-range@rangeStart=","mgmt-nsx-segment-id-range@rangeStart="&amp;'Deploy Parameters'!J29)</f>
        <v>mgmt-nsx-segment-id-range@rangeStart=5000</v>
      </c>
    </row>
    <row r="148" spans="1:1">
      <c r="A148" s="12" t="str">
        <f>IF('Deploy Parameters'!K29="n/a","mgmt-nsx-segment-id-range@rangeEnd=","mgmt-nsx-segment-id-range@rangeEnd="&amp;'Deploy Parameters'!K29)</f>
        <v>mgmt-nsx-segment-id-range@rangeEnd=5200</v>
      </c>
    </row>
    <row r="150" spans="1:1">
      <c r="A150" s="1" t="s">
        <v>69</v>
      </c>
    </row>
    <row r="151" spans="1:1">
      <c r="A151" s="5" t="str">
        <f>IF('Deploy Parameters'!J15="n/a","mgmt-datacenter-name=","mgmt-datacenter-name="&amp;'Deploy Parameters'!J15)</f>
        <v>mgmt-datacenter-name=sfo01-m01-dc</v>
      </c>
    </row>
    <row r="152" spans="1:1">
      <c r="A152" s="5" t="str">
        <f>IF('Deploy Parameters'!J16="n/a","management-cluster-name=","management-cluster-name="&amp;'Deploy Parameters'!J16)</f>
        <v>management-cluster-name=sfo01-m01-mgmt01</v>
      </c>
    </row>
    <row r="154" spans="1:1">
      <c r="A154" s="1" t="s">
        <v>70</v>
      </c>
    </row>
    <row r="155" spans="1:1">
      <c r="A155" s="1" t="s">
        <v>71</v>
      </c>
    </row>
    <row r="156" spans="1:1">
      <c r="A156" s="1" t="s">
        <v>72</v>
      </c>
    </row>
    <row r="157" spans="1:1">
      <c r="A157" s="5" t="str">
        <f>IF('Deploy Parameters'!K16="n/a","evc-mode-management-cluster@value=","evc-mode-management-cluster@value="&amp;'Deploy Parameters'!K16)</f>
        <v>evc-mode-management-cluster@value=</v>
      </c>
    </row>
    <row r="159" spans="1:1">
      <c r="A159" s="1" t="s">
        <v>159</v>
      </c>
    </row>
    <row r="160" spans="1:1">
      <c r="A160" s="14" t="str">
        <f>IF('Deploy Parameters'!J25="n/a","management-host-profile-name@value=","management-host-profile-name@value="&amp;'Deploy Parameters'!J25)</f>
        <v>management-host-profile-name@value=sfo01-w01-user-edge</v>
      </c>
    </row>
    <row r="161" spans="1:1">
      <c r="A161" s="15"/>
    </row>
    <row r="162" spans="1:1">
      <c r="A162" s="1" t="s">
        <v>168</v>
      </c>
    </row>
    <row r="163" spans="1:1">
      <c r="A163" s="14" t="str">
        <f>IF('Deploy Parameters'!F11="n/a","mgmt-vm-folder-name@value=","mgmt-vm-folder-name@value="&amp;'Deploy Parameters'!F11&amp;"-m01fd-mgmt")</f>
        <v>mgmt-vm-folder-name@value=sfo01-m01fd-mgmt</v>
      </c>
    </row>
    <row r="164" spans="1:1">
      <c r="A164" s="14" t="str">
        <f>IF('Deploy Parameters'!F11="n/a","nsx-vm-folder-name@value=","nsx-vm-folder-name@value="&amp;'Deploy Parameters'!F11&amp;"-m01fd-nsx")</f>
        <v>nsx-vm-folder-name@value=sfo01-m01fd-nsx</v>
      </c>
    </row>
    <row r="165" spans="1:1">
      <c r="A165" s="14" t="str">
        <f>IF('Deploy Parameters'!F11="n/a","availability-vm-folder-name@value=","availability-vm-folder-name@value="&amp;'Deploy Parameters'!F11&amp;"-m01fd-bcdr")</f>
        <v>availability-vm-folder-name@value=sfo01-m01fd-bcdr</v>
      </c>
    </row>
    <row r="166" spans="1:1">
      <c r="A166" s="14" t="str">
        <f>IF('Deploy Parameters'!F11="n/a","vra-vm-folder-name@value=","vra-vm-folder-name@value="&amp;'Deploy Parameters'!F11&amp;"-m01fd-vra")</f>
        <v>vra-vm-folder-name@value=sfo01-m01fd-vra</v>
      </c>
    </row>
    <row r="167" spans="1:1">
      <c r="A167" s="14" t="str">
        <f>IF('Deploy Parameters'!F11="n/a","vra-ias-vm-folder-name@value=","vra-ias-vm-folder-name@value="&amp;'Deploy Parameters'!F11&amp;"-m01fd-vraias")</f>
        <v>vra-ias-vm-folder-name@value=sfo01-m01fd-vraias</v>
      </c>
    </row>
    <row r="168" spans="1:1">
      <c r="A168" s="14" t="str">
        <f>IF('Deploy Parameters'!F11="n/a","vrops-vm-folder-name@value=","vrops-vm-folder-name@value="&amp;'Deploy Parameters'!F11&amp;"-m01fd-vrops")</f>
        <v>vrops-vm-folder-name@value=sfo01-m01fd-vrops</v>
      </c>
    </row>
    <row r="169" spans="1:1">
      <c r="A169" s="14" t="str">
        <f>IF('Deploy Parameters'!F11="n/a","vrops-rc-vm-folder-name@value=","vrops-rc-vm-folder-name@value="&amp;'Deploy Parameters'!F11&amp;"-m01fd-vropsrc")</f>
        <v>vrops-rc-vm-folder-name@value=sfo01-m01fd-vropsrc</v>
      </c>
    </row>
    <row r="170" spans="1:1">
      <c r="A170" s="14" t="str">
        <f>IF('Deploy Parameters'!F11="n/a","vrli-vm-folder-name@value=","vrli-vm-folder-name@value="&amp;'Deploy Parameters'!F11&amp;"-m01fd-vrli")</f>
        <v>vrli-vm-folder-name@value=sfo01-m01fd-vrli</v>
      </c>
    </row>
    <row r="171" spans="1:1">
      <c r="A171" s="15"/>
    </row>
    <row r="172" spans="1:1">
      <c r="A172" s="1" t="s">
        <v>324</v>
      </c>
    </row>
    <row r="173" spans="1:1">
      <c r="A173" s="14" t="str">
        <f>IF('Deploy Parameters'!J23="n/a","vsphere-resource-pools[1]=","vsphere-resource-pools[1]="&amp;'Deploy Parameters'!J23)</f>
        <v>vsphere-resource-pools[1]=sfo01-w01-sddc-mgmt</v>
      </c>
    </row>
    <row r="174" spans="1:1">
      <c r="A174" s="14" t="str">
        <f>IF('Deploy Parameters'!J24="n/a","vsphere-resource-pools[2]=","vsphere-resource-pools[2]="&amp;'Deploy Parameters'!J24)</f>
        <v>vsphere-resource-pools[2]=sfo01-w01-sddc-edge</v>
      </c>
    </row>
    <row r="175" spans="1:1">
      <c r="A175" s="14" t="str">
        <f>IF('Deploy Parameters'!J25="n/a","vsphere-resource-pools[3]=","vsphere-resource-pools[3]="&amp;'Deploy Parameters'!J25)</f>
        <v>vsphere-resource-pools[3]=sfo01-w01-user-edge</v>
      </c>
    </row>
    <row r="176" spans="1:1">
      <c r="A176" s="14" t="str">
        <f>IF('Deploy Parameters'!J26="n/a","vsphere-resource-pools[4]=","vsphere-resource-pools[4]="&amp;'Deploy Parameters'!J26)</f>
        <v>vsphere-resource-pools[4]=sfo01-w01-user-vm</v>
      </c>
    </row>
    <row r="177" spans="1:1">
      <c r="A177" s="15"/>
    </row>
    <row r="178" spans="1:1">
      <c r="A178" s="1" t="s">
        <v>100</v>
      </c>
    </row>
    <row r="179" spans="1:1" ht="16">
      <c r="A179" s="8" t="str">
        <f>IF('Deploy Parameters'!J18="n/a","vds-management-initial-configuration@dvSwitchName=","vds-management-initial-configuration@dvSwitchName="&amp;'Deploy Parameters'!J18)</f>
        <v>vds-management-initial-configuration@dvSwitchName=sfo01-m01-vds</v>
      </c>
    </row>
    <row r="180" spans="1:1">
      <c r="A180" s="1" t="s">
        <v>130</v>
      </c>
    </row>
    <row r="181" spans="1:1">
      <c r="A181" s="5" t="str">
        <f>IF('Hosts and Networks'!C7="n/a","vds-management-initial-configuration@dvPortGroups[1].name=","vds-management-initial-configuration@dvPortGroups[1].name="&amp;'Hosts and Networks'!C7)</f>
        <v>vds-management-initial-configuration@dvPortGroups[1].name=SDDC-DPortGroup-Mgmt</v>
      </c>
    </row>
    <row r="182" spans="1:1">
      <c r="A182" s="5" t="str">
        <f>IF('Hosts and Networks'!C9="n/a","vds-management-initial-configuration@dvPortGroups[2].name=","vds-management-initial-configuration@dvPortGroups[2].name="&amp;'Hosts and Networks'!C9)</f>
        <v xml:space="preserve">vds-management-initial-configuration@dvPortGroups[2].name=SDDC-DPortGroup-VSAN </v>
      </c>
    </row>
    <row r="183" spans="1:1">
      <c r="A183" s="5" t="str">
        <f>IF('Hosts and Networks'!C8="n/a","vds-management-initial-configuration@dvPortGroups[3].name=","vds-management-initial-configuration@dvPortGroups[3].name="&amp;'Hosts and Networks'!C8)</f>
        <v>vds-management-initial-configuration@dvPortGroups[3].name=SDDC-DPortGroup-vMotion</v>
      </c>
    </row>
    <row r="185" spans="1:1">
      <c r="A185" s="1" t="s">
        <v>27</v>
      </c>
    </row>
    <row r="186" spans="1:1">
      <c r="A186" s="5" t="str">
        <f>IF('Hosts and Networks'!E7="n/a","managementNetwork.gateway=","managementNetwork.gateway="&amp;'Hosts and Networks'!E7)</f>
        <v xml:space="preserve">managementNetwork.gateway=172.16.11.253 </v>
      </c>
    </row>
    <row r="187" spans="1:1">
      <c r="A187" s="5" t="str">
        <f>"managementNetwork.primaryDns="&amp;'Deploy Parameters'!G6</f>
        <v>managementNetwork.primaryDns=172.16.11.4</v>
      </c>
    </row>
    <row r="188" spans="1:1">
      <c r="A188" s="5" t="str">
        <f>IF('Deploy Parameters'!G7="n/a","managementNetwork.secondaryDns=","managementNetwork.secondaryDns="&amp;'Deploy Parameters'!G7)</f>
        <v>managementNetwork.secondaryDns=</v>
      </c>
    </row>
    <row r="189" spans="1:1">
      <c r="A189" s="5" t="str">
        <f>IF('Deploy Parameters'!J6="n/a","managementNetwork.searchDomain="&amp;'Deploy Parameters'!J6,"managementNetwork.searchDomain="&amp;'Deploy Parameters'!J6)</f>
        <v>managementNetwork.searchDomain=sfo01.rainpole.local</v>
      </c>
    </row>
    <row r="190" spans="1:1">
      <c r="A190" s="5" t="str">
        <f>"managementNetwork.cidrNotation="&amp;'Hosts and Networks'!D7</f>
        <v>managementNetwork.cidrNotation=172.16.11.0/24</v>
      </c>
    </row>
    <row r="192" spans="1:1">
      <c r="A192" s="1" t="s">
        <v>29</v>
      </c>
    </row>
    <row r="193" spans="1:1">
      <c r="A193" s="5" t="str">
        <f>"nsx-controllers-ip-pool.startAddress="&amp;'Deploy Parameters'!G30</f>
        <v>nsx-controllers-ip-pool.startAddress=172.16.11.118</v>
      </c>
    </row>
    <row r="194" spans="1:1">
      <c r="A194" s="5" t="str">
        <f>"nsx-controllers-ip-pool.endAddress="&amp;'Deploy Parameters'!G31</f>
        <v>nsx-controllers-ip-pool.endAddress=172.16.11.120</v>
      </c>
    </row>
    <row r="196" spans="1:1">
      <c r="A196" s="1" t="s">
        <v>176</v>
      </c>
    </row>
    <row r="197" spans="1:1">
      <c r="A197" s="5" t="str">
        <f>"nsxControllers.mgmt="&amp;'Deploy Parameters'!F11&amp;"m01nsxc0%s"</f>
        <v>nsxControllers.mgmt=sfo01m01nsxc0%s</v>
      </c>
    </row>
    <row r="198" spans="1:1">
      <c r="A198" s="6"/>
    </row>
    <row r="199" spans="1:1">
      <c r="A199" s="1" t="s">
        <v>77</v>
      </c>
    </row>
    <row r="200" spans="1:1">
      <c r="A200" s="1" t="s">
        <v>79</v>
      </c>
    </row>
    <row r="201" spans="1:1">
      <c r="A201" s="5" t="str">
        <f>"vlan-mgmt-management.vlanId="&amp;'Hosts and Networks'!B7</f>
        <v>vlan-mgmt-management.vlanId=1611</v>
      </c>
    </row>
    <row r="202" spans="1:1">
      <c r="A202" s="1" t="s">
        <v>78</v>
      </c>
    </row>
    <row r="203" spans="1:1">
      <c r="A203" s="5" t="str">
        <f>IF('Hosts and Networks'!B8="n/a","vlan-management-vmotion.vlanId=","vlan-management-vmotion.vlanId="&amp;'Hosts and Networks'!B8)</f>
        <v>vlan-management-vmotion.vlanId=1612</v>
      </c>
    </row>
    <row r="204" spans="1:1">
      <c r="A204" s="1" t="s">
        <v>80</v>
      </c>
    </row>
    <row r="205" spans="1:1">
      <c r="A205" s="5" t="str">
        <f>IF('Hosts and Networks'!B9="n/a","vlan-management-vsan.vlanId=","vlan-management-vsan.vlanId="&amp;'Hosts and Networks'!B9)</f>
        <v>vlan-management-vsan.vlanId=1613</v>
      </c>
    </row>
    <row r="206" spans="1:1">
      <c r="A206" s="1" t="s">
        <v>216</v>
      </c>
    </row>
    <row r="207" spans="1:1">
      <c r="A207" s="5" t="str">
        <f>"vlan-management-vxlan.vlanId="&amp;'Hosts and Networks'!B10</f>
        <v>vlan-management-vxlan.vlanId=1614</v>
      </c>
    </row>
    <row r="209" spans="1:1">
      <c r="A209" s="1" t="s">
        <v>234</v>
      </c>
    </row>
    <row r="210" spans="1:1">
      <c r="A210" s="5" t="str">
        <f>IF('Hosts and Networks'!D14="n/a","inclusion-range-start-vmotion01=","inclusion-range-start-vmotion01="&amp;'Hosts and Networks'!D14)</f>
        <v>inclusion-range-start-vmotion01=172.16.12.101</v>
      </c>
    </row>
    <row r="211" spans="1:1">
      <c r="A211" s="5" t="str">
        <f>IF('Hosts and Networks'!E14="n/a","inclusion-range-end-vmotion01=","inclusion-range-end-vmotion01="&amp;'Hosts and Networks'!E14)</f>
        <v>inclusion-range-end-vmotion01=172.16.12.104</v>
      </c>
    </row>
    <row r="212" spans="1:1">
      <c r="A212" s="5" t="str">
        <f>IF('Hosts and Networks'!D15="n/a","inclusion-range-start-vmotion02=","inclusion-range-start-vmotion02="&amp;'Hosts and Networks'!D15)</f>
        <v>inclusion-range-start-vmotion02=</v>
      </c>
    </row>
    <row r="213" spans="1:1">
      <c r="A213" s="5" t="str">
        <f>IF('Hosts and Networks'!E15="n/a","inclusion-range-end-vmotion02=","inclusion-range-end-vmotion02="&amp;'Hosts and Networks'!E15)</f>
        <v>inclusion-range-end-vmotion02=</v>
      </c>
    </row>
    <row r="214" spans="1:1">
      <c r="A214" s="5" t="str">
        <f>IF('Hosts and Networks'!D16="n/a","inclusion-ips-vmotion=","inclusion-ips-vmotion="&amp;'Hosts and Networks'!D16)</f>
        <v>inclusion-ips-vmotion=</v>
      </c>
    </row>
    <row r="215" spans="1:1">
      <c r="A215" s="5" t="str">
        <f>IF('Hosts and Networks'!D17="n/a","inclusion-range-start-vsan01=","inclusion-range-start-vsan01="&amp;'Hosts and Networks'!D17)</f>
        <v>inclusion-range-start-vsan01=172.16.13.101</v>
      </c>
    </row>
    <row r="216" spans="1:1">
      <c r="A216" s="5" t="str">
        <f>IF('Hosts and Networks'!E17="n/a","inclusion-range-end-vsan01=","inclusion-range-end-vsan01="&amp;'Hosts and Networks'!E17)</f>
        <v>inclusion-range-end-vsan01=172.16.13.104</v>
      </c>
    </row>
    <row r="217" spans="1:1">
      <c r="A217" s="5" t="str">
        <f>IF('Hosts and Networks'!D18="n/a","inclusion-range-start-vsan02=","inclusion-range-start-vsan02="&amp;'Hosts and Networks'!D18)</f>
        <v>inclusion-range-start-vsan02=</v>
      </c>
    </row>
    <row r="218" spans="1:1">
      <c r="A218" s="5" t="str">
        <f>IF('Hosts and Networks'!E18="n/a","inclusion-range-end-vsan02=","inclusion-range-end-vsan02="&amp;'Hosts and Networks'!E18)</f>
        <v>inclusion-range-end-vsan02=</v>
      </c>
    </row>
    <row r="219" spans="1:1">
      <c r="A219" s="5" t="str">
        <f>IF('Hosts and Networks'!D19="n/a","inclusion-ips-vsan=","inclusion-ips-vsan="&amp;'Hosts and Networks'!D19)</f>
        <v>inclusion-ips-vsan=</v>
      </c>
    </row>
    <row r="221" spans="1:1">
      <c r="A221" s="1" t="s">
        <v>81</v>
      </c>
    </row>
    <row r="222" spans="1:1">
      <c r="A222" s="1" t="s">
        <v>82</v>
      </c>
    </row>
    <row r="223" spans="1:1">
      <c r="A223" s="5" t="str">
        <f>"vlan-mgmt-management-mtu@mtu="&amp;'Hosts and Networks'!F7</f>
        <v>vlan-mgmt-management-mtu@mtu=1500</v>
      </c>
    </row>
    <row r="224" spans="1:1" s="2" customFormat="1">
      <c r="A224" s="2" t="s">
        <v>123</v>
      </c>
    </row>
    <row r="225" spans="1:1" s="2" customFormat="1">
      <c r="A225" s="4" t="str">
        <f>"vlan-management-vmotion-mtu@mtu="&amp;'Hosts and Networks'!F8</f>
        <v>vlan-management-vmotion-mtu@mtu=9000</v>
      </c>
    </row>
    <row r="226" spans="1:1" s="2" customFormat="1">
      <c r="A226" s="2" t="s">
        <v>124</v>
      </c>
    </row>
    <row r="227" spans="1:1" s="2" customFormat="1">
      <c r="A227" s="4" t="str">
        <f>IF('Hosts and Networks'!F9="n/a","vlan-management-vsan-mtu@mtu=","vlan-management-vsan-mtu@mtu="&amp;'Hosts and Networks'!F9)</f>
        <v>vlan-management-vsan-mtu@mtu=9000</v>
      </c>
    </row>
    <row r="228" spans="1:1" s="2" customFormat="1">
      <c r="A228" s="2" t="s">
        <v>217</v>
      </c>
    </row>
    <row r="229" spans="1:1">
      <c r="A229" s="7" t="str">
        <f>"vds-mtu@mtu="&amp;'Hosts and Networks'!F10</f>
        <v>vds-mtu@mtu=9000</v>
      </c>
    </row>
    <row r="230" spans="1:1">
      <c r="A230" s="2" t="s">
        <v>384</v>
      </c>
    </row>
    <row r="231" spans="1:1">
      <c r="A231" s="7" t="str">
        <f>"dvs-mtu@mtu="&amp;'Deploy Parameters'!J19</f>
        <v>dvs-mtu@mtu=9000</v>
      </c>
    </row>
    <row r="232" spans="1:1" s="6" customFormat="1"/>
    <row r="233" spans="1:1">
      <c r="A233" s="1" t="s">
        <v>28</v>
      </c>
    </row>
    <row r="234" spans="1:1">
      <c r="A234" s="5" t="str">
        <f>"vcenterManagementIp.address="&amp;'Deploy Parameters'!G15</f>
        <v>vcenterManagementIp.address=172.16.11.62</v>
      </c>
    </row>
    <row r="235" spans="1:1">
      <c r="A235" s="5" t="str">
        <f>"vcenterManagementPscIp1.address="&amp;'Deploy Parameters'!G16</f>
        <v>vcenterManagementPscIp1.address=172.16.11.61</v>
      </c>
    </row>
    <row r="236" spans="1:1">
      <c r="A236" s="5" t="str">
        <f>"vcenterComputePscIp1.address="&amp;'Deploy Parameters'!G17</f>
        <v>vcenterComputePscIp1.address=172.16.11.63</v>
      </c>
    </row>
    <row r="237" spans="1:1">
      <c r="A237" s="5" t="str">
        <f>"nsxManagementIp.address="&amp;'Deploy Parameters'!G29</f>
        <v>nsxManagementIp.address=172.16.11.64</v>
      </c>
    </row>
    <row r="238" spans="1:1">
      <c r="A238" s="6"/>
    </row>
    <row r="239" spans="1:1">
      <c r="A239" s="1" t="s">
        <v>75</v>
      </c>
    </row>
    <row r="240" spans="1:1">
      <c r="A240" s="5" t="str">
        <f>"vcenter-mgmt-deployment-vmname="&amp;'Deploy Parameters'!F15</f>
        <v>vcenter-mgmt-deployment-vmname=sfo01m01vc01</v>
      </c>
    </row>
    <row r="241" spans="1:1">
      <c r="A241" s="5" t="str">
        <f>"psc-vcenter-mgmt-deployment-vmname="&amp;'Deploy Parameters'!F16</f>
        <v>psc-vcenter-mgmt-deployment-vmname=sfo01m01psc01</v>
      </c>
    </row>
    <row r="242" spans="1:1">
      <c r="A242" s="5" t="str">
        <f>"nsx-mgmt-deployment-vmname="&amp;'Deploy Parameters'!F29</f>
        <v>nsx-mgmt-deployment-vmname=sfo01m01nsx01</v>
      </c>
    </row>
    <row r="243" spans="1:1">
      <c r="A243" s="5" t="str">
        <f>"psc-vcenter-compute-deployment-vmname="&amp;'Deploy Parameters'!F17</f>
        <v>psc-vcenter-compute-deployment-vmname=sfo01w01psc01</v>
      </c>
    </row>
    <row r="244" spans="1:1" s="6" customFormat="1"/>
    <row r="245" spans="1:1">
      <c r="A245" s="1" t="s">
        <v>166</v>
      </c>
    </row>
    <row r="246" spans="1:1">
      <c r="A246" s="5" t="str">
        <f>"sddc-edge-resource-pool@resourcePoolName="&amp;'Deploy Parameters'!F11&amp;"-w01rp-sddc-edge"</f>
        <v>sddc-edge-resource-pool@resourcePoolName=sfo01-w01rp-sddc-edge</v>
      </c>
    </row>
    <row r="247" spans="1:1">
      <c r="A247" s="5" t="str">
        <f>"user-edge-resource-pool@resourcePoolName="&amp;'Deploy Parameters'!F11&amp;"-w01rp-user-edge"</f>
        <v>user-edge-resource-pool@resourcePoolName=sfo01-w01rp-user-edge</v>
      </c>
    </row>
    <row r="248" spans="1:1">
      <c r="A248" s="5" t="str">
        <f>"user-vm-resource-pool@resourcePoolName="&amp;'Deploy Parameters'!F11&amp;"-w01rp-vm-edge"</f>
        <v>user-vm-resource-pool@resourcePoolName=sfo01-w01rp-vm-edge</v>
      </c>
    </row>
    <row r="251" spans="1:1">
      <c r="A251" s="1" t="s">
        <v>229</v>
      </c>
    </row>
    <row r="252" spans="1:1">
      <c r="A252" s="1" t="s">
        <v>230</v>
      </c>
    </row>
    <row r="253" spans="1:1">
      <c r="A253" s="5" t="str">
        <f>"logInsightMasterIp.address="&amp;'Deploy Parameters'!G36</f>
        <v>logInsightMasterIp.address=172.16.11.11</v>
      </c>
    </row>
    <row r="254" spans="1:1">
      <c r="A254" s="5" t="str">
        <f>"logInsightWorker1Ip.address="&amp;'Deploy Parameters'!G37</f>
        <v>logInsightWorker1Ip.address=172.16.11.12</v>
      </c>
    </row>
    <row r="255" spans="1:1">
      <c r="A255" s="5" t="str">
        <f>"logInsightWorker2Ip.address="&amp;'Deploy Parameters'!G38</f>
        <v>logInsightWorker2Ip.address=172.16.11.13</v>
      </c>
    </row>
    <row r="256" spans="1:1">
      <c r="A256" s="5" t="str">
        <f>"logInsightLoadBalancedIp.address="&amp;'Deploy Parameters'!G35</f>
        <v>logInsightLoadBalancedIp.address=172.16.11.10</v>
      </c>
    </row>
    <row r="257" spans="1:1">
      <c r="A257" s="1" t="s">
        <v>231</v>
      </c>
    </row>
    <row r="258" spans="1:1">
      <c r="A258" s="5" t="str">
        <f>"logInsight-master-deployment-vmname="&amp;'Deploy Parameters'!F36</f>
        <v>logInsight-master-deployment-vmname=sfo01vrli01a</v>
      </c>
    </row>
    <row r="259" spans="1:1">
      <c r="A259" s="5" t="str">
        <f>"logInsight-worker-1-deployment-vmname="&amp;'Deploy Parameters'!F37</f>
        <v>logInsight-worker-1-deployment-vmname=sfo01vrli01b</v>
      </c>
    </row>
    <row r="260" spans="1:1">
      <c r="A260" s="5" t="str">
        <f>"logInsight-worker-2-deployment-vmname="&amp;'Deploy Parameters'!F38</f>
        <v>logInsight-worker-2-deployment-vmname=sfo01vrli01c</v>
      </c>
    </row>
    <row r="261" spans="1:1" s="178" customFormat="1">
      <c r="A261" s="179"/>
    </row>
    <row r="262" spans="1:1">
      <c r="A262" s="1" t="s">
        <v>241</v>
      </c>
    </row>
    <row r="263" spans="1:1">
      <c r="A263" s="5" t="str">
        <f>"log-insight-admin-credentials@password="&amp;'Users and Groups'!C14</f>
        <v>log-insight-admin-credentials@password=</v>
      </c>
    </row>
    <row r="264" spans="1:1">
      <c r="A264" s="1" t="s">
        <v>242</v>
      </c>
    </row>
    <row r="265" spans="1:1">
      <c r="A265" s="5" t="str">
        <f>"log-insight-root-credentials@password="&amp;'Users and Groups'!C15</f>
        <v>log-insight-root-credentials@password=</v>
      </c>
    </row>
    <row r="266" spans="1:1" s="178" customFormat="1">
      <c r="A266" s="179"/>
    </row>
    <row r="267" spans="1:1" s="178" customFormat="1">
      <c r="A267" s="179"/>
    </row>
    <row r="268" spans="1:1">
      <c r="A268" s="1" t="s">
        <v>105</v>
      </c>
    </row>
    <row r="269" spans="1:1">
      <c r="A269" s="1" t="s">
        <v>106</v>
      </c>
    </row>
    <row r="270" spans="1:1">
      <c r="A270" s="5" t="str">
        <f>"local-dns-records@records['vcenterManagementPscIp1']="&amp;'Deploy Parameters'!F16</f>
        <v>local-dns-records@records['vcenterManagementPscIp1']=sfo01m01psc01</v>
      </c>
    </row>
    <row r="271" spans="1:1">
      <c r="A271" s="5" t="str">
        <f>"local-dns-records@records['vcenterManagementIp']="&amp;'Deploy Parameters'!F15</f>
        <v>local-dns-records@records['vcenterManagementIp']=sfo01m01vc01</v>
      </c>
    </row>
    <row r="272" spans="1:1">
      <c r="A272" s="5" t="str">
        <f>"local-dns-records@records['vcenterComputePscIp1']="&amp;'Deploy Parameters'!F17</f>
        <v>local-dns-records@records['vcenterComputePscIp1']=sfo01w01psc01</v>
      </c>
    </row>
    <row r="273" spans="1:1">
      <c r="A273" s="5" t="str">
        <f>"local-dns-records@records['nsxManagementIp']="&amp;'Deploy Parameters'!F29</f>
        <v>local-dns-records@records['nsxManagementIp']=sfo01m01nsx01</v>
      </c>
    </row>
    <row r="274" spans="1:1">
      <c r="A274" s="5" t="str">
        <f>IF('Deploy Parameters'!J7="child","root-dns-records@zoneName="&amp;'Deploy Parameters'!#REF!,"root-dns-records@zoneName="&amp;'Deploy Parameters'!J6)</f>
        <v>root-dns-records@zoneName=sfo01.rainpole.local</v>
      </c>
    </row>
    <row r="275" spans="1:1">
      <c r="A275" s="5" t="str">
        <f>IF('Deploy Parameters'!J6="n/a","local-dns-records@zoneName="&amp;'Deploy Parameters'!J6,"local-dns-records@zoneName="&amp;'Deploy Parameters'!J6)</f>
        <v>local-dns-records@zoneName=sfo01.rainpole.local</v>
      </c>
    </row>
    <row r="277" spans="1:1">
      <c r="A277" s="1" t="s">
        <v>232</v>
      </c>
    </row>
    <row r="278" spans="1:1">
      <c r="A278" s="5" t="str">
        <f>"local-dns-records@records['logInsightLoadBalancedIp']="&amp;'Deploy Parameters'!F35</f>
        <v>local-dns-records@records['logInsightLoadBalancedIp']=sfo01vrli01</v>
      </c>
    </row>
    <row r="279" spans="1:1">
      <c r="A279" s="5" t="str">
        <f>"local-dns-records@records['logInsightMasterIp']="&amp;'Deploy Parameters'!F36</f>
        <v>local-dns-records@records['logInsightMasterIp']=sfo01vrli01a</v>
      </c>
    </row>
    <row r="280" spans="1:1">
      <c r="A280" s="5" t="str">
        <f>"local-dns-records@records['logInsightWorker1Ip']="&amp;'Deploy Parameters'!F37</f>
        <v>local-dns-records@records['logInsightWorker1Ip']=sfo01vrli01b</v>
      </c>
    </row>
    <row r="281" spans="1:1">
      <c r="A281" s="5" t="str">
        <f>"local-dns-records@records['logInsightWorker2Ip']="&amp;'Deploy Parameters'!F38</f>
        <v>local-dns-records@records['logInsightWorker2Ip']=sfo01vrli01c</v>
      </c>
    </row>
    <row r="284" spans="1:1">
      <c r="A284" s="1" t="s">
        <v>182</v>
      </c>
    </row>
    <row r="285" spans="1:1" customFormat="1">
      <c r="A285" t="s">
        <v>118</v>
      </c>
    </row>
    <row r="286" spans="1:1">
      <c r="A286" t="s">
        <v>342</v>
      </c>
    </row>
    <row r="287" spans="1:1">
      <c r="A287" s="10" t="str">
        <f>"vcenter-mgmt-deployment@deploymentModel="&amp;'Deploy Parameters'!F18</f>
        <v>vcenter-mgmt-deployment@deploymentModel=small</v>
      </c>
    </row>
    <row r="288" spans="1:1">
      <c r="A288" s="11" t="s">
        <v>183</v>
      </c>
    </row>
    <row r="289" spans="1:1">
      <c r="A289" s="10" t="str">
        <f>"logInsight-deployment@deploymentModel="&amp;'Deploy Parameters'!F39</f>
        <v>logInsight-deployment@deploymentModel=medium</v>
      </c>
    </row>
    <row r="290" spans="1:1">
      <c r="A290" s="3"/>
    </row>
    <row r="291" spans="1:1">
      <c r="A291" s="1" t="s">
        <v>107</v>
      </c>
    </row>
  </sheetData>
  <sheetProtection sheet="1" objects="1" scenarios="1"/>
  <conditionalFormatting sqref="A232:A250 A1:A10 A142:A145 A13:A39 A41:A59 A266:A284 A149:A228 A286:A1048576 A61:A134">
    <cfRule type="beginsWith" dxfId="11" priority="20" operator="beginsWith" text="#">
      <formula>LEFT(A1,LEN("#"))="#"</formula>
    </cfRule>
  </conditionalFormatting>
  <conditionalFormatting sqref="A285">
    <cfRule type="beginsWith" dxfId="10" priority="17" operator="beginsWith" text="#">
      <formula>LEFT(A285,LEN("#"))="#"</formula>
    </cfRule>
  </conditionalFormatting>
  <conditionalFormatting sqref="A135:A141">
    <cfRule type="beginsWith" dxfId="9" priority="16" operator="beginsWith" text="#">
      <formula>LEFT(A135,LEN("#"))="#"</formula>
    </cfRule>
  </conditionalFormatting>
  <conditionalFormatting sqref="A206:A207">
    <cfRule type="beginsWith" dxfId="8" priority="15" operator="beginsWith" text="#">
      <formula>LEFT(A206,LEN("#"))="#"</formula>
    </cfRule>
  </conditionalFormatting>
  <conditionalFormatting sqref="A229">
    <cfRule type="beginsWith" dxfId="7" priority="14" operator="beginsWith" text="#">
      <formula>LEFT(A229,LEN("#"))="#"</formula>
    </cfRule>
  </conditionalFormatting>
  <conditionalFormatting sqref="A251:A261">
    <cfRule type="beginsWith" dxfId="6" priority="13" operator="beginsWith" text="#">
      <formula>LEFT(A251,LEN("#"))="#"</formula>
    </cfRule>
  </conditionalFormatting>
  <conditionalFormatting sqref="A11:A12">
    <cfRule type="beginsWith" dxfId="5" priority="11" operator="beginsWith" text="#">
      <formula>LEFT(A11,LEN("#"))="#"</formula>
    </cfRule>
  </conditionalFormatting>
  <conditionalFormatting sqref="A262:A265">
    <cfRule type="beginsWith" dxfId="4" priority="10" operator="beginsWith" text="#">
      <formula>LEFT(A262,LEN("#"))="#"</formula>
    </cfRule>
  </conditionalFormatting>
  <conditionalFormatting sqref="A146:A148">
    <cfRule type="beginsWith" dxfId="3" priority="6" operator="beginsWith" text="#">
      <formula>LEFT(A146,LEN("#"))="#"</formula>
    </cfRule>
  </conditionalFormatting>
  <conditionalFormatting sqref="A230">
    <cfRule type="beginsWith" dxfId="2" priority="3" operator="beginsWith" text="#">
      <formula>LEFT(A230,LEN("#"))="#"</formula>
    </cfRule>
  </conditionalFormatting>
  <conditionalFormatting sqref="A231">
    <cfRule type="beginsWith" dxfId="1" priority="2" operator="beginsWith" text="#">
      <formula>LEFT(A231,LEN("#"))="#"</formula>
    </cfRule>
  </conditionalFormatting>
  <conditionalFormatting sqref="A60">
    <cfRule type="beginsWith" dxfId="0" priority="1" operator="beginsWith" text="#">
      <formula>LEFT(A60,LEN("#"))="#"</formula>
    </cfRule>
  </conditionalFormatting>
  <hyperlinks>
    <hyperlink ref="A72" r:id="rId1" display="management-vsan-datastore-name@value=" xr:uid="{00000000-0004-0000-0700-000000000000}"/>
    <hyperlink ref="A63" r:id="rId2" display="physical-nic-dedicated-to-dvs@value=vmnic1" xr:uid="{00000000-0004-0000-0700-000001000000}"/>
    <hyperlink ref="A65" r:id="rId3" display="vm-kernel-adapter-management-name@value=vmk0" xr:uid="{00000000-0004-0000-0700-000002000000}"/>
    <hyperlink ref="A179" r:id="rId4" display="vds-management-initial-configuration@dvSwitchName&quot;" xr:uid="{00000000-0004-0000-0700-000003000000}"/>
    <hyperlink ref="A24" r:id="rId5" display="sso-site-name@value=" xr:uid="{00000000-0004-0000-0700-000004000000}"/>
    <hyperlink ref="A229" r:id="rId6" display="vds-mtu@mtu" xr:uid="{00000000-0004-0000-0700-000005000000}"/>
    <hyperlink ref="A231" r:id="rId7" display="vds-mtu@mtu" xr:uid="{EC666B29-CFE8-CA42-8681-324E6D44462A}"/>
  </hyperlinks>
  <pageMargins left="0.7" right="0.7" top="0.75" bottom="0.75" header="0.3" footer="0.3"/>
  <pageSetup paperSize="9" orientation="portrait" horizontalDpi="75" verticalDpi="75"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7"/>
  <sheetViews>
    <sheetView zoomScale="115" workbookViewId="0">
      <pane ySplit="1" topLeftCell="A27" activePane="bottomLeft" state="frozen"/>
      <selection pane="bottomLeft" activeCell="B41" sqref="B41"/>
    </sheetView>
  </sheetViews>
  <sheetFormatPr baseColWidth="10" defaultColWidth="11.5" defaultRowHeight="15"/>
  <cols>
    <col min="1" max="1" width="11.5" style="17"/>
    <col min="2" max="2" width="139.1640625" style="16" customWidth="1"/>
    <col min="23" max="23" width="131.1640625" customWidth="1"/>
  </cols>
  <sheetData>
    <row r="1" spans="1:2" ht="16">
      <c r="A1" s="17" t="s">
        <v>175</v>
      </c>
      <c r="B1" s="16" t="s">
        <v>5</v>
      </c>
    </row>
    <row r="2" spans="1:2" ht="335">
      <c r="A2" s="17">
        <v>43236</v>
      </c>
      <c r="B2" s="16" t="s">
        <v>193</v>
      </c>
    </row>
    <row r="3" spans="1:2" ht="176">
      <c r="A3" s="17">
        <v>43207</v>
      </c>
      <c r="B3" s="16" t="s">
        <v>195</v>
      </c>
    </row>
    <row r="4" spans="1:2" ht="32">
      <c r="A4" s="17">
        <v>43252</v>
      </c>
      <c r="B4" s="16" t="s">
        <v>218</v>
      </c>
    </row>
    <row r="5" spans="1:2" ht="96">
      <c r="A5" s="17">
        <v>43255</v>
      </c>
      <c r="B5" s="16" t="s">
        <v>223</v>
      </c>
    </row>
    <row r="6" spans="1:2" ht="32">
      <c r="A6" s="17">
        <v>43258</v>
      </c>
      <c r="B6" s="16" t="s">
        <v>235</v>
      </c>
    </row>
    <row r="7" spans="1:2" ht="80">
      <c r="A7" s="17">
        <v>43260</v>
      </c>
      <c r="B7" s="16" t="s">
        <v>243</v>
      </c>
    </row>
    <row r="8" spans="1:2" ht="80">
      <c r="A8" s="17">
        <v>43271</v>
      </c>
      <c r="B8" s="16" t="s">
        <v>246</v>
      </c>
    </row>
    <row r="9" spans="1:2" ht="48">
      <c r="A9" s="184">
        <v>43273</v>
      </c>
      <c r="B9" s="16" t="s">
        <v>248</v>
      </c>
    </row>
    <row r="10" spans="1:2" ht="16">
      <c r="A10" s="184">
        <v>43273</v>
      </c>
      <c r="B10" s="16" t="s">
        <v>249</v>
      </c>
    </row>
    <row r="11" spans="1:2" ht="224">
      <c r="A11" s="184">
        <v>43280</v>
      </c>
      <c r="B11" s="16" t="s">
        <v>250</v>
      </c>
    </row>
    <row r="12" spans="1:2" ht="48">
      <c r="A12" s="184">
        <v>43284</v>
      </c>
      <c r="B12" s="16" t="s">
        <v>254</v>
      </c>
    </row>
    <row r="13" spans="1:2" ht="32">
      <c r="A13" s="184">
        <v>43300</v>
      </c>
      <c r="B13" s="16" t="s">
        <v>255</v>
      </c>
    </row>
    <row r="14" spans="1:2" ht="16">
      <c r="A14" s="184">
        <v>43301</v>
      </c>
      <c r="B14" s="16" t="s">
        <v>256</v>
      </c>
    </row>
    <row r="15" spans="1:2" ht="48">
      <c r="A15" s="184">
        <v>43304</v>
      </c>
      <c r="B15" s="16" t="s">
        <v>257</v>
      </c>
    </row>
    <row r="16" spans="1:2" ht="64">
      <c r="A16" s="184">
        <v>43305</v>
      </c>
      <c r="B16" s="16" t="s">
        <v>303</v>
      </c>
    </row>
    <row r="17" spans="1:2" ht="48">
      <c r="A17" s="184">
        <v>43311</v>
      </c>
      <c r="B17" s="16" t="s">
        <v>304</v>
      </c>
    </row>
    <row r="18" spans="1:2" ht="48">
      <c r="A18" s="184">
        <v>43320</v>
      </c>
      <c r="B18" s="16" t="s">
        <v>305</v>
      </c>
    </row>
    <row r="19" spans="1:2" ht="16">
      <c r="A19" s="184">
        <v>43321</v>
      </c>
      <c r="B19" s="16" t="s">
        <v>306</v>
      </c>
    </row>
    <row r="20" spans="1:2" ht="32">
      <c r="A20" s="184">
        <v>43322</v>
      </c>
      <c r="B20" s="16" t="s">
        <v>307</v>
      </c>
    </row>
    <row r="21" spans="1:2" ht="16">
      <c r="A21" s="209">
        <v>43354</v>
      </c>
      <c r="B21" s="16" t="s">
        <v>323</v>
      </c>
    </row>
    <row r="22" spans="1:2" ht="32">
      <c r="A22" s="212">
        <v>43363</v>
      </c>
      <c r="B22" s="16" t="s">
        <v>334</v>
      </c>
    </row>
    <row r="23" spans="1:2" ht="16">
      <c r="A23" s="214">
        <v>43364</v>
      </c>
      <c r="B23" s="16" t="s">
        <v>333</v>
      </c>
    </row>
    <row r="24" spans="1:2" ht="48">
      <c r="A24" s="217">
        <v>43370</v>
      </c>
      <c r="B24" s="16" t="s">
        <v>345</v>
      </c>
    </row>
    <row r="25" spans="1:2" ht="16">
      <c r="A25" s="227">
        <v>43371</v>
      </c>
      <c r="B25" s="16" t="s">
        <v>349</v>
      </c>
    </row>
    <row r="26" spans="1:2" ht="48">
      <c r="A26" s="229">
        <v>43377</v>
      </c>
      <c r="B26" s="16" t="s">
        <v>353</v>
      </c>
    </row>
    <row r="27" spans="1:2" ht="64">
      <c r="A27" s="230">
        <v>43382</v>
      </c>
      <c r="B27" s="16" t="s">
        <v>365</v>
      </c>
    </row>
    <row r="28" spans="1:2" ht="16">
      <c r="A28" s="230">
        <v>43383</v>
      </c>
      <c r="B28" s="16" t="s">
        <v>366</v>
      </c>
    </row>
    <row r="29" spans="1:2" ht="16">
      <c r="A29" s="231">
        <v>43389</v>
      </c>
      <c r="B29" s="16" t="s">
        <v>367</v>
      </c>
    </row>
    <row r="30" spans="1:2" ht="16">
      <c r="A30" s="231">
        <v>43397</v>
      </c>
      <c r="B30" s="16" t="s">
        <v>373</v>
      </c>
    </row>
    <row r="31" spans="1:2" ht="16">
      <c r="A31" s="231">
        <v>43402</v>
      </c>
      <c r="B31" s="16" t="s">
        <v>375</v>
      </c>
    </row>
    <row r="32" spans="1:2" ht="32">
      <c r="A32" s="231">
        <v>43404</v>
      </c>
      <c r="B32" s="16" t="s">
        <v>377</v>
      </c>
    </row>
    <row r="33" spans="1:2" ht="96">
      <c r="A33" s="233">
        <v>43405</v>
      </c>
      <c r="B33" s="16" t="s">
        <v>378</v>
      </c>
    </row>
    <row r="34" spans="1:2" ht="16">
      <c r="A34" s="233">
        <v>43406</v>
      </c>
      <c r="B34" s="16" t="s">
        <v>380</v>
      </c>
    </row>
    <row r="35" spans="1:2" ht="16">
      <c r="A35" s="233">
        <v>43409</v>
      </c>
      <c r="B35" s="16" t="s">
        <v>383</v>
      </c>
    </row>
    <row r="36" spans="1:2" ht="64">
      <c r="A36" s="241">
        <v>43416</v>
      </c>
      <c r="B36" s="16" t="s">
        <v>387</v>
      </c>
    </row>
    <row r="37" spans="1:2" ht="9" customHeight="1">
      <c r="A37" s="18"/>
      <c r="B37" s="19"/>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6A5674E7364043BDA7AE8054A18BFA" ma:contentTypeVersion="6" ma:contentTypeDescription="Create a new document." ma:contentTypeScope="" ma:versionID="f3bf2c5d283e4895e01c70277a1dfa67">
  <xsd:schema xmlns:xsd="http://www.w3.org/2001/XMLSchema" xmlns:xs="http://www.w3.org/2001/XMLSchema" xmlns:p="http://schemas.microsoft.com/office/2006/metadata/properties" xmlns:ns2="027d102c-2a58-4335-9ac9-f4263fb4140c" xmlns:ns3="e9c4760e-fc5f-453e-9cb9-322215ce473c" targetNamespace="http://schemas.microsoft.com/office/2006/metadata/properties" ma:root="true" ma:fieldsID="730c3ad038dd646d5dd2566a9876ea6c" ns2:_="" ns3:_="">
    <xsd:import namespace="027d102c-2a58-4335-9ac9-f4263fb4140c"/>
    <xsd:import namespace="e9c4760e-fc5f-453e-9cb9-322215ce47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d102c-2a58-4335-9ac9-f4263fb4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4760e-fc5f-453e-9cb9-322215ce47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8C764FA8-E187-4ABA-86B6-51F1D87DE4F4}">
  <ds:schemaRefs>
    <ds:schemaRef ds:uri="http://purl.org/dc/elements/1.1/"/>
    <ds:schemaRef ds:uri="http://schemas.microsoft.com/office/2006/documentManagement/types"/>
    <ds:schemaRef ds:uri="e9c4760e-fc5f-453e-9cb9-322215ce473c"/>
    <ds:schemaRef ds:uri="http://www.w3.org/XML/1998/namespace"/>
    <ds:schemaRef ds:uri="http://purl.org/dc/dcmitype/"/>
    <ds:schemaRef ds:uri="http://schemas.openxmlformats.org/package/2006/metadata/core-properties"/>
    <ds:schemaRef ds:uri="http://purl.org/dc/terms/"/>
    <ds:schemaRef ds:uri="http://schemas.microsoft.com/office/infopath/2007/PartnerControls"/>
    <ds:schemaRef ds:uri="027d102c-2a58-4335-9ac9-f4263fb4140c"/>
    <ds:schemaRef ds:uri="http://schemas.microsoft.com/office/2006/metadata/properties"/>
  </ds:schemaRefs>
</ds:datastoreItem>
</file>

<file path=customXml/itemProps3.xml><?xml version="1.0" encoding="utf-8"?>
<ds:datastoreItem xmlns:ds="http://schemas.openxmlformats.org/officeDocument/2006/customXml" ds:itemID="{CF83478C-95D3-49D3-8A75-BB3E88411D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d102c-2a58-4335-9ac9-f4263fb4140c"/>
    <ds:schemaRef ds:uri="e9c4760e-fc5f-453e-9cb9-322215ce47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Prerequisite Checklist</vt:lpstr>
      <vt:lpstr>Management Workloads</vt:lpstr>
      <vt:lpstr>Users and Groups</vt:lpstr>
      <vt:lpstr>Hosts and Networks</vt:lpstr>
      <vt:lpstr>Deploy Parameters</vt:lpstr>
      <vt:lpstr>Config_File_Build</vt:lpstr>
      <vt:lpstr>Change Log</vt:lpstr>
      <vt:lpstr>'Deploy Parameters'!Print_Area</vt:lpstr>
      <vt:lpstr>'Users and Groups'!Print_Area</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Validated Design for IT Automation Deploy Service Checklist</dc:title>
  <dc:subject>VMware Validated Design for IT Automation Deploy Service Kit</dc:subject>
  <dc:creator>VMware Global Technical and Professional Services</dc:creator>
  <cp:lastModifiedBy>Ramya Patil</cp:lastModifiedBy>
  <dcterms:created xsi:type="dcterms:W3CDTF">2015-04-26T05:38:09Z</dcterms:created>
  <dcterms:modified xsi:type="dcterms:W3CDTF">2018-11-26T22:55:43Z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0x010100E56A5674E7364043BDA7AE8054A18BFA</vt:lpwstr>
  </property>
  <property fmtid="{D5CDD505-2E9C-101B-9397-08002B2CF9AE}" pid="3" name="Order">
    <vt:r8>1823000</vt:r8>
  </property>
  <property fmtid="{D5CDD505-2E9C-101B-9397-08002B2CF9AE}" pid="4" name="URL">
    <vt:lpwstr/>
  </property>
  <property fmtid="{D5CDD505-2E9C-101B-9397-08002B2CF9AE}" pid="5" name="xd_ProgID">
    <vt:lpwstr/>
  </property>
  <property fmtid="{D5CDD505-2E9C-101B-9397-08002B2CF9AE}" pid="6" name="Gap Analysis Complete">
    <vt:bool>true</vt:bool>
  </property>
  <property fmtid="{D5CDD505-2E9C-101B-9397-08002B2CF9AE}" pid="7" name="TemplateUrl">
    <vt:lpwstr/>
  </property>
  <property fmtid="{D5CDD505-2E9C-101B-9397-08002B2CF9AE}" pid="8" name="Latest Kit Archived on Perforce">
    <vt:bool>true</vt:bool>
  </property>
  <property fmtid="{D5CDD505-2E9C-101B-9397-08002B2CF9AE}" pid="9" name="Team Developing">
    <vt:lpwstr/>
  </property>
  <property fmtid="{D5CDD505-2E9C-101B-9397-08002B2CF9AE}" pid="10" name="Organization">
    <vt:lpwstr/>
  </property>
  <property fmtid="{D5CDD505-2E9C-101B-9397-08002B2CF9AE}" pid="11" name="Layer">
    <vt:lpwstr/>
  </property>
</Properties>
</file>