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codeName="ThisWorkbook"/>
  <mc:AlternateContent xmlns:mc="http://schemas.openxmlformats.org/markup-compatibility/2006">
    <mc:Choice Requires="x15">
      <x15ac:absPath xmlns:x15ac="http://schemas.microsoft.com/office/spreadsheetml/2010/11/ac" url="/Users/patilramya/Bringup/VCF/glcm-sos/cloud_admin_tools/JsonGenerator/sample/"/>
    </mc:Choice>
  </mc:AlternateContent>
  <xr:revisionPtr revIDLastSave="0" documentId="13_ncr:1_{33FF4B03-BB25-A942-8933-205B0A02ABBA}" xr6:coauthVersionLast="40" xr6:coauthVersionMax="40" xr10:uidLastSave="{00000000-0000-0000-0000-000000000000}"/>
  <bookViews>
    <workbookView xWindow="0" yWindow="460" windowWidth="28800" windowHeight="16100" tabRatio="932" xr2:uid="{00000000-000D-0000-FFFF-FFFF00000000}"/>
  </bookViews>
  <sheets>
    <sheet name="Prerequisite Checklist" sheetId="22" r:id="rId1"/>
    <sheet name="Management Workloads" sheetId="17" r:id="rId2"/>
    <sheet name="Users and Groups" sheetId="15" r:id="rId3"/>
    <sheet name="Hosts and Networks" sheetId="4" r:id="rId4"/>
    <sheet name="Deploy Parameters" sheetId="2" r:id="rId5"/>
    <sheet name="vRA Configuration" sheetId="26" r:id="rId6"/>
    <sheet name="Run Parameters" sheetId="23" r:id="rId7"/>
    <sheet name="Lookup_Lists" sheetId="31" state="hidden" r:id="rId8"/>
    <sheet name="CertConfig" sheetId="30" r:id="rId9"/>
    <sheet name="Config_File_Build" sheetId="16" state="hidden" r:id="rId10"/>
    <sheet name="Change Log" sheetId="32" state="hidden" r:id="rId11"/>
  </sheets>
  <definedNames>
    <definedName name="Authentication" localSheetId="0">#REF!</definedName>
    <definedName name="Authentication" localSheetId="5">#REF!</definedName>
    <definedName name="Authentication">#REF!</definedName>
    <definedName name="Configuration_Mode" localSheetId="0">#REF!</definedName>
    <definedName name="Configuration_Mode" localSheetId="5">#REF!</definedName>
    <definedName name="Database_Type" localSheetId="0">#REF!</definedName>
    <definedName name="Database_Type" localSheetId="5">#REF!</definedName>
    <definedName name="EVC_Settings">Lookup_Lists!$F$2:$F$15</definedName>
    <definedName name="_xlnm.Print_Area" localSheetId="4">'Deploy Parameters'!$B$1:$D$133</definedName>
    <definedName name="_xlnm.Print_Area" localSheetId="2">'Users and Groups'!$B$1:$B$1</definedName>
    <definedName name="_xlnm.Print_Area" localSheetId="5">'vRA Configuration'!$B$1:$B$13</definedName>
    <definedName name="SRM_Certificates" localSheetId="1">#REF!</definedName>
    <definedName name="SRM_Certificates" localSheetId="0">#REF!</definedName>
    <definedName name="SRM_Certificates" localSheetId="5">#REF!</definedName>
    <definedName name="SSL_Policy" localSheetId="1">#REF!</definedName>
    <definedName name="SSL_Policy" localSheetId="0">#REF!</definedName>
    <definedName name="SSL_Policy" localSheetId="5">#REF!</definedName>
    <definedName name="System_Type" localSheetId="1">#REF!</definedName>
    <definedName name="System_Type" localSheetId="0">#REF!</definedName>
    <definedName name="System_Type" localSheetId="5">#REF!</definedName>
    <definedName name="Timezone_Index">Lookup_Lists!$C$2:$C$76</definedName>
    <definedName name="valuevx">42.314159</definedName>
    <definedName name="VR_Database_Type" localSheetId="1">#REF!</definedName>
    <definedName name="VR_Database_Type" localSheetId="0">#REF!</definedName>
    <definedName name="VR_Database_Type" localSheetId="5">#REF!</definedName>
    <definedName name="vRB_Currencies">Lookup_Lists!$A$2:$A$131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54" i="2" l="1"/>
  <c r="A13" i="16" l="1"/>
  <c r="A14" i="16"/>
  <c r="F13" i="4" l="1"/>
  <c r="F14" i="4"/>
  <c r="F43" i="2" l="1"/>
  <c r="F42" i="2"/>
  <c r="F13" i="2"/>
  <c r="J139" i="2"/>
  <c r="J131" i="2"/>
  <c r="A486" i="16" l="1"/>
  <c r="A480" i="16"/>
  <c r="F27" i="17" l="1"/>
  <c r="G27" i="17"/>
  <c r="E27" i="17"/>
  <c r="F39" i="17"/>
  <c r="G39" i="17"/>
  <c r="E39" i="17"/>
  <c r="A903" i="16"/>
  <c r="A916" i="16" l="1"/>
  <c r="A915" i="16"/>
  <c r="A780" i="16"/>
  <c r="A779" i="16"/>
  <c r="A777" i="16"/>
  <c r="F151" i="2"/>
  <c r="F141" i="2"/>
  <c r="B38" i="17" l="1"/>
  <c r="B151" i="2"/>
  <c r="A76" i="16"/>
  <c r="A920" i="16" l="1"/>
  <c r="A911" i="16" l="1"/>
  <c r="A910" i="16"/>
  <c r="A907" i="16"/>
  <c r="A906" i="16"/>
  <c r="A900" i="16"/>
  <c r="A914" i="16"/>
  <c r="A913" i="16"/>
  <c r="A912" i="16"/>
  <c r="A924" i="16"/>
  <c r="A923" i="16"/>
  <c r="A919" i="16"/>
  <c r="A4" i="16"/>
  <c r="A551" i="16" l="1"/>
  <c r="A594" i="16" l="1"/>
  <c r="A342" i="16" l="1"/>
  <c r="A341" i="16"/>
  <c r="B29" i="17" l="1"/>
  <c r="A596" i="16"/>
  <c r="A547" i="16"/>
  <c r="A566" i="16"/>
  <c r="A3" i="16"/>
  <c r="A2" i="16"/>
  <c r="A513" i="16"/>
  <c r="A512" i="16"/>
  <c r="A722" i="16"/>
  <c r="A886" i="16"/>
  <c r="A884" i="16"/>
  <c r="A564" i="16"/>
  <c r="A563" i="16"/>
  <c r="F48" i="15"/>
  <c r="A773" i="16"/>
  <c r="A772" i="16"/>
  <c r="J26" i="2"/>
  <c r="A20" i="16"/>
  <c r="A803" i="16"/>
  <c r="B28" i="2"/>
  <c r="B103" i="2"/>
  <c r="B160" i="2"/>
  <c r="B141" i="2"/>
  <c r="B128" i="2"/>
  <c r="B127" i="2"/>
  <c r="B131" i="2"/>
  <c r="B124" i="2"/>
  <c r="B113" i="2"/>
  <c r="B111" i="2"/>
  <c r="B108" i="2"/>
  <c r="B48" i="2"/>
  <c r="B15" i="2"/>
  <c r="B14" i="2"/>
  <c r="A882" i="16"/>
  <c r="F24" i="4"/>
  <c r="F23" i="4"/>
  <c r="J20" i="2"/>
  <c r="A41" i="16" s="1"/>
  <c r="J15" i="2"/>
  <c r="A40" i="16" s="1"/>
  <c r="A453" i="16"/>
  <c r="A452" i="16"/>
  <c r="A451" i="16"/>
  <c r="A450" i="16"/>
  <c r="A430" i="16"/>
  <c r="A429" i="16"/>
  <c r="A428" i="16"/>
  <c r="A427" i="16"/>
  <c r="E30" i="30"/>
  <c r="M17" i="30"/>
  <c r="M16" i="30"/>
  <c r="M15" i="30"/>
  <c r="M14" i="30"/>
  <c r="M18" i="30"/>
  <c r="B17" i="30"/>
  <c r="O17" i="30" s="1"/>
  <c r="B16" i="30"/>
  <c r="O16" i="30" s="1"/>
  <c r="B15" i="30"/>
  <c r="O15" i="30" s="1"/>
  <c r="B14" i="30"/>
  <c r="O14" i="30" s="1"/>
  <c r="B13" i="30"/>
  <c r="O13" i="30" s="1"/>
  <c r="K81" i="17"/>
  <c r="K84" i="17" s="1"/>
  <c r="H43" i="17"/>
  <c r="B43" i="17"/>
  <c r="A187" i="16"/>
  <c r="A197" i="16"/>
  <c r="A179" i="16"/>
  <c r="A169" i="16"/>
  <c r="A145" i="16"/>
  <c r="A377" i="16"/>
  <c r="A376" i="16"/>
  <c r="A373" i="16"/>
  <c r="A372" i="16"/>
  <c r="A371" i="16"/>
  <c r="A370" i="16"/>
  <c r="A369" i="16"/>
  <c r="B31" i="2"/>
  <c r="J38" i="2"/>
  <c r="A242" i="16" s="1"/>
  <c r="A238" i="16"/>
  <c r="A204" i="16"/>
  <c r="A203" i="16"/>
  <c r="A202" i="16"/>
  <c r="A201" i="16"/>
  <c r="A200" i="16"/>
  <c r="A184" i="16"/>
  <c r="A183" i="16"/>
  <c r="A182" i="16"/>
  <c r="A181" i="16"/>
  <c r="A180" i="16"/>
  <c r="A173" i="16"/>
  <c r="A172" i="16"/>
  <c r="A171" i="16"/>
  <c r="A170" i="16"/>
  <c r="A160" i="16"/>
  <c r="A158" i="16"/>
  <c r="A156" i="16"/>
  <c r="A154" i="16"/>
  <c r="A152" i="16"/>
  <c r="A159" i="16"/>
  <c r="A157" i="16"/>
  <c r="A155" i="16"/>
  <c r="A153" i="16"/>
  <c r="A151" i="16"/>
  <c r="A831" i="16"/>
  <c r="A830" i="16"/>
  <c r="A538" i="16"/>
  <c r="A537" i="16"/>
  <c r="A526" i="16"/>
  <c r="A525" i="16"/>
  <c r="A87" i="16"/>
  <c r="A84" i="16"/>
  <c r="A300" i="16"/>
  <c r="A301" i="16"/>
  <c r="A8" i="16"/>
  <c r="A10" i="16"/>
  <c r="A12" i="16"/>
  <c r="A15" i="16"/>
  <c r="A16" i="16"/>
  <c r="A17" i="16"/>
  <c r="A18" i="16"/>
  <c r="A19" i="16"/>
  <c r="A24" i="16"/>
  <c r="A25" i="16"/>
  <c r="A30" i="16"/>
  <c r="A36" i="16"/>
  <c r="A37" i="16"/>
  <c r="A38" i="16"/>
  <c r="A39" i="16"/>
  <c r="A44" i="16"/>
  <c r="A47" i="16"/>
  <c r="A48" i="16"/>
  <c r="A50" i="16"/>
  <c r="A54" i="16"/>
  <c r="A55" i="16"/>
  <c r="A57" i="16"/>
  <c r="A58" i="16"/>
  <c r="A63" i="16"/>
  <c r="A64" i="16"/>
  <c r="A67" i="16"/>
  <c r="A69" i="16"/>
  <c r="A71" i="16"/>
  <c r="A74" i="16"/>
  <c r="A79" i="16"/>
  <c r="A80" i="16"/>
  <c r="A83" i="16"/>
  <c r="A86" i="16"/>
  <c r="A90" i="16"/>
  <c r="A91" i="16"/>
  <c r="A94" i="16"/>
  <c r="A95" i="16"/>
  <c r="A96" i="16"/>
  <c r="A97" i="16"/>
  <c r="A98" i="16"/>
  <c r="A99" i="16"/>
  <c r="A100" i="16"/>
  <c r="A101" i="16"/>
  <c r="A102" i="16"/>
  <c r="A103" i="16"/>
  <c r="A104" i="16"/>
  <c r="A105" i="16"/>
  <c r="A106" i="16"/>
  <c r="A107" i="16"/>
  <c r="A108" i="16"/>
  <c r="A109" i="16"/>
  <c r="A113" i="16"/>
  <c r="A114" i="16"/>
  <c r="A115" i="16"/>
  <c r="A116" i="16"/>
  <c r="A117" i="16"/>
  <c r="A118" i="16"/>
  <c r="A119" i="16"/>
  <c r="A120" i="16"/>
  <c r="A121" i="16"/>
  <c r="A122" i="16"/>
  <c r="A124" i="16"/>
  <c r="A125" i="16"/>
  <c r="A126" i="16"/>
  <c r="A127" i="16"/>
  <c r="A128" i="16"/>
  <c r="A129" i="16"/>
  <c r="A130" i="16"/>
  <c r="A131" i="16"/>
  <c r="A132" i="16"/>
  <c r="A133" i="16"/>
  <c r="A135" i="16"/>
  <c r="A136" i="16"/>
  <c r="A137" i="16"/>
  <c r="A138" i="16"/>
  <c r="A139" i="16"/>
  <c r="A140" i="16"/>
  <c r="A141" i="16"/>
  <c r="A142" i="16"/>
  <c r="A146" i="16"/>
  <c r="A147" i="16"/>
  <c r="A148" i="16"/>
  <c r="A149" i="16"/>
  <c r="A150" i="16"/>
  <c r="A164" i="16"/>
  <c r="A165" i="16"/>
  <c r="A166" i="16"/>
  <c r="A167" i="16"/>
  <c r="A168" i="16"/>
  <c r="A175" i="16"/>
  <c r="A176" i="16"/>
  <c r="A177" i="16"/>
  <c r="A178" i="16"/>
  <c r="A188" i="16"/>
  <c r="A189" i="16"/>
  <c r="A190" i="16"/>
  <c r="A191" i="16"/>
  <c r="A192" i="16"/>
  <c r="A193" i="16"/>
  <c r="A194" i="16"/>
  <c r="A195" i="16"/>
  <c r="A198" i="16"/>
  <c r="A199" i="16"/>
  <c r="A207" i="16"/>
  <c r="A208" i="16"/>
  <c r="A209" i="16"/>
  <c r="A211" i="16"/>
  <c r="A214" i="16"/>
  <c r="A215" i="16"/>
  <c r="A216" i="16"/>
  <c r="A218" i="16"/>
  <c r="A221" i="16"/>
  <c r="A222" i="16"/>
  <c r="A225" i="16"/>
  <c r="A226" i="16"/>
  <c r="A237" i="16"/>
  <c r="A245" i="16"/>
  <c r="A246" i="16"/>
  <c r="A247" i="16"/>
  <c r="A248" i="16"/>
  <c r="A249" i="16"/>
  <c r="A250" i="16"/>
  <c r="A251" i="16"/>
  <c r="A252" i="16"/>
  <c r="A254" i="16"/>
  <c r="A276" i="16"/>
  <c r="A277" i="16"/>
  <c r="A278" i="16"/>
  <c r="A280" i="16"/>
  <c r="A283" i="16"/>
  <c r="A284" i="16"/>
  <c r="A287" i="16"/>
  <c r="A288" i="16"/>
  <c r="A289" i="16"/>
  <c r="A291" i="16"/>
  <c r="A294" i="16"/>
  <c r="A295" i="16"/>
  <c r="A296" i="16"/>
  <c r="A297" i="16"/>
  <c r="A304" i="16"/>
  <c r="A307" i="16"/>
  <c r="A308" i="16"/>
  <c r="A312" i="16"/>
  <c r="A313" i="16"/>
  <c r="A315" i="16"/>
  <c r="A316" i="16"/>
  <c r="A317" i="16"/>
  <c r="A319" i="16"/>
  <c r="A320" i="16"/>
  <c r="A322" i="16"/>
  <c r="A323" i="16"/>
  <c r="A325" i="16"/>
  <c r="A326" i="16"/>
  <c r="A328" i="16"/>
  <c r="A329" i="16"/>
  <c r="A331" i="16"/>
  <c r="A332" i="16"/>
  <c r="A336" i="16"/>
  <c r="A337" i="16"/>
  <c r="A339" i="16"/>
  <c r="A340" i="16"/>
  <c r="A344" i="16"/>
  <c r="A347" i="16"/>
  <c r="A350" i="16"/>
  <c r="A353" i="16"/>
  <c r="A354" i="16"/>
  <c r="A355" i="16"/>
  <c r="A356" i="16"/>
  <c r="A357" i="16"/>
  <c r="A358" i="16"/>
  <c r="A380" i="16"/>
  <c r="A381" i="16"/>
  <c r="A382" i="16"/>
  <c r="A385" i="16"/>
  <c r="A388" i="16"/>
  <c r="A389" i="16"/>
  <c r="A390" i="16"/>
  <c r="A391" i="16"/>
  <c r="A394" i="16"/>
  <c r="A395" i="16"/>
  <c r="A396" i="16"/>
  <c r="A397" i="16"/>
  <c r="A400" i="16"/>
  <c r="A401" i="16"/>
  <c r="A402" i="16"/>
  <c r="A403" i="16"/>
  <c r="A406" i="16"/>
  <c r="A407" i="16"/>
  <c r="A408" i="16"/>
  <c r="A409" i="16"/>
  <c r="A412" i="16"/>
  <c r="A413" i="16"/>
  <c r="A414" i="16"/>
  <c r="A417" i="16"/>
  <c r="A418" i="16"/>
  <c r="A419" i="16"/>
  <c r="A422" i="16"/>
  <c r="A424" i="16"/>
  <c r="A432" i="16"/>
  <c r="A433" i="16"/>
  <c r="A435" i="16"/>
  <c r="A436" i="16"/>
  <c r="A437" i="16"/>
  <c r="A438" i="16"/>
  <c r="A442" i="16"/>
  <c r="A443" i="16"/>
  <c r="A444" i="16"/>
  <c r="A445" i="16"/>
  <c r="A446" i="16"/>
  <c r="A447" i="16"/>
  <c r="A455" i="16"/>
  <c r="A456" i="16"/>
  <c r="A458" i="16"/>
  <c r="A459" i="16"/>
  <c r="A460" i="16"/>
  <c r="A461" i="16"/>
  <c r="A464" i="16"/>
  <c r="A465" i="16"/>
  <c r="A466" i="16"/>
  <c r="A467" i="16"/>
  <c r="A468" i="16"/>
  <c r="A469" i="16"/>
  <c r="A473" i="16"/>
  <c r="A474" i="16"/>
  <c r="A475" i="16"/>
  <c r="A476" i="16"/>
  <c r="A477" i="16"/>
  <c r="A482" i="16"/>
  <c r="A484" i="16"/>
  <c r="A488" i="16"/>
  <c r="A490" i="16"/>
  <c r="A493" i="16"/>
  <c r="A495" i="16"/>
  <c r="A497" i="16"/>
  <c r="A499" i="16"/>
  <c r="A501" i="16"/>
  <c r="A503" i="16"/>
  <c r="A507" i="16"/>
  <c r="A508" i="16"/>
  <c r="A509" i="16"/>
  <c r="A510" i="16"/>
  <c r="A517" i="16"/>
  <c r="A519" i="16"/>
  <c r="A521" i="16"/>
  <c r="A524" i="16"/>
  <c r="A527" i="16"/>
  <c r="A528" i="16"/>
  <c r="A529" i="16"/>
  <c r="A530" i="16"/>
  <c r="A531" i="16"/>
  <c r="A532" i="16"/>
  <c r="A533" i="16"/>
  <c r="A534" i="16"/>
  <c r="A536" i="16"/>
  <c r="A539" i="16"/>
  <c r="A540" i="16"/>
  <c r="A541" i="16"/>
  <c r="A542" i="16"/>
  <c r="A543" i="16"/>
  <c r="A544" i="16"/>
  <c r="A550" i="16"/>
  <c r="A552" i="16"/>
  <c r="A560" i="16"/>
  <c r="A562" i="16"/>
  <c r="A570" i="16"/>
  <c r="A571" i="16"/>
  <c r="A574" i="16"/>
  <c r="A575" i="16"/>
  <c r="A578" i="16"/>
  <c r="A579" i="16"/>
  <c r="A581" i="16"/>
  <c r="A583" i="16"/>
  <c r="A588" i="16"/>
  <c r="A591" i="16"/>
  <c r="A592" i="16"/>
  <c r="A599" i="16"/>
  <c r="A600" i="16"/>
  <c r="A601" i="16"/>
  <c r="A603" i="16"/>
  <c r="A604" i="16"/>
  <c r="A607" i="16"/>
  <c r="A608" i="16"/>
  <c r="A611" i="16"/>
  <c r="A613" i="16"/>
  <c r="A614" i="16"/>
  <c r="A617" i="16"/>
  <c r="A619" i="16"/>
  <c r="A620" i="16"/>
  <c r="A622" i="16"/>
  <c r="A623" i="16"/>
  <c r="A628" i="16"/>
  <c r="A631" i="16"/>
  <c r="A632" i="16"/>
  <c r="A633" i="16"/>
  <c r="A634" i="16"/>
  <c r="A639" i="16"/>
  <c r="A642" i="16"/>
  <c r="A644" i="16"/>
  <c r="A645" i="16"/>
  <c r="A646" i="16"/>
  <c r="A647" i="16"/>
  <c r="A648" i="16"/>
  <c r="A649" i="16"/>
  <c r="A650" i="16"/>
  <c r="A658" i="16"/>
  <c r="A659" i="16"/>
  <c r="A660" i="16"/>
  <c r="A662" i="16"/>
  <c r="A664" i="16"/>
  <c r="A665" i="16"/>
  <c r="A666" i="16"/>
  <c r="A677" i="16"/>
  <c r="A678" i="16"/>
  <c r="A684" i="16"/>
  <c r="A686" i="16"/>
  <c r="A689" i="16"/>
  <c r="A690" i="16"/>
  <c r="A692" i="16"/>
  <c r="A693" i="16"/>
  <c r="A695" i="16"/>
  <c r="A696" i="16"/>
  <c r="A698" i="16"/>
  <c r="A700" i="16"/>
  <c r="A701" i="16"/>
  <c r="A703" i="16"/>
  <c r="A704" i="16"/>
  <c r="A706" i="16"/>
  <c r="A707" i="16"/>
  <c r="A709" i="16"/>
  <c r="A710" i="16"/>
  <c r="A712" i="16"/>
  <c r="A713" i="16"/>
  <c r="A715" i="16"/>
  <c r="A716" i="16"/>
  <c r="A720" i="16"/>
  <c r="A721" i="16"/>
  <c r="A723" i="16"/>
  <c r="A724" i="16"/>
  <c r="A725" i="16"/>
  <c r="A726" i="16"/>
  <c r="A727" i="16"/>
  <c r="A731" i="16"/>
  <c r="A732" i="16"/>
  <c r="A733" i="16"/>
  <c r="A734" i="16"/>
  <c r="A741" i="16"/>
  <c r="A743" i="16"/>
  <c r="A745" i="16"/>
  <c r="A748" i="16"/>
  <c r="A749" i="16"/>
  <c r="A752" i="16"/>
  <c r="A753" i="16"/>
  <c r="A757" i="16"/>
  <c r="A758" i="16"/>
  <c r="A759" i="16"/>
  <c r="A761" i="16"/>
  <c r="A762" i="16"/>
  <c r="A764" i="16"/>
  <c r="A765" i="16"/>
  <c r="A766" i="16"/>
  <c r="A768" i="16"/>
  <c r="A769" i="16"/>
  <c r="A783" i="16"/>
  <c r="A788" i="16"/>
  <c r="A790" i="16"/>
  <c r="A791" i="16"/>
  <c r="A793" i="16"/>
  <c r="A794" i="16"/>
  <c r="A797" i="16"/>
  <c r="A799" i="16"/>
  <c r="A802" i="16"/>
  <c r="A804" i="16"/>
  <c r="A810" i="16"/>
  <c r="A811" i="16"/>
  <c r="A824" i="16"/>
  <c r="A825" i="16"/>
  <c r="A828" i="16"/>
  <c r="A829" i="16"/>
  <c r="A832" i="16"/>
  <c r="A833" i="16"/>
  <c r="A834" i="16"/>
  <c r="A835" i="16"/>
  <c r="A836" i="16"/>
  <c r="A837" i="16"/>
  <c r="A838" i="16"/>
  <c r="A839" i="16"/>
  <c r="A842" i="16"/>
  <c r="A846" i="16"/>
  <c r="A847" i="16"/>
  <c r="A848" i="16"/>
  <c r="A849" i="16"/>
  <c r="A862" i="16"/>
  <c r="A869" i="16"/>
  <c r="A873" i="16"/>
  <c r="A879" i="16"/>
  <c r="A880" i="16"/>
  <c r="A889" i="16"/>
  <c r="A890" i="16"/>
  <c r="A891" i="16"/>
  <c r="A892" i="16"/>
  <c r="A895" i="16"/>
  <c r="A896" i="16"/>
  <c r="A897" i="16"/>
  <c r="C17" i="26"/>
  <c r="A624" i="16" s="1"/>
  <c r="C33" i="26"/>
  <c r="A629" i="16" s="1"/>
  <c r="C34" i="26"/>
  <c r="A630" i="16" s="1"/>
  <c r="F32" i="26"/>
  <c r="A640" i="16" s="1"/>
  <c r="F33" i="26"/>
  <c r="A641" i="16" s="1"/>
  <c r="M27" i="30"/>
  <c r="B27" i="30"/>
  <c r="O27" i="30" s="1"/>
  <c r="M26" i="30"/>
  <c r="J11" i="2"/>
  <c r="J12" i="2" s="1"/>
  <c r="A35" i="16" s="1"/>
  <c r="J16" i="2"/>
  <c r="J17" i="2"/>
  <c r="A43" i="16" s="1"/>
  <c r="F14" i="2"/>
  <c r="A162" i="16" s="1"/>
  <c r="A229" i="16"/>
  <c r="J27" i="2"/>
  <c r="A230" i="16" s="1"/>
  <c r="J28" i="2"/>
  <c r="A231" i="16" s="1"/>
  <c r="J37" i="2"/>
  <c r="A241" i="16" s="1"/>
  <c r="J31" i="2"/>
  <c r="J33" i="2"/>
  <c r="F53" i="2"/>
  <c r="A305" i="16" s="1"/>
  <c r="F54" i="2"/>
  <c r="A306" i="16" s="1"/>
  <c r="A345" i="16"/>
  <c r="A348" i="16"/>
  <c r="F26" i="2"/>
  <c r="B10" i="17" s="1"/>
  <c r="F27" i="2"/>
  <c r="A816" i="16" s="1"/>
  <c r="F46" i="2"/>
  <c r="F29" i="2"/>
  <c r="A819" i="16" s="1"/>
  <c r="F30" i="2"/>
  <c r="A818" i="16" s="1"/>
  <c r="J46" i="2"/>
  <c r="J29" i="2"/>
  <c r="A232" i="16" s="1"/>
  <c r="J54" i="2"/>
  <c r="A415" i="16" s="1"/>
  <c r="J55" i="2"/>
  <c r="A416" i="16" s="1"/>
  <c r="J58" i="2"/>
  <c r="A420" i="16" s="1"/>
  <c r="J59" i="2"/>
  <c r="A421" i="16" s="1"/>
  <c r="F73" i="2"/>
  <c r="B19" i="17" s="1"/>
  <c r="F77" i="2"/>
  <c r="J61" i="2"/>
  <c r="B22" i="17" s="1"/>
  <c r="J73" i="2"/>
  <c r="J77" i="2"/>
  <c r="B69" i="17" s="1"/>
  <c r="J95" i="2"/>
  <c r="A472" i="16" s="1"/>
  <c r="J106" i="2"/>
  <c r="B50" i="17" s="1"/>
  <c r="J107" i="2"/>
  <c r="B51" i="17" s="1"/>
  <c r="J122" i="2"/>
  <c r="A602" i="16" s="1"/>
  <c r="C11" i="26"/>
  <c r="A610" i="16" s="1"/>
  <c r="C23" i="26"/>
  <c r="C22" i="26" s="1"/>
  <c r="A615" i="16" s="1"/>
  <c r="C27" i="26"/>
  <c r="A626" i="16" s="1"/>
  <c r="C28" i="26"/>
  <c r="A627" i="16" s="1"/>
  <c r="F27" i="26"/>
  <c r="A636" i="16" s="1"/>
  <c r="F28" i="26"/>
  <c r="A637" i="16" s="1"/>
  <c r="F17" i="26"/>
  <c r="A652" i="16" s="1"/>
  <c r="J127" i="2"/>
  <c r="A680" i="16" s="1"/>
  <c r="J128" i="2"/>
  <c r="A851" i="16" s="1"/>
  <c r="J130" i="2"/>
  <c r="A719" i="16" s="1"/>
  <c r="F139" i="2"/>
  <c r="B35" i="17" s="1"/>
  <c r="F140" i="2"/>
  <c r="A737" i="16" s="1"/>
  <c r="B37" i="17"/>
  <c r="J138" i="2"/>
  <c r="A756" i="16" s="1"/>
  <c r="F31" i="2"/>
  <c r="A870" i="16" s="1"/>
  <c r="F138" i="2"/>
  <c r="B28" i="30" s="1"/>
  <c r="O28" i="30" s="1"/>
  <c r="A822" i="16"/>
  <c r="F154" i="2"/>
  <c r="B57" i="17" s="1"/>
  <c r="F155" i="2"/>
  <c r="A809" i="16" s="1"/>
  <c r="N28" i="30"/>
  <c r="N26" i="30"/>
  <c r="G55" i="17"/>
  <c r="G59" i="17"/>
  <c r="G77" i="17"/>
  <c r="F55" i="17"/>
  <c r="F59" i="17"/>
  <c r="E55" i="17"/>
  <c r="E59" i="17"/>
  <c r="B54" i="17"/>
  <c r="N25" i="30"/>
  <c r="N29" i="30"/>
  <c r="N30" i="30"/>
  <c r="B31" i="30"/>
  <c r="O31" i="30" s="1"/>
  <c r="B29" i="30"/>
  <c r="O29" i="30" s="1"/>
  <c r="B30" i="30"/>
  <c r="O30" i="30" s="1"/>
  <c r="B3" i="30"/>
  <c r="O3" i="30" s="1"/>
  <c r="B4" i="30"/>
  <c r="O4" i="30" s="1"/>
  <c r="B5" i="30"/>
  <c r="O5" i="30" s="1"/>
  <c r="B6" i="30"/>
  <c r="O6" i="30" s="1"/>
  <c r="B7" i="30"/>
  <c r="O7" i="30" s="1"/>
  <c r="B8" i="30"/>
  <c r="O8" i="30" s="1"/>
  <c r="B9" i="30"/>
  <c r="O9" i="30" s="1"/>
  <c r="B10" i="30"/>
  <c r="O10" i="30" s="1"/>
  <c r="B11" i="30"/>
  <c r="O11" i="30" s="1"/>
  <c r="B12" i="30"/>
  <c r="O12" i="30" s="1"/>
  <c r="B2" i="30"/>
  <c r="O2" i="30" s="1"/>
  <c r="K30" i="30"/>
  <c r="J30" i="30"/>
  <c r="I30" i="30"/>
  <c r="H30" i="30"/>
  <c r="G30" i="30"/>
  <c r="F30" i="30"/>
  <c r="D30" i="30"/>
  <c r="C30" i="30"/>
  <c r="E29" i="30"/>
  <c r="D29" i="30"/>
  <c r="C29" i="30"/>
  <c r="M31" i="30"/>
  <c r="M30" i="30"/>
  <c r="M29" i="30"/>
  <c r="M28" i="30"/>
  <c r="M25" i="30"/>
  <c r="M24" i="30"/>
  <c r="M23" i="30"/>
  <c r="M22" i="30"/>
  <c r="M21" i="30"/>
  <c r="M20" i="30"/>
  <c r="M19" i="30"/>
  <c r="M13" i="30"/>
  <c r="M12" i="30"/>
  <c r="M11" i="30"/>
  <c r="M10" i="30"/>
  <c r="M9" i="30"/>
  <c r="M8" i="30"/>
  <c r="M7" i="30"/>
  <c r="M6" i="30"/>
  <c r="M5" i="30"/>
  <c r="M4" i="30"/>
  <c r="M3" i="30"/>
  <c r="M2" i="30"/>
  <c r="H38" i="17"/>
  <c r="F52" i="15"/>
  <c r="F51" i="15"/>
  <c r="H24" i="17"/>
  <c r="H22" i="17"/>
  <c r="H23" i="17"/>
  <c r="B27" i="2"/>
  <c r="B155" i="2"/>
  <c r="B56" i="2"/>
  <c r="B55" i="2"/>
  <c r="B53" i="2"/>
  <c r="B52" i="2"/>
  <c r="B10" i="2"/>
  <c r="B47" i="17"/>
  <c r="H58" i="17"/>
  <c r="H57" i="17"/>
  <c r="B6" i="2"/>
  <c r="L54" i="2"/>
  <c r="L53" i="2" s="1"/>
  <c r="L50" i="2"/>
  <c r="L49" i="2" s="1"/>
  <c r="L52" i="2"/>
  <c r="L51" i="2" s="1"/>
  <c r="H50" i="2"/>
  <c r="H49" i="2" s="1"/>
  <c r="F72" i="17"/>
  <c r="H65" i="17"/>
  <c r="H66" i="17"/>
  <c r="H67" i="17"/>
  <c r="H68" i="17"/>
  <c r="H69" i="17"/>
  <c r="H70" i="17"/>
  <c r="H71" i="17"/>
  <c r="G72" i="17"/>
  <c r="E72" i="17"/>
  <c r="H16" i="17"/>
  <c r="H17" i="17"/>
  <c r="H18" i="17"/>
  <c r="H11" i="17"/>
  <c r="H12" i="17"/>
  <c r="H13" i="17"/>
  <c r="H14" i="17"/>
  <c r="H15" i="17"/>
  <c r="H19" i="17"/>
  <c r="H20" i="17"/>
  <c r="H21" i="17"/>
  <c r="H25" i="17"/>
  <c r="H26" i="17"/>
  <c r="H31" i="17"/>
  <c r="H32" i="17"/>
  <c r="H33" i="17"/>
  <c r="H34" i="17"/>
  <c r="H35" i="17"/>
  <c r="H36" i="17"/>
  <c r="H37" i="17"/>
  <c r="H41" i="17"/>
  <c r="H42" i="17"/>
  <c r="H44" i="17"/>
  <c r="H45" i="17"/>
  <c r="H46" i="17"/>
  <c r="H47" i="17"/>
  <c r="H48" i="17"/>
  <c r="H49" i="17"/>
  <c r="H50" i="17"/>
  <c r="H51" i="17"/>
  <c r="H54" i="17"/>
  <c r="K88" i="17"/>
  <c r="K89" i="17"/>
  <c r="F95" i="17"/>
  <c r="F96" i="17" s="1"/>
  <c r="F83" i="17"/>
  <c r="B71" i="17"/>
  <c r="B70" i="17"/>
  <c r="B26" i="17"/>
  <c r="B25" i="17"/>
  <c r="B107" i="2"/>
  <c r="B19" i="26"/>
  <c r="B42" i="2"/>
  <c r="B52" i="17"/>
  <c r="B123" i="2"/>
  <c r="L47" i="2"/>
  <c r="H47" i="2"/>
  <c r="B9" i="2"/>
  <c r="F23" i="15"/>
  <c r="F47" i="15"/>
  <c r="B32" i="2"/>
  <c r="B115" i="2"/>
  <c r="B114" i="2"/>
  <c r="B112" i="2"/>
  <c r="B110" i="2"/>
  <c r="B109" i="2"/>
  <c r="B142" i="2"/>
  <c r="B43" i="2"/>
  <c r="B47" i="2"/>
  <c r="B132" i="2"/>
  <c r="B130" i="2"/>
  <c r="B12" i="2"/>
  <c r="B7" i="2"/>
  <c r="B139" i="2"/>
  <c r="B140" i="2"/>
  <c r="B49" i="17"/>
  <c r="B48" i="17"/>
  <c r="B46" i="17"/>
  <c r="B45" i="17"/>
  <c r="B44" i="17"/>
  <c r="B42" i="17"/>
  <c r="B41" i="17"/>
  <c r="B32" i="17"/>
  <c r="B31" i="17"/>
  <c r="B30" i="17"/>
  <c r="B50" i="2"/>
  <c r="B49" i="2"/>
  <c r="B29" i="2"/>
  <c r="K82" i="17"/>
  <c r="B11" i="2"/>
  <c r="B14" i="17"/>
  <c r="B26" i="30"/>
  <c r="O26" i="30" s="1"/>
  <c r="B21" i="30"/>
  <c r="O21" i="30" s="1"/>
  <c r="B18" i="30"/>
  <c r="O18" i="30" s="1"/>
  <c r="B20" i="30"/>
  <c r="O20" i="30" s="1"/>
  <c r="A111" i="16"/>
  <c r="C22" i="30"/>
  <c r="A798" i="16"/>
  <c r="A290" i="16"/>
  <c r="D22" i="30"/>
  <c r="A850" i="16"/>
  <c r="A362" i="16"/>
  <c r="C7" i="4" l="1"/>
  <c r="C11" i="4"/>
  <c r="C14" i="4"/>
  <c r="C8" i="4"/>
  <c r="C13" i="4"/>
  <c r="A265" i="16" s="1"/>
  <c r="C9" i="4"/>
  <c r="C10" i="4"/>
  <c r="A261" i="16" s="1"/>
  <c r="B13" i="2"/>
  <c r="B36" i="17"/>
  <c r="D28" i="30"/>
  <c r="A854" i="16"/>
  <c r="A431" i="16"/>
  <c r="C10" i="26"/>
  <c r="A609" i="16" s="1"/>
  <c r="C21" i="4"/>
  <c r="A269" i="16" s="1"/>
  <c r="C20" i="4"/>
  <c r="A270" i="16" s="1"/>
  <c r="C19" i="4"/>
  <c r="A271" i="16" s="1"/>
  <c r="C23" i="4"/>
  <c r="A272" i="16" s="1"/>
  <c r="C24" i="4"/>
  <c r="A273" i="16" s="1"/>
  <c r="A258" i="16"/>
  <c r="B33" i="17"/>
  <c r="B53" i="17"/>
  <c r="B15" i="17"/>
  <c r="C18" i="4"/>
  <c r="A268" i="16" s="1"/>
  <c r="A365" i="16"/>
  <c r="A843" i="16"/>
  <c r="A434" i="16"/>
  <c r="B20" i="17"/>
  <c r="A42" i="16"/>
  <c r="A874" i="16"/>
  <c r="B122" i="2"/>
  <c r="A545" i="16"/>
  <c r="A210" i="16"/>
  <c r="A217" i="16"/>
  <c r="A736" i="16"/>
  <c r="A840" i="16"/>
  <c r="A454" i="16"/>
  <c r="B68" i="17"/>
  <c r="A366" i="16"/>
  <c r="B58" i="17"/>
  <c r="A861" i="16"/>
  <c r="B46" i="2"/>
  <c r="A841" i="16"/>
  <c r="A853" i="16"/>
  <c r="A821" i="16"/>
  <c r="C28" i="30"/>
  <c r="A257" i="16"/>
  <c r="B21" i="17"/>
  <c r="A852" i="16"/>
  <c r="B8" i="2"/>
  <c r="A817" i="16"/>
  <c r="B51" i="2"/>
  <c r="A457" i="16"/>
  <c r="A361" i="16"/>
  <c r="A439" i="16"/>
  <c r="B54" i="2"/>
  <c r="B129" i="2"/>
  <c r="A546" i="16"/>
  <c r="A263" i="16"/>
  <c r="J110" i="2"/>
  <c r="A557" i="16" s="1"/>
  <c r="B30" i="2"/>
  <c r="A616" i="16"/>
  <c r="J109" i="2"/>
  <c r="B12" i="17"/>
  <c r="B23" i="30"/>
  <c r="O23" i="30" s="1"/>
  <c r="B34" i="17"/>
  <c r="A820" i="16"/>
  <c r="A34" i="16"/>
  <c r="A363" i="16"/>
  <c r="B22" i="30"/>
  <c r="O22" i="30" s="1"/>
  <c r="A264" i="16"/>
  <c r="B24" i="17"/>
  <c r="B23" i="17"/>
  <c r="E28" i="30"/>
  <c r="B154" i="2"/>
  <c r="B24" i="30"/>
  <c r="O24" i="30" s="1"/>
  <c r="B11" i="17"/>
  <c r="B138" i="2"/>
  <c r="B33" i="2"/>
  <c r="A855" i="16"/>
  <c r="A681" i="16"/>
  <c r="B13" i="17"/>
  <c r="A364" i="16"/>
  <c r="B106" i="2"/>
  <c r="B26" i="2"/>
  <c r="B19" i="30"/>
  <c r="O19" i="30" s="1"/>
  <c r="A738" i="16"/>
  <c r="A823" i="16"/>
  <c r="A266" i="16"/>
  <c r="B25" i="30"/>
  <c r="O25" i="30" s="1"/>
  <c r="A279" i="16"/>
  <c r="A262" i="16"/>
  <c r="A260" i="16"/>
  <c r="A556" i="16" l="1"/>
  <c r="A555" i="16"/>
  <c r="E60" i="17"/>
  <c r="E76" i="17" s="1"/>
  <c r="F97" i="17" l="1"/>
  <c r="F98" i="17"/>
  <c r="F60" i="17"/>
  <c r="F76" i="17" s="1"/>
  <c r="G60" i="17"/>
  <c r="G76" i="17" s="1"/>
  <c r="G78" i="17" s="1"/>
  <c r="F89" i="17" l="1"/>
  <c r="F90" i="17" s="1"/>
  <c r="F86" i="17"/>
  <c r="F88" i="17" s="1"/>
</calcChain>
</file>

<file path=xl/sharedStrings.xml><?xml version="1.0" encoding="utf-8"?>
<sst xmlns="http://schemas.openxmlformats.org/spreadsheetml/2006/main" count="1919" uniqueCount="1375">
  <si>
    <t>Domain Name</t>
  </si>
  <si>
    <t>IP Address</t>
  </si>
  <si>
    <t>Servers</t>
  </si>
  <si>
    <t>NSX</t>
  </si>
  <si>
    <t xml:space="preserve">vRealize Automation </t>
  </si>
  <si>
    <t>Infrastructure Information</t>
  </si>
  <si>
    <t>vRealize Operations Manager</t>
  </si>
  <si>
    <t>Hosts</t>
  </si>
  <si>
    <t>VLAN #</t>
  </si>
  <si>
    <t>Description</t>
  </si>
  <si>
    <t>Gateway</t>
  </si>
  <si>
    <t>n/a</t>
  </si>
  <si>
    <t>Status</t>
  </si>
  <si>
    <t>Notes</t>
  </si>
  <si>
    <t>Management Cluster</t>
  </si>
  <si>
    <t>root</t>
  </si>
  <si>
    <t>VMware1!</t>
  </si>
  <si>
    <t xml:space="preserve">NSX Manager </t>
  </si>
  <si>
    <t>Hostname</t>
  </si>
  <si>
    <t>NSX Controller IP Pool Start Address</t>
  </si>
  <si>
    <t>NSX Controller IP Pool End Address</t>
  </si>
  <si>
    <t>IP Pool for NSX Controllers</t>
  </si>
  <si>
    <t>IP Pool for VTEP Interfaces for ESXi Hosts</t>
  </si>
  <si>
    <t>Username</t>
  </si>
  <si>
    <t>Users</t>
  </si>
  <si>
    <t>Groups</t>
  </si>
  <si>
    <t>NSX Manager Service Account - Used for registration with vCenter Server</t>
  </si>
  <si>
    <t>svc-vra</t>
  </si>
  <si>
    <t>IP addresses for vSAN Ports</t>
  </si>
  <si>
    <t>Virtual SAN</t>
  </si>
  <si>
    <t>SMTP Server</t>
  </si>
  <si>
    <t>vRealize Log Insight</t>
  </si>
  <si>
    <t>Value</t>
  </si>
  <si>
    <t>Infrastructure</t>
  </si>
  <si>
    <t>vCenter Objects</t>
  </si>
  <si>
    <t>vSphere Infrastructure</t>
  </si>
  <si>
    <t>vCenter Server</t>
  </si>
  <si>
    <t>Platform Service Controller</t>
  </si>
  <si>
    <t>MTU</t>
  </si>
  <si>
    <t># Default credentials for all ESXi servers, all installations must have the same user name and password.</t>
  </si>
  <si>
    <t># Management network settings</t>
  </si>
  <si>
    <t># Static IPs on the management network</t>
  </si>
  <si>
    <t># IP pools on the main network</t>
  </si>
  <si>
    <t># Storage (NFS)</t>
  </si>
  <si>
    <t>Proposed VM Name</t>
  </si>
  <si>
    <t>Application</t>
  </si>
  <si>
    <t>Operating System</t>
  </si>
  <si>
    <t>vCPUs</t>
  </si>
  <si>
    <t>vRAM</t>
  </si>
  <si>
    <t>Storage</t>
  </si>
  <si>
    <t>SWAP Size</t>
  </si>
  <si>
    <t>Reservation</t>
  </si>
  <si>
    <t>Version</t>
  </si>
  <si>
    <t>Virtual Appliance</t>
  </si>
  <si>
    <t>x</t>
  </si>
  <si>
    <t>-</t>
  </si>
  <si>
    <t>vCPU</t>
  </si>
  <si>
    <t>Total Resources</t>
  </si>
  <si>
    <t>Total with 30% free</t>
  </si>
  <si>
    <t>Cluster Configuration</t>
  </si>
  <si>
    <t>Storage Calculation</t>
  </si>
  <si>
    <t>Total Hosts</t>
  </si>
  <si>
    <t>GB</t>
  </si>
  <si>
    <t>Host Failure</t>
  </si>
  <si>
    <t>FTT</t>
  </si>
  <si>
    <t>Remaining Hosts</t>
  </si>
  <si>
    <t>Overhead</t>
  </si>
  <si>
    <t>%</t>
  </si>
  <si>
    <t>Host Config</t>
  </si>
  <si>
    <t>Disks per host</t>
  </si>
  <si>
    <t>Host Memory Utilization</t>
  </si>
  <si>
    <t>Host Utilization Host Down</t>
  </si>
  <si>
    <t>Host Memory Utilization Host Down</t>
  </si>
  <si>
    <t>CPU Calculation</t>
  </si>
  <si>
    <t>Host Sockets</t>
  </si>
  <si>
    <t>CPUs</t>
  </si>
  <si>
    <t>Host Cores</t>
  </si>
  <si>
    <t>Cores</t>
  </si>
  <si>
    <t>Total Cluster Cores</t>
  </si>
  <si>
    <t xml:space="preserve">Protected by SRM </t>
  </si>
  <si>
    <t>License Key</t>
  </si>
  <si>
    <t>Active Directory Domain Server</t>
  </si>
  <si>
    <t>Default password for ESXi Hosts</t>
  </si>
  <si>
    <t>DNS Servers</t>
  </si>
  <si>
    <t>NTP Servers</t>
  </si>
  <si>
    <t>vRLI Node #2 (Worker)</t>
  </si>
  <si>
    <t>Static IP Address for Load Balancer</t>
  </si>
  <si>
    <t>Load Balancer Addresses</t>
  </si>
  <si>
    <t>vSphere components resolvable in DNS</t>
  </si>
  <si>
    <t>svc-vrli</t>
  </si>
  <si>
    <t>vra01svr01a</t>
  </si>
  <si>
    <t>vra01svr01b</t>
  </si>
  <si>
    <t>vra01iws01a</t>
  </si>
  <si>
    <t>vra01iws01b</t>
  </si>
  <si>
    <t>vra01ims01a</t>
  </si>
  <si>
    <t>vra01ims01b</t>
  </si>
  <si>
    <t># External Active Directory settings. If you want to use a pre-configured Active Directory server you should populate the settings below.</t>
  </si>
  <si>
    <t># NTP server to configure for the deployed products. This should match the root Active Directory server if not deploying with an external AD.</t>
  </si>
  <si>
    <t># Datacenter/cluster names (if not specified, the default values will be used)</t>
  </si>
  <si>
    <t>#EVC cluster mode. If not specified, EVC will be disabled on all clusters. Allowed values are:</t>
  </si>
  <si>
    <t># - "intel-merom", "intel-penryn", "intel-nehalem", "intel-westmere", "intel-sandybridge", "intel-ivybridge", "intel-haswell",</t>
  </si>
  <si>
    <t># - "amd-rev-e", "amd-rev-f", "amd-greyhound-no3dnow", "amd-greyhound", "amd-bulldozer", "amd-piledriver"</t>
  </si>
  <si>
    <t># These are example settings. Modify them to reflect your pre-configured AD setup</t>
  </si>
  <si>
    <t># or comment/delete them if you want to use AD deployed by the system.</t>
  </si>
  <si>
    <t># Service accounts that need to be pre-configured in the AD server.</t>
  </si>
  <si>
    <t># An AD account with privileges to join computers in the Active Directory.</t>
  </si>
  <si>
    <t># An AD account which will be granted NSX administrator privileges</t>
  </si>
  <si>
    <t># vRA account. This account must be pre-created and configured with the following user rights:</t>
  </si>
  <si>
    <t># The account must also have a Local Administrators Membership.</t>
  </si>
  <si>
    <t># The username must be specified without the domain.</t>
  </si>
  <si>
    <t># The name of the VM to be used as vRA IaaS template - leave blank for using the</t>
  </si>
  <si>
    <t># system-provided template. See the "Setting up a Windows Template VM for vRA IaaS nodes"</t>
  </si>
  <si>
    <t># section in the manual for setup instructions for the VM.</t>
  </si>
  <si>
    <t># First tier management datastore cluster (Gold) 6.5 TB free</t>
  </si>
  <si>
    <t># First tier edge datastore cluster (Gold) 2 TB free</t>
  </si>
  <si>
    <t># ******************* S D D C    I N F R A S T R U C T U R E *******************</t>
  </si>
  <si>
    <t># ******************* L I C E N S E    K E Y S *******************</t>
  </si>
  <si>
    <t># ******************* S D D C    A U T O M A T I O N *******************</t>
  </si>
  <si>
    <t># ******************* S D D C    O P E R A T I O N S *******************</t>
  </si>
  <si>
    <t>#vROps - VM Names for Management Products</t>
  </si>
  <si>
    <t># vRealize Operations Manager - Remote Collectors</t>
  </si>
  <si>
    <t># vRealize Operations Manager</t>
  </si>
  <si>
    <t>#Log Insight - VM Names</t>
  </si>
  <si>
    <t># vROps Remote Collectors - VM Names</t>
  </si>
  <si>
    <t># VM Names for management products</t>
  </si>
  <si>
    <t># vRealize Automation - VM Names</t>
  </si>
  <si>
    <t># vRealize Automation - Static IPs (if not specified, the default settings from VVD will be used)</t>
  </si>
  <si>
    <t># ******************* E X T E R N A L    I N F R A S T R U C T U R E    C O M P O N E N T S *******************</t>
  </si>
  <si>
    <t>Identity Source (LDAP / AD)</t>
  </si>
  <si>
    <t>vRealize Log Insight - Master Node</t>
  </si>
  <si>
    <t>vRealize Log Insight - Worker Node</t>
  </si>
  <si>
    <t>vRealize Operations Manager - Master Node</t>
  </si>
  <si>
    <t>vRealize Operations Manager - Replica Node</t>
  </si>
  <si>
    <t>vRealize Operations Manager - Data Node</t>
  </si>
  <si>
    <t>vRealize Automation Appliance #1</t>
  </si>
  <si>
    <t>vRealize Automation Appliance #2</t>
  </si>
  <si>
    <t>vRealize Automation Web Server #1</t>
  </si>
  <si>
    <t>vRealize Automation Manager Server #1</t>
  </si>
  <si>
    <t>vRealize Automation Manager Server #2</t>
  </si>
  <si>
    <t>vRealize Automation DEM Worker / Agent #2</t>
  </si>
  <si>
    <t>vRA Agent Server #1</t>
  </si>
  <si>
    <t>vRA Agent Server #2</t>
  </si>
  <si>
    <t># Network VLAN ID Configuration</t>
  </si>
  <si>
    <t># vMotion Portgroup  - VLAN Settings</t>
  </si>
  <si>
    <t># Management Portgroup - VLAN Settings</t>
  </si>
  <si>
    <t># VXLAN Portgroup - VLAN Settings</t>
  </si>
  <si>
    <t># Storage (NFS) Portgroup - VLAN Settings</t>
  </si>
  <si>
    <t># VSAN Portgroup  - VLAN Settings</t>
  </si>
  <si>
    <t># VLAN MTU configuration</t>
  </si>
  <si>
    <t># Management Portgroup - MTU Settings</t>
  </si>
  <si>
    <t>vRealize Automation Service Account - Used to install vRA IaaS Components and SQL Database User</t>
  </si>
  <si>
    <t>Virtual SAN Datastores</t>
  </si>
  <si>
    <t>vRealize Automation Proxy Agent #1</t>
  </si>
  <si>
    <t>vRealize Automation Proxy Agent #2</t>
  </si>
  <si>
    <t>EVC Settings</t>
  </si>
  <si>
    <t># vCenter OS credentials (for the root user)</t>
  </si>
  <si>
    <t># vCenter product credentials (for the Administrator@vsphere.local user)</t>
  </si>
  <si>
    <t># NSX product credentials (for the admin user)</t>
  </si>
  <si>
    <t>administrator@vsphere.local</t>
  </si>
  <si>
    <t>admin</t>
  </si>
  <si>
    <t>#Network settings and static IPs for vMotion VMKernel DV portgroups</t>
  </si>
  <si>
    <t>#Network settings and static IPs for VSAN VMKernel DV portgroups</t>
  </si>
  <si>
    <t># vRA VA OS credentials (for the root user)</t>
  </si>
  <si>
    <t># vROps account for configuring AD integration. The user must be pre-created in the Active Directory</t>
  </si>
  <si>
    <t># AD group used for integration with vROps. Should be a DN, for example CN=SDDC-Admins,CN=Users,DC=rainpole,DC=local</t>
  </si>
  <si>
    <t># SMTP settings for vROps email notifications (if not specified, the default settings from VVD will be used)</t>
  </si>
  <si>
    <t># LogInsight "admin" password</t>
  </si>
  <si>
    <t># LogInsight "root" password</t>
  </si>
  <si>
    <t># LogInsight account for configuring vCenter integration. The user must be pre-created in the Active Directory.</t>
  </si>
  <si>
    <t># LogInsight account for configuring AD integration. The user must be pre-created in the Active Directory</t>
  </si>
  <si>
    <t># and can be the same as "log-insight-vc-credentials". The username must be specified without the domain.</t>
  </si>
  <si>
    <t># SMTP settings for LogInsight email notifications (if not specified, the default settings from VVD will be used)</t>
  </si>
  <si>
    <t># LogInsight admin/alert email</t>
  </si>
  <si>
    <t># *******************  C E R T I F I C A T E S  *******************</t>
  </si>
  <si>
    <t>#vRA tenant admin credentials</t>
  </si>
  <si>
    <t>SMTP Settings</t>
  </si>
  <si>
    <t>SMTP Server Port</t>
  </si>
  <si>
    <t>Send SMTP Over Secure Connection</t>
  </si>
  <si>
    <t>vROps Administrator</t>
  </si>
  <si>
    <t>Hostnames Defined for all components</t>
  </si>
  <si>
    <t>Static IP Addresses Defined for all components</t>
  </si>
  <si>
    <t>Datacenter Name Defined</t>
  </si>
  <si>
    <t>Cluster Names Defined</t>
  </si>
  <si>
    <t>EVC Settings Defined</t>
  </si>
  <si>
    <t>NSX components resolvable in DNS</t>
  </si>
  <si>
    <t>vRealize Log Insight components resolvable in DNS</t>
  </si>
  <si>
    <t>Remote Collectors - Hostnames Defined</t>
  </si>
  <si>
    <t>vROps Cluster - Hostnames Defined</t>
  </si>
  <si>
    <t>vROps Cluster - Static IPs Defined</t>
  </si>
  <si>
    <t>Remote Collectors - Static IPs Defined</t>
  </si>
  <si>
    <t>SMTP Settings Defined</t>
  </si>
  <si>
    <t>NSX Manager - Static IPs Defined</t>
  </si>
  <si>
    <t>NSX Manager - Hostnames Defined</t>
  </si>
  <si>
    <t>Virtual SAN Datastore Names Defined</t>
  </si>
  <si>
    <t>vRealize Automation - Hostnames Defined</t>
  </si>
  <si>
    <t>Portgroup Name</t>
  </si>
  <si>
    <t>Default Password</t>
  </si>
  <si>
    <t>vRLI Administrator</t>
  </si>
  <si>
    <t>vRealize Automation - IP Addresses Defined</t>
  </si>
  <si>
    <t>vRA Service Account Credentials Defined</t>
  </si>
  <si>
    <t>Windows IaaS Server Template Defined</t>
  </si>
  <si>
    <t>SQL Server and Blank Database Available</t>
  </si>
  <si>
    <t>SQL Server Hostname and IP Address Captured</t>
  </si>
  <si>
    <t>Tenant Admin Group and User Defined</t>
  </si>
  <si>
    <t>vRealize Operations Manager - Remote Collector</t>
  </si>
  <si>
    <t>Single-Sign-On Site Name</t>
  </si>
  <si>
    <t># Distributed Virtual Switch Names and Portgroups</t>
  </si>
  <si>
    <t>Distributed Virtual Switches</t>
  </si>
  <si>
    <t>Cluster Name - Management</t>
  </si>
  <si>
    <t>Single-Sign-On Site Name Defined</t>
  </si>
  <si>
    <t>Distributed Virtual Switch Names Defined</t>
  </si>
  <si>
    <t>false</t>
  </si>
  <si>
    <t>Secure Connection Type</t>
  </si>
  <si>
    <t># vRealize Automation Proxy Agent endpoints</t>
  </si>
  <si>
    <t>Servers - Proxy Agents Settings</t>
  </si>
  <si>
    <t xml:space="preserve"># “vROps “admin” password” </t>
  </si>
  <si>
    <t># NSX FTP backup (if any of the properties is left empty, then NSX backup will not be configured)</t>
  </si>
  <si>
    <t>FTP Configuration</t>
  </si>
  <si>
    <t>FTP Server Hostname</t>
  </si>
  <si>
    <t>FTP Credentials - Username</t>
  </si>
  <si>
    <t>FTP Credentials - Password</t>
  </si>
  <si>
    <t>administrator</t>
  </si>
  <si>
    <t>Certificate Management</t>
  </si>
  <si>
    <t>Replacement Certificates</t>
  </si>
  <si>
    <t>Proxy Agent Endpoint Name</t>
  </si>
  <si>
    <t>ESXi Hosts Ready for Deployment</t>
  </si>
  <si>
    <t># *******************  D N S   V A L I D A T I O N  *******************</t>
  </si>
  <si>
    <t># Core</t>
  </si>
  <si>
    <t># Automation</t>
  </si>
  <si>
    <t># Operations</t>
  </si>
  <si>
    <t># *******************  E N D   O F   F I L E  *******************</t>
  </si>
  <si>
    <t># Physical NIC name which will be used when the hosts are attached to vDS</t>
  </si>
  <si>
    <t>vmnic1</t>
  </si>
  <si>
    <t>Physical NIC to Assign to vDS - Management</t>
  </si>
  <si>
    <t>Certificate Template Created on CA</t>
  </si>
  <si>
    <t>Virtual Networking - ESXi Hosts</t>
  </si>
  <si>
    <t># VSAN datastores names</t>
  </si>
  <si>
    <t># VTEP network for Management NSX</t>
  </si>
  <si>
    <t># VTEP network for Edge/Compute NSX</t>
  </si>
  <si>
    <t># IP pool on the Management VTEP network</t>
  </si>
  <si>
    <t># vCenterAdmins group which will be granted vCenter administrator privileges</t>
  </si>
  <si>
    <t># Enable SSL only option when integrating LogInsight with Active Directory</t>
  </si>
  <si>
    <t xml:space="preserve">#  VMs/RESOURCES SIZES </t>
  </si>
  <si>
    <t>Physical Hardware and ESXi Hosts</t>
  </si>
  <si>
    <t>vRealize Automation Web Server #2</t>
  </si>
  <si>
    <t>vRealize Automation DEM Worker / Agent #1</t>
  </si>
  <si>
    <t>Datastores Defined</t>
  </si>
  <si>
    <t>All components Resolvable in DNS</t>
  </si>
  <si>
    <t>Windows IaaS Server Template Prerequisites Installed</t>
  </si>
  <si>
    <t>vRealize IaaS Database Named Defined</t>
  </si>
  <si>
    <t>vROps SMTP Settings</t>
  </si>
  <si>
    <t>vRLI SMTP Settings</t>
  </si>
  <si>
    <t># vRA tenant admin usergroup (could be a full DN but only the first CN part is extracted)</t>
  </si>
  <si>
    <t># vRA tenant architects usergroup (could be a full DN but only the first CN part is extracted)</t>
  </si>
  <si>
    <t>Proxy Agent Name (Node 1 &amp; Node 2)</t>
  </si>
  <si>
    <t>Tenant</t>
  </si>
  <si>
    <t>Existing Infrastructure Details</t>
  </si>
  <si>
    <t>DNS Zone Defined</t>
  </si>
  <si>
    <t>FTP Backup Folder - Mgmt</t>
  </si>
  <si>
    <t># Vmotion MTU</t>
  </si>
  <si>
    <t># vSAN MTU</t>
  </si>
  <si>
    <t>NTP Server #1</t>
  </si>
  <si>
    <t>NTP Server #2</t>
  </si>
  <si>
    <t># vRO Admin Group in Active Directory - vRO administrators usergroup (could be a full DN but only the first CN part is extracted)</t>
  </si>
  <si>
    <t># LogInsight account for configuring SMTP. Can be blank if using anonymous SMTP. If specified, the username must be without the domain</t>
  </si>
  <si>
    <t># Replication MTU</t>
  </si>
  <si>
    <t>Tenant Name</t>
  </si>
  <si>
    <t>Tenant URL</t>
  </si>
  <si>
    <t>Tenant Contact Email Address</t>
  </si>
  <si>
    <t># Uplink01 portgroup - VLAN settings</t>
  </si>
  <si>
    <t># Uplink02 portgroup - VLAN settings</t>
  </si>
  <si>
    <t># Management NSX edge devices for North-South routing</t>
  </si>
  <si>
    <t># Edge/Compute NSX edge devices for North-South routing</t>
  </si>
  <si>
    <t xml:space="preserve">vRealize Business for Cloud </t>
  </si>
  <si>
    <t>vRealize Business for Cloud  - Hostnames Defined</t>
  </si>
  <si>
    <t>Management  - North-South Routing Node 1</t>
  </si>
  <si>
    <t>ESG Name</t>
  </si>
  <si>
    <t>192.168.10.1</t>
  </si>
  <si>
    <t>ESG Uplink 1 IP Address</t>
  </si>
  <si>
    <t>ESG Uplink 2 IP Address</t>
  </si>
  <si>
    <t>Management  - North-South Routing Node 2</t>
  </si>
  <si>
    <t>192.168.10.2</t>
  </si>
  <si>
    <t>192.168.10.0/24</t>
  </si>
  <si>
    <t>Compute  - North-South Routing Node 1</t>
  </si>
  <si>
    <t>Compute - North-South Routing Node 2</t>
  </si>
  <si>
    <t>192.168.100.0/24</t>
  </si>
  <si>
    <t>192.168.100.1</t>
  </si>
  <si>
    <t>192.168.100.2</t>
  </si>
  <si>
    <t>Storage Total GB</t>
  </si>
  <si>
    <t>NSX Edge Services Gateway #1 - North-South</t>
  </si>
  <si>
    <t>NSX Edge Services Gateway #2 - North-South</t>
  </si>
  <si>
    <t># Management UDLR settings and static Ips</t>
  </si>
  <si>
    <t># Compute UDLR settings and static Ips</t>
  </si>
  <si>
    <t># Application virtual networks</t>
  </si>
  <si>
    <t># Local Default Admin user in vsphere.local vRA tenant</t>
  </si>
  <si>
    <t># Local Tenant Admin user in the custom vRA tenant</t>
  </si>
  <si>
    <t># Horizon administrator user credentials</t>
  </si>
  <si>
    <t># Custom tenant configuration details</t>
  </si>
  <si>
    <t># vRA inbound email provider configuration</t>
  </si>
  <si>
    <t># vRA outbound email provider configuration</t>
  </si>
  <si>
    <t># vRA branding configuration</t>
  </si>
  <si>
    <t>Inbound Email Provider Name</t>
  </si>
  <si>
    <t>Outbound Email Provider Name</t>
  </si>
  <si>
    <t>Inbound Email Provider Credentials</t>
  </si>
  <si>
    <t>Inbound Email Provider Password</t>
  </si>
  <si>
    <t>Outbound Email Provider Credentials</t>
  </si>
  <si>
    <t>Outbound Email Provider Password</t>
  </si>
  <si>
    <t>Company Name</t>
  </si>
  <si>
    <t>Product Name</t>
  </si>
  <si>
    <t>Background Colour</t>
  </si>
  <si>
    <t>Text Colour</t>
  </si>
  <si>
    <t>Copyright</t>
  </si>
  <si>
    <t>Disclaimer Link</t>
  </si>
  <si>
    <t>Contact Link</t>
  </si>
  <si>
    <t>3989C7</t>
  </si>
  <si>
    <t>FFFFFF</t>
  </si>
  <si>
    <t>Software-Defined Datacenter</t>
  </si>
  <si>
    <t>Tenant Local User - vsphere.local</t>
  </si>
  <si>
    <t>First Name</t>
  </si>
  <si>
    <t>Last Name</t>
  </si>
  <si>
    <t>Email Address</t>
  </si>
  <si>
    <t>Password</t>
  </si>
  <si>
    <t>Application Virtual Networks</t>
  </si>
  <si>
    <t>CIDR Notation</t>
  </si>
  <si>
    <t>xRegion VXLAN</t>
  </si>
  <si>
    <t>Region A VXLAN</t>
  </si>
  <si>
    <t>OneArm Load Balancer</t>
  </si>
  <si>
    <t># Load Balancer Static IPs and hostnames on the xRegion VXLAN</t>
  </si>
  <si>
    <t># Load Balancer Static IP on the xVXLAN</t>
  </si>
  <si>
    <t># vROps - Static IPs on the xVXLAN</t>
  </si>
  <si>
    <t># vROps Remote Collectors - Static IPs on the RegionA VXLAN</t>
  </si>
  <si>
    <t># Log Insight - Static IPs on the RegionA VXLAN</t>
  </si>
  <si>
    <t>Management  - UDLR</t>
  </si>
  <si>
    <t>192.168.10.3</t>
  </si>
  <si>
    <t>192.168.10.4</t>
  </si>
  <si>
    <t>UDLR Name</t>
  </si>
  <si>
    <t>Compute  - UDLR</t>
  </si>
  <si>
    <t>Management  - Top of Rack Switches</t>
  </si>
  <si>
    <t>192.168.100.3</t>
  </si>
  <si>
    <t>192.168.100.4</t>
  </si>
  <si>
    <t># Management vDS Portgroup Naming</t>
  </si>
  <si>
    <t># Edge vDS Portgroup Naming</t>
  </si>
  <si>
    <t># LogInsight archiving settings</t>
  </si>
  <si>
    <t xml:space="preserve">NFS Server </t>
  </si>
  <si>
    <t>NFS Folder</t>
  </si>
  <si>
    <t>All hosts must be installed with a basic installation of ESXi.</t>
  </si>
  <si>
    <t># vRA Fabric Group</t>
  </si>
  <si>
    <t>Tenant Configuration</t>
  </si>
  <si>
    <t>Fabric Group</t>
  </si>
  <si>
    <t>Start</t>
  </si>
  <si>
    <t>Name</t>
  </si>
  <si>
    <t>Compute UDLR Defined</t>
  </si>
  <si>
    <t>None</t>
  </si>
  <si>
    <t>OneArm Load Balancer ESG Name</t>
  </si>
  <si>
    <t># vRealize Business IPs and Hostnames and root password</t>
  </si>
  <si>
    <t>Disk Size (GB)</t>
  </si>
  <si>
    <t>NSX Edge Services Gateway #1 - oneArm LB</t>
  </si>
  <si>
    <t>NSX Edge Services Gateway #2 - oneArm LB</t>
  </si>
  <si>
    <t>NSX Edge Services Gateway  #1 - UDLR</t>
  </si>
  <si>
    <t>NSX Edge Services Gateway  #2 - UDLR</t>
  </si>
  <si>
    <t>Total Needed Per Host</t>
  </si>
  <si>
    <t>vCPU Per Core</t>
  </si>
  <si>
    <t>vCPU Per Core Host Down</t>
  </si>
  <si>
    <t>Server Configuration</t>
  </si>
  <si>
    <t>SSD</t>
  </si>
  <si>
    <t>HDD</t>
  </si>
  <si>
    <t>Total VSAN Storage</t>
  </si>
  <si>
    <t>Total RAW by Host</t>
  </si>
  <si>
    <t>Total RAW by Cluster</t>
  </si>
  <si>
    <t>Storage Needed per Host</t>
  </si>
  <si>
    <t>Default Branding</t>
  </si>
  <si>
    <t>vRealize Business for Cloud  - Static IPs Defined</t>
  </si>
  <si>
    <t>Archive and Retention</t>
  </si>
  <si>
    <t>vRealize Business for Cloud Data Collector</t>
  </si>
  <si>
    <t>Compute  - Top of Rack Switches</t>
  </si>
  <si>
    <t>vRLI SMTP Server (FQDN / IP Address)</t>
  </si>
  <si>
    <t>vRLI SMTP Server Port</t>
  </si>
  <si>
    <t>vRLI SMTP Sender Email Address</t>
  </si>
  <si>
    <t>vRLI SMTP Sender Name</t>
  </si>
  <si>
    <t>vRLI Send SMTP Over Secure Connection</t>
  </si>
  <si>
    <t>vRLI SMTP Authentication</t>
  </si>
  <si>
    <t>vRLI SMTP Requires Authentication</t>
  </si>
  <si>
    <t>vRLI Username for SMTP Authentication</t>
  </si>
  <si>
    <t>vRLI Password for SMTP Authentication</t>
  </si>
  <si>
    <t>vRLI Use Secure SSL for AD Integration</t>
  </si>
  <si>
    <t>vROps SMTP Server (FQDN / IP Address)</t>
  </si>
  <si>
    <t>vROps SMTP Server Port</t>
  </si>
  <si>
    <t>vROps SMTP Sender Email Address</t>
  </si>
  <si>
    <t>vROps SMTP Sender Name</t>
  </si>
  <si>
    <t>vROps SMTP Authentication</t>
  </si>
  <si>
    <t>vROps SMTP Requires Authentication</t>
  </si>
  <si>
    <t>vROps Username for SMTP Authentication</t>
  </si>
  <si>
    <t>vROps Password for SMTP Authentication</t>
  </si>
  <si>
    <t>vRLI Default Admin Email (Super User)</t>
  </si>
  <si>
    <t>vRLI Email System Notifications To</t>
  </si>
  <si>
    <t>vra-tenant-configuration@outboundProvider.protocol=SMTP</t>
  </si>
  <si>
    <t>Tenant Email - Inbound Provider</t>
  </si>
  <si>
    <t>Tenant Email - Outound Provider</t>
  </si>
  <si>
    <t>Inbound Server Address</t>
  </si>
  <si>
    <t>Inbound Email Address</t>
  </si>
  <si>
    <t>Outbound Email Address</t>
  </si>
  <si>
    <t>Inbound Server Port</t>
  </si>
  <si>
    <t>Inbound Server Protocol</t>
  </si>
  <si>
    <t>IMAP</t>
  </si>
  <si>
    <t>Inbound Use SSL</t>
  </si>
  <si>
    <t>Inbound Accept Self-Signed Certificates</t>
  </si>
  <si>
    <t>Outbound Server Port</t>
  </si>
  <si>
    <t>Outbound  Server Address</t>
  </si>
  <si>
    <t>Outbound Accept Self-Signed Certificates</t>
  </si>
  <si>
    <t>Outbound Encryption Method</t>
  </si>
  <si>
    <t># MTU to set on the network interfaces on ESG/UDLR/Spine/ToR edges</t>
  </si>
  <si>
    <t># This license is applied to ESX hosts, SRM</t>
  </si>
  <si>
    <t>NSX Controller #1</t>
  </si>
  <si>
    <t>NSX Controller #3</t>
  </si>
  <si>
    <t>NSX Controller #2</t>
  </si>
  <si>
    <t># Region B Management network DNS settings (if specified those DNS are set on some of the product VMs)</t>
  </si>
  <si>
    <t># NSX edges CLI password (for the admin user) - minimal length 12</t>
  </si>
  <si>
    <t>Rainpole</t>
  </si>
  <si>
    <t>rainpole</t>
  </si>
  <si>
    <t>Edge Services Gateways Default Password</t>
  </si>
  <si>
    <t>VMware123456!</t>
  </si>
  <si>
    <t># BGP password used for configuring BGP between Management ToR01 and ESG/Spine switches</t>
  </si>
  <si>
    <t># BGP password used for configuring BGP between Management ToR02 and ESG/Spine switches</t>
  </si>
  <si>
    <t># BGP password used for configuring BGP between Edge/Compute ToR01 and ESG/Spine switches</t>
  </si>
  <si>
    <t># BGP password used for configuring BGP between Edge/Compute ToR02 and ESG/Spine switches</t>
  </si>
  <si>
    <t># Autonomous system ID of the Management ToR01 switch</t>
  </si>
  <si>
    <t># Autonomous system ID of the Management ToR02 switch</t>
  </si>
  <si>
    <t># Autonomous system ID of the Management ESG and UDLR switches</t>
  </si>
  <si>
    <t># Autonomous system ID of the Edge ToR01 switch</t>
  </si>
  <si>
    <t># Autonomous system ID of the Edge ToR02 switch</t>
  </si>
  <si>
    <t># Autonomous system ID of the Edge ESG and UDLR switches</t>
  </si>
  <si>
    <t>Top of Rack 1 - IP Address</t>
  </si>
  <si>
    <t>Top of Rack 1 - Autonomous System ID</t>
  </si>
  <si>
    <t>Top of Rack 1 - BGP Neighbor Password</t>
  </si>
  <si>
    <t>Top of Rack 2 - IP Address</t>
  </si>
  <si>
    <t>Top of Rack 2 - Autonomous System ID</t>
  </si>
  <si>
    <t>Top of Rack 2 - BGP Neighbor Password</t>
  </si>
  <si>
    <t># VTEP network for Collapsed Edge/Compute VXLAN</t>
  </si>
  <si>
    <t># IP pool on the Collapsed Edge/Compute VTEP network</t>
  </si>
  <si>
    <t>Region A VXLAN - Search Domain</t>
  </si>
  <si>
    <t>Region A VXLAN - Domain</t>
  </si>
  <si>
    <t>xRegion VXLAN - Search Domain</t>
  </si>
  <si>
    <t>xRegion VXLAN - Domain</t>
  </si>
  <si>
    <t>Copyright Rainpole. All Rights Reserved</t>
  </si>
  <si>
    <t>UDLR ESG Forwarding IP</t>
  </si>
  <si>
    <t>UDLR ESG Protocol IP</t>
  </si>
  <si>
    <t># vROps account for configuring Storage Adapters. The user must be pre-created in the Active Directory</t>
  </si>
  <si>
    <t># VR OS credentials (for the root user)</t>
  </si>
  <si>
    <t># SRM VM IP address (in management network) and OS credentials (local administrator able to login through SSH)</t>
  </si>
  <si>
    <t># SRM embedded DB credentials</t>
  </si>
  <si>
    <t># SRM DSN for the embedded DB</t>
  </si>
  <si>
    <t># Static IPs on the replication network</t>
  </si>
  <si>
    <t># *******************  D I S A S T E R   R E C O V E R Y  *******************</t>
  </si>
  <si>
    <t>SRM &amp; vSphere Replication</t>
  </si>
  <si>
    <t># Replication Network for Disaster Recovery</t>
  </si>
  <si>
    <t>Administrator</t>
  </si>
  <si>
    <t># Administrator credentials for Windows-based IAAS VMs (local user from the Built-in Administrators group)</t>
  </si>
  <si>
    <t>Site Recovery Manager</t>
  </si>
  <si>
    <t>vSphere Replication</t>
  </si>
  <si>
    <t>Site Recover Manager Server</t>
  </si>
  <si>
    <t>vSphere Replication Appliance</t>
  </si>
  <si>
    <t>Storage Replication IP Address</t>
  </si>
  <si>
    <t xml:space="preserve"># Name of the vROps disk to extend to 1TB according to VVD; if blank then no disk will be extended </t>
  </si>
  <si>
    <t>vrops-hdd-name@value=Hard Disk 2</t>
  </si>
  <si>
    <t># Whether to reboot vROps node after increasing HDD; note that this might take time on slower datastores</t>
  </si>
  <si>
    <t>rebootVropsAfterHddChange@value=false</t>
  </si>
  <si>
    <t># Join domain settings for IAS Windows VMs, possible values CHILD and ROOT</t>
  </si>
  <si>
    <t># Join domain settings for IWS, IMS and DEM Windows VMs, possible values CHILD and ROOT</t>
  </si>
  <si>
    <t>Servers - Other Settings</t>
  </si>
  <si>
    <t>Domain Join Setting for Proxy Agent VMs</t>
  </si>
  <si>
    <t>Domain Join Setting for IWS, IMS &amp; DEMs VMs</t>
  </si>
  <si>
    <t>child</t>
  </si>
  <si>
    <t>Site Recovery Manager Database DSN</t>
  </si>
  <si>
    <t>Site Recovery Manager Database Port</t>
  </si>
  <si>
    <t># Network settings and static IPs for Replication VMKernel DV portgroups</t>
  </si>
  <si>
    <t># Join domain setting for the tenant, possible values CHILD and ROOT</t>
  </si>
  <si>
    <t>Domain Join Setting for vRA Tenant</t>
  </si>
  <si>
    <t># * Owner should be the username specified in "svc-vra-ad-user.username" property</t>
  </si>
  <si>
    <t># This license is applied to management VCenter</t>
  </si>
  <si>
    <t># This license is applied to compute VCenter</t>
  </si>
  <si>
    <t>Management  - Edge Services Gateway (ESG)</t>
  </si>
  <si>
    <t>Compute - Edge Services Gateway (ESG)</t>
  </si>
  <si>
    <t>Management ESG Config (North/South)</t>
  </si>
  <si>
    <t>Management Top of Rack Config</t>
  </si>
  <si>
    <t>Management UDLR Config</t>
  </si>
  <si>
    <t>Compute ESG Config (North/South)</t>
  </si>
  <si>
    <t>Compute Top of Rack Config</t>
  </si>
  <si>
    <t>ESG Node 1 IP Address</t>
  </si>
  <si>
    <t>ESG Node 2 IP Address</t>
  </si>
  <si>
    <t>small</t>
  </si>
  <si>
    <t>large</t>
  </si>
  <si>
    <t>medium</t>
  </si>
  <si>
    <t>smallrc</t>
  </si>
  <si>
    <t># VCenter sizes - valid values are "tiny", "small", "medium", "large"</t>
  </si>
  <si>
    <t># vROps sizes - valid values are xsmall, small, medium large</t>
  </si>
  <si>
    <t># vROps remote collectors sizes - valid values are smallrc and largerc</t>
  </si>
  <si>
    <t>vRA/vROPs DNS in ROOT or CHILD</t>
  </si>
  <si>
    <t>Use Child Domain for Services Account</t>
  </si>
  <si>
    <t>VXLAN (VTEP) - DHCP Network</t>
  </si>
  <si>
    <t># Compute ESGs - valid values are compact, large, xlarge</t>
  </si>
  <si>
    <t># Management ESGs - valid values are compact, large, xlarge</t>
  </si>
  <si>
    <t>TLS</t>
  </si>
  <si>
    <t>vSwitch0</t>
  </si>
  <si>
    <t>#If no value is provided, then a single standard switch is expected on each host</t>
  </si>
  <si>
    <t>vCenter &amp; PSC - Hostnames Defined</t>
  </si>
  <si>
    <t>vCenter &amp; PSC - Static IPs Defined</t>
  </si>
  <si>
    <t>SDDC-Platform</t>
  </si>
  <si>
    <t>auto-start-psc-load-balancing@enabled=false</t>
  </si>
  <si>
    <t># PSC load balancer edge device</t>
  </si>
  <si>
    <t># Whether PSC load balancing should be enabled during the automated deployment. In general, for external customer deployments, this has to remain 'false'</t>
  </si>
  <si>
    <t>Platform Service Controller Load Balancer</t>
  </si>
  <si>
    <t># The following DNS records are required for automatically standing up the load-balanced PSC setup recommended as of VVD 4.0. There is one forward (A) and one reverse (PTR) DNS record</t>
  </si>
  <si>
    <t># involved. They have to be manually created in the DNS server and described in the properties below, before the VVD DTK run begins.</t>
  </si>
  <si>
    <t># Forward DNS record of the PSC load balancer - initially, it needs to point to the Management PSC instance IP address (e.g. sfo01psc01 -&gt; PSC-MGMT-IP). Once the VVD DTK run completes, this</t>
  </si>
  <si>
    <t># record will have to be manually changed to point to the PSC load balancer's IP address. This way, all requests of services hosted on the PSC node will be redirected through the PSC load balancer.</t>
  </si>
  <si>
    <t># Reverse DNS record of the PSC load balancer - needs to point from the PSC load balancer IP to the PSC load balancer FQDN (e.g. &lt;PSC-LB-IP&gt; -&gt; sfo01psc01). This does not change once the VVD DTK run completes.</t>
  </si>
  <si>
    <t># Segment ID ranges (Management NSX)</t>
  </si>
  <si>
    <t># Segment ID ranges (Compute NSX)</t>
  </si>
  <si>
    <t># Multicast address ranges (Management NSX)</t>
  </si>
  <si>
    <t># Multicast address ranges (Compute NSX)</t>
  </si>
  <si>
    <t>End</t>
  </si>
  <si>
    <t>NSX Segment ID Range</t>
  </si>
  <si>
    <t>NSX Universal Segment ID Range</t>
  </si>
  <si>
    <t>NSX Multicast Address Range</t>
  </si>
  <si>
    <t>NSX Universal Multicast Address Range</t>
  </si>
  <si>
    <t>239.1.0.0</t>
  </si>
  <si>
    <t>239.1.255.255</t>
  </si>
  <si>
    <t>239.2.0.0</t>
  </si>
  <si>
    <t>239.2.255.255</t>
  </si>
  <si>
    <t>239.3.0.0</t>
  </si>
  <si>
    <t>239.3.255.255</t>
  </si>
  <si>
    <t>239.4.0.0</t>
  </si>
  <si>
    <t>239.4.255.255</t>
  </si>
  <si>
    <t>NSX Edge Services Gateway #1 - PSC LB</t>
  </si>
  <si>
    <t>NSX Edge Services Gateway #2 - PSC LB</t>
  </si>
  <si>
    <t># regionBManagementNetwork.primaryDns=</t>
  </si>
  <si>
    <t># regionBManagementNetwork.secondaryDns=</t>
  </si>
  <si>
    <t># *******************      R E G I O N   A       *******************</t>
  </si>
  <si>
    <t># Compute global transit network settings</t>
  </si>
  <si>
    <t>DLR ESG Forwarding IP</t>
  </si>
  <si>
    <t>DLR ESG Protocol IP</t>
  </si>
  <si>
    <t>192.168.101.0/24</t>
  </si>
  <si>
    <t>192.168.101.4</t>
  </si>
  <si>
    <t>192.168.101.1</t>
  </si>
  <si>
    <t>192.168.101.2</t>
  </si>
  <si>
    <t>192.168.101.3</t>
  </si>
  <si>
    <t>DLR Network CIDR Notation</t>
  </si>
  <si>
    <t>UDLR Network CIDR Notation</t>
  </si>
  <si>
    <t>Compute - DLR</t>
  </si>
  <si>
    <t>DLR Name</t>
  </si>
  <si>
    <t>Region A VXLAN - Logical Switch Name</t>
  </si>
  <si>
    <t>Mgmt-RegionA01-VXLAN</t>
  </si>
  <si>
    <t>xRegion VXLAN - Logical Switch Name</t>
  </si>
  <si>
    <t>Mgmt-xRegion01-VXLAN</t>
  </si>
  <si>
    <t>svc-vra-vrops</t>
  </si>
  <si>
    <t>svc-vrli-vrops</t>
  </si>
  <si>
    <t>Account Type</t>
  </si>
  <si>
    <t>Local</t>
  </si>
  <si>
    <t>Domain</t>
  </si>
  <si>
    <t>Host Profiles</t>
  </si>
  <si>
    <t># Host Profile Names (2 POD Only)</t>
  </si>
  <si>
    <t>FTP Backup Folder - Compute</t>
  </si>
  <si>
    <t># Hosts needed for the management cluster, this is where we deploy all the solutions. Up to 8 hosts, 2 is the minimum.</t>
  </si>
  <si>
    <t>Administrator  Email Address</t>
  </si>
  <si>
    <t>Update Manager Download Services</t>
  </si>
  <si>
    <t>Ubuntu Virtual Machine</t>
  </si>
  <si>
    <t>Virtual Infrastructure Totals</t>
  </si>
  <si>
    <t>Operations Management Totals</t>
  </si>
  <si>
    <t>SDDC Totals</t>
  </si>
  <si>
    <t>DNS Zones</t>
  </si>
  <si>
    <t>Root DNS Zone</t>
  </si>
  <si>
    <t>Child DNS Zone</t>
  </si>
  <si>
    <t xml:space="preserve">DNS Server #1 </t>
  </si>
  <si>
    <t>DNS Server #2</t>
  </si>
  <si>
    <t>srm-db-credentials@username=srmadmin</t>
  </si>
  <si>
    <t>srm-db-credentials@password=VMware1!</t>
  </si>
  <si>
    <t>svc-vrops-vsphere</t>
  </si>
  <si>
    <t>svc-vrops-mpsd</t>
  </si>
  <si>
    <t>vra01dem01a</t>
  </si>
  <si>
    <t>vra01dem01b</t>
  </si>
  <si>
    <t>vrb01svr01</t>
  </si>
  <si>
    <t>vrops01svr01</t>
  </si>
  <si>
    <t>vrops01svr01a</t>
  </si>
  <si>
    <t>vrops01svr01b</t>
  </si>
  <si>
    <t>vrops01svr01c</t>
  </si>
  <si>
    <t>svc-vrops-nsx</t>
  </si>
  <si>
    <t>svc-vrops-vsan</t>
  </si>
  <si>
    <t># vROps vCenter adapter credentials. The user must be pre-created in the Active Directory</t>
  </si>
  <si>
    <t># vROps to NSX for vSphere Adapter Credentials. The user must be pre-created in the Active Directory</t>
  </si>
  <si>
    <t># vROps to VSAN Adapter Credentials. The user must be pre-created in the Active Directory</t>
  </si>
  <si>
    <t># Site Name to be used for vSphere Single-Sign-on in mgmt and comp</t>
  </si>
  <si>
    <t># Region Name used for populating vROps Objects, same value as the sso-site-name</t>
  </si>
  <si>
    <t>vRealize Business for Cloud Server</t>
  </si>
  <si>
    <t>DNS1</t>
  </si>
  <si>
    <t>DNS2</t>
  </si>
  <si>
    <t>DNS3</t>
  </si>
  <si>
    <t>DNS4</t>
  </si>
  <si>
    <t>DNS5</t>
  </si>
  <si>
    <t>DNS6</t>
  </si>
  <si>
    <t>DNS7</t>
  </si>
  <si>
    <t>DNS8</t>
  </si>
  <si>
    <t>DNS9</t>
  </si>
  <si>
    <t>DNS10</t>
  </si>
  <si>
    <t>DNS11</t>
  </si>
  <si>
    <t>DOMAIN</t>
  </si>
  <si>
    <t>IPAddress</t>
  </si>
  <si>
    <t>FileName</t>
  </si>
  <si>
    <t>vRealize Automation</t>
  </si>
  <si>
    <t>Edge Host - esx01</t>
  </si>
  <si>
    <t>Edge Host - esx02</t>
  </si>
  <si>
    <t>Edge Host - esx03</t>
  </si>
  <si>
    <t>Edge Host - esx04</t>
  </si>
  <si>
    <t>Mgmt Host - esx01</t>
  </si>
  <si>
    <t>Mgmt Host - esx02</t>
  </si>
  <si>
    <t>Mgmt Host - esx03</t>
  </si>
  <si>
    <t>Mgmt Host - esx04</t>
  </si>
  <si>
    <t>Mgmt Host - esx05</t>
  </si>
  <si>
    <t>Mgmt Host - esx06</t>
  </si>
  <si>
    <t>Mgmt Host - esx07</t>
  </si>
  <si>
    <t>Mgmt Host - esx08</t>
  </si>
  <si>
    <t># vROps account for configuring vRLI integration with vROps. The user must be pre-created in the Active Directory</t>
  </si>
  <si>
    <t># vROps account for configuring vRA integration in vROps. The user must be pre-created in the Active Directory</t>
  </si>
  <si>
    <t>svc-vrops-vra</t>
  </si>
  <si>
    <t># vROps to vRA Adapter Credentials. The user must be pre-created in the Active Directory</t>
  </si>
  <si>
    <t>AED - UAE Dirham</t>
  </si>
  <si>
    <t>ALL - Albanian Lek</t>
  </si>
  <si>
    <t>ARS - Argentine Peso</t>
  </si>
  <si>
    <t>AUD - Australian Dollar</t>
  </si>
  <si>
    <t>AWG - Arubian Florin</t>
  </si>
  <si>
    <t>BBD - Barbadian Dollar</t>
  </si>
  <si>
    <t>BDT - Bangladeshi Taka</t>
  </si>
  <si>
    <t>vRB_Currencies</t>
  </si>
  <si>
    <t>BGN - Bulgarian Lev</t>
  </si>
  <si>
    <t>BHD - Bahraini Dinar</t>
  </si>
  <si>
    <t>BIF - Burundi Franc</t>
  </si>
  <si>
    <t>BMD - Bermudian Dollar</t>
  </si>
  <si>
    <t>BND - Brunei Dollar</t>
  </si>
  <si>
    <t>BOB - Bolivian Boliviano</t>
  </si>
  <si>
    <t>BRL - Brazilian Real</t>
  </si>
  <si>
    <t>BSD - Bahamian Dollar</t>
  </si>
  <si>
    <t>BWP - Botswana Pula</t>
  </si>
  <si>
    <t>BZD - Belize Dollar</t>
  </si>
  <si>
    <t>CAD - Canadian Dollar</t>
  </si>
  <si>
    <t>CDF - Congolese Franc</t>
  </si>
  <si>
    <t>CHF - Swiss Franc</t>
  </si>
  <si>
    <t>CLP - Chilean Peso</t>
  </si>
  <si>
    <t>CNY - China Yuan Renminbi</t>
  </si>
  <si>
    <t>COP - Colombian Peso</t>
  </si>
  <si>
    <t>CRC - Costa Rican Colon</t>
  </si>
  <si>
    <t>CUP - Cuban Peso</t>
  </si>
  <si>
    <t>CVE - Cape Verdean Escuso</t>
  </si>
  <si>
    <t>CZK - Czech Koruna</t>
  </si>
  <si>
    <t>DJF - Djiboutian Franc</t>
  </si>
  <si>
    <t>DKK - Danish Krone</t>
  </si>
  <si>
    <t>DOP - Dominican peso</t>
  </si>
  <si>
    <t>DZD - Algerian Dinar</t>
  </si>
  <si>
    <t>EGP - Egyptian Pound</t>
  </si>
  <si>
    <t>ETB - Etiopian Birr</t>
  </si>
  <si>
    <t>EUR - Euro</t>
  </si>
  <si>
    <t>FJD - Fijian Dollar</t>
  </si>
  <si>
    <t>GBP - British Pound</t>
  </si>
  <si>
    <t>GHS - Ghanaian Cedi</t>
  </si>
  <si>
    <t>GMD - Gambian Dalasi</t>
  </si>
  <si>
    <t>GNF - Guinean Franc</t>
  </si>
  <si>
    <t>GTQ - Guatemalan Quetzal</t>
  </si>
  <si>
    <t>HKD - Hong Kong Dollar</t>
  </si>
  <si>
    <t>HNL - Honduran Lempira</t>
  </si>
  <si>
    <t>HRK - Croatian Kuna</t>
  </si>
  <si>
    <t>HTG - Haitian Gourde</t>
  </si>
  <si>
    <t>HUF - Hungarian Forint</t>
  </si>
  <si>
    <t>IDR - Indonesia Rupiah</t>
  </si>
  <si>
    <t>ILS - Israeli Shekel</t>
  </si>
  <si>
    <t>INR - Indian Rupee</t>
  </si>
  <si>
    <t>IQD - Iraqi Dinar</t>
  </si>
  <si>
    <t>ISK - Icelandic Krona</t>
  </si>
  <si>
    <t>JMD - Jamaican Dollar</t>
  </si>
  <si>
    <t>JOD - Jordanian Dinar</t>
  </si>
  <si>
    <t>JPY - Japanese Yen</t>
  </si>
  <si>
    <t>KES - Kenyan Shilling</t>
  </si>
  <si>
    <t>KHR - Cambodian Riel</t>
  </si>
  <si>
    <t>KMF - Comorial Franc</t>
  </si>
  <si>
    <t>KRW - Korea(South) Won</t>
  </si>
  <si>
    <t>KWD - Kuwait Dinar</t>
  </si>
  <si>
    <t>KYD - Cayman Island Dollar</t>
  </si>
  <si>
    <t>KZT - Kazakhstani Tenge</t>
  </si>
  <si>
    <t>LAK - Lao Kip</t>
  </si>
  <si>
    <t>LBP - Lebanese Pound</t>
  </si>
  <si>
    <t>LKR - Sri Lankan Rupee</t>
  </si>
  <si>
    <t>LRD - Liberian Dollar</t>
  </si>
  <si>
    <t>LSL - Lesotho Loti</t>
  </si>
  <si>
    <t>LTL - Lithuanian Litas</t>
  </si>
  <si>
    <t>LYD - Libyan Dinar</t>
  </si>
  <si>
    <t>MAD - Moroccan Dirham</t>
  </si>
  <si>
    <t>MDL - Moldovan Leu</t>
  </si>
  <si>
    <t>MGA - Malagasy Ariary</t>
  </si>
  <si>
    <t>MKD - Macedonian Denar</t>
  </si>
  <si>
    <t>MMK - Myanmar Kyat</t>
  </si>
  <si>
    <t>MOP - Macanese Pataca</t>
  </si>
  <si>
    <t>MRO - Mauritanian Ouguiya</t>
  </si>
  <si>
    <t>MUR - Mauritian Rupee</t>
  </si>
  <si>
    <t>MVR - Maldivian Rufiyaa</t>
  </si>
  <si>
    <t>MWK - Malawian Kwacha</t>
  </si>
  <si>
    <t>MXN - Mexican Peso</t>
  </si>
  <si>
    <t>MYR - Malaysia Ringgit</t>
  </si>
  <si>
    <t>MZN - Mozambican Metical</t>
  </si>
  <si>
    <t>NAD - Nambian Dollar</t>
  </si>
  <si>
    <t>NGN - Nigerian Naira</t>
  </si>
  <si>
    <t>NIO - Nicaraguan Cordoba</t>
  </si>
  <si>
    <t>NOK - Norway Krone</t>
  </si>
  <si>
    <t>NPR - Nepalese Rupee</t>
  </si>
  <si>
    <t>NZD - New Zealand Dollar</t>
  </si>
  <si>
    <t>OMR - Omani Rial</t>
  </si>
  <si>
    <t>PAB - Panamanian Balboa</t>
  </si>
  <si>
    <t>PEN - Peruvian Sol</t>
  </si>
  <si>
    <t>PGK - Papua New Guinean Kina</t>
  </si>
  <si>
    <t>PHP - Philippine Peso</t>
  </si>
  <si>
    <t>PKR - Pakistani Rupee</t>
  </si>
  <si>
    <t>PLN - Polish Zloty</t>
  </si>
  <si>
    <t>PYG - Paraguayan Guarani</t>
  </si>
  <si>
    <t>QAR - Qatari Riyal</t>
  </si>
  <si>
    <t>RON - Romanian Leu</t>
  </si>
  <si>
    <t>RSD - Serbian Dinar</t>
  </si>
  <si>
    <t>RUB - Russia Ruble</t>
  </si>
  <si>
    <t>RWF - Rwandan Franc</t>
  </si>
  <si>
    <t>SAR - Saudi Arabian Riyal</t>
  </si>
  <si>
    <t>SCR - Seychellios Rupee</t>
  </si>
  <si>
    <t>SDG - Sudanese Pound</t>
  </si>
  <si>
    <t>SEK - Sweden Krona</t>
  </si>
  <si>
    <t>SGD - Singapore Dollar</t>
  </si>
  <si>
    <t>SHP - Saint Helena Pound</t>
  </si>
  <si>
    <t>SLL - Sierra Leonean Leone</t>
  </si>
  <si>
    <t>SOS - Somali Shilling</t>
  </si>
  <si>
    <t>STD - Sao Tome and Principe Dobra</t>
  </si>
  <si>
    <t>SVC - Salvadoran Colon</t>
  </si>
  <si>
    <t>SZL - Swazi Lilangeni</t>
  </si>
  <si>
    <t>THB - Thai Baht</t>
  </si>
  <si>
    <t>TMT - Turkmen Manat</t>
  </si>
  <si>
    <t>TND - Tunisian Dinar</t>
  </si>
  <si>
    <t>TRY - Turkey Lira</t>
  </si>
  <si>
    <t>TTD - Trinidad and Tobago Dollar</t>
  </si>
  <si>
    <t>TWD - Taiwan New Dollar</t>
  </si>
  <si>
    <t>TZS - Tanzanian Shilling</t>
  </si>
  <si>
    <t>UAH - Ukrainian Hryvnia</t>
  </si>
  <si>
    <t>UGX - Ugandan Shilling</t>
  </si>
  <si>
    <t>USD - US Dollar</t>
  </si>
  <si>
    <t>UYU - Uruguayan Peso</t>
  </si>
  <si>
    <t>UZS - Uzbekistani Som</t>
  </si>
  <si>
    <t>VEF - Venezuelan Bolivar</t>
  </si>
  <si>
    <t>VND - Vietnamese Dong</t>
  </si>
  <si>
    <t>XAF - Central African Franc</t>
  </si>
  <si>
    <t>XCD - East Caribbean Dollar</t>
  </si>
  <si>
    <t>XOF - West African Franc</t>
  </si>
  <si>
    <t>XPF - CFP Franc</t>
  </si>
  <si>
    <t>YER - Yemeni Rial</t>
  </si>
  <si>
    <t>ZAR - South Africa Rand</t>
  </si>
  <si>
    <t>Dateline Standard Time</t>
  </si>
  <si>
    <t>Samoa Standard Time</t>
  </si>
  <si>
    <t>Hawaiian Standard Time</t>
  </si>
  <si>
    <t>Alaskan Standard Time</t>
  </si>
  <si>
    <t>Pacific Standard Time</t>
  </si>
  <si>
    <t>Mountain Standard Time</t>
  </si>
  <si>
    <t>Mexico Standard Time 2</t>
  </si>
  <si>
    <t>U.S. Mountain Standard Time</t>
  </si>
  <si>
    <t>Central Standard Time</t>
  </si>
  <si>
    <t>Canada Central Standard Time</t>
  </si>
  <si>
    <t>Mexico Standard Time</t>
  </si>
  <si>
    <t>Central America Standard Time</t>
  </si>
  <si>
    <t>Eastern Standard Time</t>
  </si>
  <si>
    <t>U.S. Eastern Standard Time</t>
  </si>
  <si>
    <t>S.A. Pacific Standard Time</t>
  </si>
  <si>
    <t>Atlantic Standard Time</t>
  </si>
  <si>
    <t>S.A. Western Standard Time</t>
  </si>
  <si>
    <t>Pacific S.A. Standard Time</t>
  </si>
  <si>
    <t>Newfoundland and Labrador Standard Time</t>
  </si>
  <si>
    <t>E. South America Standard Time</t>
  </si>
  <si>
    <t>S.A. Eastern Standard Time</t>
  </si>
  <si>
    <t>Greenland Standard Time</t>
  </si>
  <si>
    <t>Mid-Atlantic Standard Time</t>
  </si>
  <si>
    <t>Azores Standard Time</t>
  </si>
  <si>
    <t>Cape Verde Standard Time</t>
  </si>
  <si>
    <t>GMT Standard Time</t>
  </si>
  <si>
    <t>Greenwich Standard Time</t>
  </si>
  <si>
    <t>Central Europe Standard Time</t>
  </si>
  <si>
    <t>Central European Standard Time</t>
  </si>
  <si>
    <t>Romance Standard Time</t>
  </si>
  <si>
    <t>W. Europe Standard Time</t>
  </si>
  <si>
    <t>W. Central Africa Standard Time</t>
  </si>
  <si>
    <t>E. Europe Standard Time</t>
  </si>
  <si>
    <t>Egypt Standard Time</t>
  </si>
  <si>
    <t>FLE Standard Time</t>
  </si>
  <si>
    <t>GTB Standard Time</t>
  </si>
  <si>
    <t>Israel Standard Time</t>
  </si>
  <si>
    <t>South Africa Standard Time</t>
  </si>
  <si>
    <t>Russian Standard Time</t>
  </si>
  <si>
    <t>Arab Standard Time</t>
  </si>
  <si>
    <t>E. Africa Standard Time</t>
  </si>
  <si>
    <t>Arabic Standard Time</t>
  </si>
  <si>
    <t>Iran Standard Time</t>
  </si>
  <si>
    <t>Arabian Standard Time</t>
  </si>
  <si>
    <t>Caucasus Standard Time</t>
  </si>
  <si>
    <t>Transitional Islamic State of Afghanistan Standard Time</t>
  </si>
  <si>
    <t>Ekaterinburg Standard Time</t>
  </si>
  <si>
    <t>West Asia Standard Time</t>
  </si>
  <si>
    <t>India Standard Time</t>
  </si>
  <si>
    <t>Nepal Standard Time</t>
  </si>
  <si>
    <t>Central Asia Standard Time</t>
  </si>
  <si>
    <t>Sri Lanka Standard Time</t>
  </si>
  <si>
    <t>N. Central Asia Standard Time</t>
  </si>
  <si>
    <t>Myanmar Standard Time</t>
  </si>
  <si>
    <t>S.E. Asia Standard Time</t>
  </si>
  <si>
    <t>North Asia Standard Time</t>
  </si>
  <si>
    <t>China Standard Time</t>
  </si>
  <si>
    <t>Singapore Standard Time</t>
  </si>
  <si>
    <t>Taipei Standard Time</t>
  </si>
  <si>
    <t>W. Australia Standard Time</t>
  </si>
  <si>
    <t>North Asia East Standard Time</t>
  </si>
  <si>
    <t>Korea Standard Time</t>
  </si>
  <si>
    <t>Tokyo Standard Time</t>
  </si>
  <si>
    <t>Yakutsk Standard Time</t>
  </si>
  <si>
    <t>A.U.S. Central Standard Time</t>
  </si>
  <si>
    <t>Cen. Australia Standard Time</t>
  </si>
  <si>
    <t>A.U.S. Eastern Standard Time</t>
  </si>
  <si>
    <t>E. Australia Standard Time</t>
  </si>
  <si>
    <t>Tasmania Standard Time</t>
  </si>
  <si>
    <t>Vladivostok Standard Time</t>
  </si>
  <si>
    <t>West Pacific Standard Time</t>
  </si>
  <si>
    <t>Central Pacific Standard Time</t>
  </si>
  <si>
    <t>Fiji Islands Standard Time</t>
  </si>
  <si>
    <t>New Zealand Standard Time</t>
  </si>
  <si>
    <t>Tonga Standard Time</t>
  </si>
  <si>
    <t>Timezone_Index</t>
  </si>
  <si>
    <t>Name_of_Time Zone</t>
  </si>
  <si>
    <t>Member of Active Directory Groups</t>
  </si>
  <si>
    <t># Defines the domain-controller-name for the VRLI AD configuration</t>
  </si>
  <si>
    <t># vROps OS password to be set after deployment</t>
  </si>
  <si>
    <t># Service Account for Site Recovery Manager (must be pre-created in AD)</t>
  </si>
  <si>
    <t># Service Account for vSphere Replication (must be pre-created in AD)</t>
  </si>
  <si>
    <t>svc-srm</t>
  </si>
  <si>
    <t>Service Account used for Site Recovery Manager</t>
  </si>
  <si>
    <t>svc-vr</t>
  </si>
  <si>
    <t>Service Account used for vSphere Replication</t>
  </si>
  <si>
    <t>Local Administrators</t>
  </si>
  <si>
    <t># Resource Pools for Shared Edge and Compute Cluster</t>
  </si>
  <si>
    <t>Management - Segment IDs and Multicast Ranges</t>
  </si>
  <si>
    <t>Compute - Segment IDs and Multicast Ranges</t>
  </si>
  <si>
    <t>configure-vrops-auth-source@port=3268</t>
  </si>
  <si>
    <t># Port Used for the Primary Auth source with AD</t>
  </si>
  <si>
    <t>Active Directory Server - Primary</t>
  </si>
  <si>
    <t>Active Directory Server - Secondary</t>
  </si>
  <si>
    <t>Active Directory</t>
  </si>
  <si>
    <t>Root - Domain Name</t>
  </si>
  <si>
    <t>Root - Domain Alias</t>
  </si>
  <si>
    <t xml:space="preserve">Root - Base DN Users </t>
  </si>
  <si>
    <t>Root - Base DN Group</t>
  </si>
  <si>
    <t>Root - Server URL</t>
  </si>
  <si>
    <t>Child - Domain Prefix</t>
  </si>
  <si>
    <t>Child - Domain Alias</t>
  </si>
  <si>
    <t>Child - Base DN Group</t>
  </si>
  <si>
    <t>Child - Base DN Users</t>
  </si>
  <si>
    <t>Child -  Server URL</t>
  </si>
  <si>
    <t>svc-vrops</t>
  </si>
  <si>
    <t>svc-vrops-srm</t>
  </si>
  <si>
    <t># Folder Names Mgmt Cluster - Automatically formulated in XLS using sso-site-name@value= + static values</t>
  </si>
  <si>
    <t># Folder Names Comp Cluster - Automatically formulated in XLS using sso-site-name@value= + static values</t>
  </si>
  <si>
    <t># Skip BGP Validation Tasks</t>
  </si>
  <si>
    <t>Virtual Infrastructure Layer</t>
  </si>
  <si>
    <t>Cloud Management Layer</t>
  </si>
  <si>
    <t>Business Continuity Totals</t>
  </si>
  <si>
    <t>Thick Provisioned</t>
  </si>
  <si>
    <t>Protected by Backup</t>
  </si>
  <si>
    <t>SRM Replication</t>
  </si>
  <si>
    <t>Management Workload Domain Calculations</t>
  </si>
  <si>
    <t>Operations Management Layer</t>
  </si>
  <si>
    <t>Business Continuity Layer</t>
  </si>
  <si>
    <t>Local Account on the IaaS Master Windows Virtual Machine with membership to the local Administrators Group</t>
  </si>
  <si>
    <t>Account Operators (BuiltIn), Domain Join Delegation</t>
  </si>
  <si>
    <t># vROps account for configuring SRM Management Pak - SRM Adapter Credentials. The user must be pre-created in the Active Directory</t>
  </si>
  <si>
    <t>sfo01m01esx01.sfo01.rainpole.local</t>
  </si>
  <si>
    <t>sfo01m01esx02.sfo01.rainpole.local</t>
  </si>
  <si>
    <t>sfo01m01esx03.sfo01.rainpole.local</t>
  </si>
  <si>
    <t>sfo01m01esx04.sfo01.rainpole.local</t>
  </si>
  <si>
    <t>sfo01w01esx01.sfo01.rainpole.local</t>
  </si>
  <si>
    <t>sfo01w01esx02.sfo01.rainpole.local</t>
  </si>
  <si>
    <t>sfo01w01esx03.sfo01.rainpole.local</t>
  </si>
  <si>
    <t>sfo01w01esx04.sfo01.rainpole.local</t>
  </si>
  <si>
    <t>sfo01</t>
  </si>
  <si>
    <t>rainpole.local</t>
  </si>
  <si>
    <t>sfo01.rainpole.local</t>
  </si>
  <si>
    <t>dc=rainpole,dc=local</t>
  </si>
  <si>
    <t>smtp.rainpole.local</t>
  </si>
  <si>
    <t>dc=sfo01,dc=rainpole,dc=local</t>
  </si>
  <si>
    <t>ftp.sfo01.rainpole.local</t>
  </si>
  <si>
    <t>vra01svr01</t>
  </si>
  <si>
    <t>vra01iws01</t>
  </si>
  <si>
    <t>vra01ims01</t>
  </si>
  <si>
    <t>vrops-do-not-reply@rainpole.local</t>
  </si>
  <si>
    <t>vrli-do-not-reply@rainpole.local</t>
  </si>
  <si>
    <t>administrator@rainpole.local</t>
  </si>
  <si>
    <t>https://www.rainpole.local</t>
  </si>
  <si>
    <t>https://www.rainpole.local/contact</t>
  </si>
  <si>
    <t>dc01rpl</t>
  </si>
  <si>
    <t>dc01sfo</t>
  </si>
  <si>
    <t>192.168.31.1</t>
  </si>
  <si>
    <t>192.168.31.0/24</t>
  </si>
  <si>
    <t>192.168.11.1</t>
  </si>
  <si>
    <t>192.168.11.0/24</t>
  </si>
  <si>
    <t>192.168.11.2</t>
  </si>
  <si>
    <t>192.168.11.51</t>
  </si>
  <si>
    <t>192.168.11.52</t>
  </si>
  <si>
    <t>192.168.11.54</t>
  </si>
  <si>
    <t>192.168.11.55</t>
  </si>
  <si>
    <t>192.168.11.57</t>
  </si>
  <si>
    <t>192.168.11.58</t>
  </si>
  <si>
    <t>192.168.11.59</t>
  </si>
  <si>
    <t>192.168.11.60</t>
  </si>
  <si>
    <t>192.168.11.61</t>
  </si>
  <si>
    <t>VRADB01</t>
  </si>
  <si>
    <t>192.168.11.53</t>
  </si>
  <si>
    <t>192.168.11.56</t>
  </si>
  <si>
    <t>192.168.11.66</t>
  </si>
  <si>
    <t>192.168.31.54</t>
  </si>
  <si>
    <t>192.168.11.35</t>
  </si>
  <si>
    <t>192.168.11.31</t>
  </si>
  <si>
    <t>192.168.11.32</t>
  </si>
  <si>
    <t>192.168.11.33</t>
  </si>
  <si>
    <t>192.168.31.31</t>
  </si>
  <si>
    <t>192.168.31.32</t>
  </si>
  <si>
    <t>192.168.31.10</t>
  </si>
  <si>
    <t>192.168.31.11</t>
  </si>
  <si>
    <t>192.168.31.12</t>
  </si>
  <si>
    <t>192.168.31.13</t>
  </si>
  <si>
    <t>Mgmt vCenter</t>
  </si>
  <si>
    <t>Comp vCenter</t>
  </si>
  <si>
    <t>Mgmt PSC</t>
  </si>
  <si>
    <t>Mgmt NSX</t>
  </si>
  <si>
    <t>Comp NSX</t>
  </si>
  <si>
    <t>Load Balancer - PSC</t>
  </si>
  <si>
    <t>192.168.31.52</t>
  </si>
  <si>
    <t>192.168.31.53</t>
  </si>
  <si>
    <t>dc01rpl.rainpole.local</t>
  </si>
  <si>
    <t>ug-SDDC-Admins</t>
  </si>
  <si>
    <t>ug-vCenterAdmins</t>
  </si>
  <si>
    <t>ug-vROAdmins</t>
  </si>
  <si>
    <t># Storage Gateways Used for DTK.Next</t>
  </si>
  <si>
    <t>Date</t>
  </si>
  <si>
    <t>Added 'StorageManagementNetwork.gateway=' and 'StorageComputeNetwork.gateway=' properties to capture and pass the default gateway for the external storage network.</t>
  </si>
  <si>
    <t>vRealize Suite Lifecycle Manager</t>
  </si>
  <si>
    <t>vRSLCM Virtual Appliance</t>
  </si>
  <si>
    <t>192.168.11.50</t>
  </si>
  <si>
    <t xml:space="preserve">Removed all values passed that relate to 'ext-management' portgroup in Hosts and Networks tab, also removed the following properties in the config file:
    - vds-management-initial-configuration@dvPortGroups[1].name=
    - vlan-management-external-management.vlanId=
    - externalNetwork.gateway=
    - externalNetwork.primaryDns=
    - externalNetwork.secondaryDns=
    - externalNetwork.searchDomain=
    - externalNetwork.cidrNotation=
Removed all references to vSphere Data Protection:
    - vdpMgmtIp1.address=
    - vdp-storage-configuration.name=
    - vdp-root-credentials@password=
    - vdp-mgmt-1-deployment-vmname=
    - vdp-certificate@relativeLocation=
    - vdp-certificate@password=
    - local-dns-records@records['vdpMgmtIp1']=
</t>
  </si>
  <si>
    <t>Removed all mimic spine/leaf values passed via the 'Environmental Tweaks' tab
    - spine-mgmt-edge-device-creation-name@value=
    - tor-01-mgmt-edge-device-creation-name@value=
    - tor-02-mgmt-edge-device-creation-name@value=
    - tor-01-compute-edge-device-creation-name@value=
    - tor-02-compute-edge-device-creation-name@value=
    - spineEdgeGatewayExternalIp.address=
    - mgmtTor01RegionRoutingPrimaryIp.address=
    - mgmtTor02RegionRoutingPrimaryIp.address=
    - edgeTor01RegionRoutingPrimaryIp.address=
    - edgeTor02RegionRoutingPrimaryIp.address=
    - vds-management-initial-configuration@dvPortGroups[8].name=
    - vds-edge-initial-configuration@dvPortGroups[6].name=
    - regionRoutingNetwork.cidrNotation=
    - spineEdgeGatewayManagementIp.address=
    - spineRegionRoutingIp.address=
    - spineEdgeGatewayComputeIp.address=
    - spineEdgeGatewayEdgeIp.address=
    - vds-management-initial-configuration@dvPortGroups[9].name=
    - vds-management-initial-configuration@dvPortGroups[10].name=
    - vlan-region-routing.vlanId=</t>
  </si>
  <si>
    <t xml:space="preserve">Remove certificate values leaving the relative path and password </t>
  </si>
  <si>
    <t>svc-vrli-vsphere</t>
  </si>
  <si>
    <t>vRealize Log Insight to Active Directly Integration</t>
  </si>
  <si>
    <t># ******************** vRealize Log Insight ********************</t>
  </si>
  <si>
    <t>Users and Groups Tab
   - Added a new row for the 'svc-vrli-vsphere' account and updated the formula for 'svc-loginsight-vc-ad-user.username='</t>
  </si>
  <si>
    <t>Keystore Password Used with CertGen Utility</t>
  </si>
  <si>
    <t>Removed individual references to certificate files and paths:
    - root-certificate@relativeLocation=
    - vc-mgmt-certificate@relativeLocation=
    - vc-mgmt-certificate@relativeKeyPath=
    - vc-comp-certificate@relativeLocation=
    - vc-comp-certificate@relativeKeyPath=
    - psc-certificate@relativeLocation=
    - psc-certificate@relativeKeyPath=
    - nsx-mgmt-certificate@relativeLocation=
    - nsx-mgmt-certificate@password=
    - nsx-comp-certificate@relativeLocation=
    - nsx-comp-certificate@password=
    - vra-pfx-certificate@password=
    - vra-pfx-certificate@password=
    - vra-certificate@relativeLocation=
    - vra-certificate@relativeKeyPath=
    - vra-certificate@password=
    - vra-iaas-web-pfx-certificate@relativeLocation=
    - vra-iaas-web-pfx-certificate@password=
    - vra-iaas-web-certificate@relativeLocation=
    - vra-iaas-web-certificate@relativeKeyPath=
    - vra-iaas-web-certificate@password=
    - vrb-certificate@relativeLocation=
    - vrb-certificate@password=
    - vrops-cluster-certificate@relativeLocation=
    - logInsight-certificate@relativeLocation=
    - vr-certificate@relativeLocation=
    - vr-certificate@password=
    - srm-certificate@relativeLocation=
    - srm-certificate@password=</t>
  </si>
  <si>
    <t>Step 2 - Run Parameters</t>
  </si>
  <si>
    <t>Skip the Validation of BGP Configuration</t>
  </si>
  <si>
    <t>vRealize Business for Cloud</t>
  </si>
  <si>
    <t># Configure VSAN - valid values are true or false</t>
  </si>
  <si>
    <t># Join ESXi Hosts to Active Directory - valid values are true or false</t>
  </si>
  <si>
    <t>Adjusted the skip AD join values to be true or false from root, child and none and modified the paramter
    - vcenter-compute-esx-authentication@joinDomain= to skip-esx-joinDomain-comp=
    - vcenter-mgmt-esx-authentication@joinDomain= to skip-esx-joinDomain-mgmt=</t>
  </si>
  <si>
    <t>admin@localhost</t>
  </si>
  <si>
    <t>VMw@re1!</t>
  </si>
  <si>
    <t># ******************* V R E A L I Z E   S U I T E   L I F E C Y C L E   M A N A G E R *******************</t>
  </si>
  <si>
    <t># Product selection, setting values to true skips the deployment of that product</t>
  </si>
  <si>
    <t># NSX Controller Names</t>
  </si>
  <si>
    <t>Added properties to support vRSLCM maps to "vrslcmSpec"
    - vrslcmSpec.hostname=
    - vrslcmSpec.ipAddress=
    - vrslcmSpec.appliancePassword=
    - vrslcmSpec.sshPassword=
Added new values to define prefix for NSX Controllers maps to "nsxSpec" -&gt; "nsxControllerVmNamesPrefix": "sfo01m01nsxc0%s"
    - nsxControllers.mgmt=
    - nsxControllers.compute=</t>
  </si>
  <si>
    <t>Added 'workflowName' property to allow for XSL input validation:
    - workflowName.mgmt=
    - workflowName.compute=</t>
  </si>
  <si>
    <t>Added Deployment Configuration section in the Environmentals tab to exclude various elements of the deployment:
    - excludedComponent.VRSLCM=
    - excludedComponent.VROPS=
    - excludedComponent.LogInsight=
    - excludedComponent.VRA=
    - excludedComponent.VRB=
Added the ability to exlcude deployment of VSAN
    - excludedComponent.VSAN-mgmt=
    - excludedComponent.VSAN-compute=</t>
  </si>
  <si>
    <t>Altered the default values for workflowName to follow the following syntax: =SLconfig/vvd-std-rega-mgmt and =SLconfig/vvd-std-regb-comp</t>
  </si>
  <si>
    <t>vmnic0</t>
  </si>
  <si>
    <t>Added new properties to define the vmnic allocated to vSwitch0:
    - management-hosts-vmnic=
    - compute-hosts-vmnic=</t>
  </si>
  <si>
    <t>vra01svr01c</t>
  </si>
  <si>
    <t>Added 3rd Node for vRealize Automation:
    - vraIp3.address=
    - vra-deployment-3-vmname=
    - root-dns-records@records['vraIp3']=</t>
  </si>
  <si>
    <t>Site Recovery Manager &amp; vSphere Replication</t>
  </si>
  <si>
    <t>Added the ability to exclude Disaster Recovery in the Environments Tweaks Tab:
    - excludedComponent.DisasterRecovery=</t>
  </si>
  <si>
    <t>192.168.11.20</t>
  </si>
  <si>
    <t># Shared Edge and Compute Cluster - Network settings and static IPs for vMotion VMKernel DV portgroups</t>
  </si>
  <si>
    <t># Shared Edge and Compute Cluster - Hostname and IP Address. Up to 8 hosts, 1 is the minimum with out VSAN or 3 with VSAN</t>
  </si>
  <si>
    <t># Shared Edge and Compute Cluster - Network settings and static IPs for VSAN VMKernel DV portgroups</t>
  </si>
  <si>
    <t># Management Cluster - Network Settings and staitc IPs for NFS Storage</t>
  </si>
  <si>
    <t># Shared Edge and Compute Cluster - Network Settings and staitc IPs for NFS Storage</t>
  </si>
  <si>
    <t>Shared Edge and Compute Cluster</t>
  </si>
  <si>
    <t>Cluster Name - Shared Edge &amp; Compute</t>
  </si>
  <si>
    <t># Shared Edge and Compute Cluster - Management VLAN</t>
  </si>
  <si>
    <t>Datastore Name - Shared Edge &amp; Compute</t>
  </si>
  <si>
    <t>Datastore Name - Management</t>
  </si>
  <si>
    <t>Host Profile Name - Management</t>
  </si>
  <si>
    <t>Host Profile Name - Shared Edge &amp; Compute</t>
  </si>
  <si>
    <t>Physical NIC to Assign to vDS - Shared Edge &amp; Compute</t>
  </si>
  <si>
    <t>vDS - Management</t>
  </si>
  <si>
    <t>vDS - Shared Edge &amp; Compute</t>
  </si>
  <si>
    <t>vSphere Standard Switch - Management</t>
  </si>
  <si>
    <t>vSphere Standard Switch - Shared Edge &amp; Compute</t>
  </si>
  <si>
    <t>NSX VTEP IP Pool Start Address - Management</t>
  </si>
  <si>
    <t>NSX VTEP IP Pool End Address - Management</t>
  </si>
  <si>
    <t>NSX VTEP IP Pool Start Address - Shared Edge &amp; Compute</t>
  </si>
  <si>
    <t>NSX VTEP IP Pool End Address - Shared Edge &amp; Compute</t>
  </si>
  <si>
    <t>Datacenter Name - Management</t>
  </si>
  <si>
    <t>Datacenter Name - Shared Edge &amp; Compute</t>
  </si>
  <si>
    <t>Shared Edge &amp; Compute Cluster</t>
  </si>
  <si>
    <t>VSAN Datastore Name - Management</t>
  </si>
  <si>
    <t>VSAN Datastore Name - Shared Edge &amp; Compute</t>
  </si>
  <si>
    <t># Name of vSphere Standard Switch to be migrated. The other standard switches are left intact.</t>
  </si>
  <si>
    <t># This value is used for Shared Edge &amp; Compute Hosts</t>
  </si>
  <si>
    <t>Removed dedicated compute values (old 3-POD design) - Too many propeties to reference in detail 
Removed vCenter Admin properies that have been commented out for some time:
    - vcenter-admin-ad-user.username=
    - vcenter-admin-ad-user.password=
Added 4 additional hosts for the Shared Edge &amp; Compute Cluster:
    - esxi.edge-x.address= x 4 entires
    - esx-edge-xVmotionVmkernelIp.address= x 4 entries
    - esx-edge-xVsanVmkernelIp.address= x 4 entires
    - esx-edge-xStorageVmkernelIp.address= x 4 entires
Removed special values added for DTK.Current to handle switching between 2-POD and 3-POD:
    - vlan-collapsed-edge-compute-management.vlanId=
    - vlan-collapsed-edge-compute-vmotion.vlanId=
    - vlan-collapsed-edge-compute-vxlan.vlanId=
    - vlan-collapsed-edge-compute-storage.vlanId=
    - vlan-collapsed-edge-compute-vsan.vlanId=
    - vlan-collapsed-edge-compute-uplink-01.vlanId=
    - vlan-collapsed-edge-compute-uplink-02.vlanId=
    - vlan-collapsed-edge-compute-management-mtu@mtu=
    - vlan-collapsed-edge-compute-storage-mtu@mtu=</t>
  </si>
  <si>
    <t># *******************  R U N    P A R A M E T E R S *******************</t>
  </si>
  <si>
    <t>vRealize Automation Appliance #3</t>
  </si>
  <si>
    <t>Removed Virtual Appliance Size Configuration for Mimic Spine/ToR Feature of DTK.Current:
    - spine-mgmt-edge-device-creation@applianceSize=
    - tor-01-mgmt-edge-device-creation@applianceSize=
    - tor-02-mgmt-edge-device-creation@applianceSize=
    - tor-01-compute-edge-device-creation@applianceSize=
    - tor-02-compute-edge-device-creation@applianceSize=
Renamed the 'Environmental Tweaks' tab to 'Run Parameters'
Removed the cluster admission control percentages:
   - management-cluster-cpu-failover-percent@value=
   - management-cluster-memory-failover-percent@value=
   - edge-cluster-cpu-failover-percent@value=
   - edge-cluster-memory-failover-percent@value=
   - compute-cluster-cpu-failover-percent@value=
   - compute-cluster-memory-failover-percent@value=
Renamed SRM/vR exclude components
    - excludedComponent.DRDeployment= from excludedComponent.DisasterRecovery
Remove the Run Parameter to skip Compute as no not needed as they are seperate workflowa in DTK.Next:
    - skip-compute-cluster-creation@value</t>
  </si>
  <si>
    <t>Edge Host - esx05</t>
  </si>
  <si>
    <t>Edge Host - esx06</t>
  </si>
  <si>
    <t>Edge Host - esx07</t>
  </si>
  <si>
    <t>Edge Host - esx08</t>
  </si>
  <si>
    <t>Added properties to capture default gateway of Uplink Networks:
    - mgmtUplink01Network.gateway=
    - mgmtUplink02Network.gateway=
    - edgeUplink01Network.gateway=
    - edgeUplink02Network.gateway=</t>
  </si>
  <si>
    <t>ug-vra-admins-rainpole</t>
  </si>
  <si>
    <t>ug-vra-archs-rainpole</t>
  </si>
  <si>
    <t>Adjusted the formula that calculates the LDAP address to pull hostname rather than IP address
Updated the Tenant Admin and Tenant Architect groups to use new VVD naming in Users and Groups</t>
  </si>
  <si>
    <t>vRealize Log Insight Cluster Nodes (Medium)</t>
  </si>
  <si>
    <t>Removed VM Size Setting for individual vRLI Nodes and collapsed to single value for all nodes as per new JSON Spec and renamed property accordingly
    - Renamed logInsight-master-deployment@deploymentModel= to logInsight-deployment@deploymentModel=
    - Removed logInsight-worker-1-deployment@deploymentModel=
    - Removed logInsight-worker-2-deployment@deploymentModel=</t>
  </si>
  <si>
    <t># LogInsight Virtual Appliance Size - valid values are xsmall, small, medium, large</t>
  </si>
  <si>
    <t>Customer Comment</t>
  </si>
  <si>
    <t>Component</t>
  </si>
  <si>
    <t>Physical Servers Racked with Cabling</t>
  </si>
  <si>
    <t>Active Directory Service Accounts - Pre-Configured</t>
  </si>
  <si>
    <t>DNS Configuration - Pre-Configured</t>
  </si>
  <si>
    <t>Local Account with memership to built-in Administrators Group on the Windows Server where SRM will be installed.</t>
  </si>
  <si>
    <t>vRealize Suite Lifecycle components resolvable in DNS</t>
  </si>
  <si>
    <r>
      <t xml:space="preserve">Instructions: </t>
    </r>
    <r>
      <rPr>
        <sz val="10"/>
        <color rgb="FFFF0000"/>
        <rFont val="Metropolis"/>
      </rPr>
      <t xml:space="preserve">Use this tab to discuss with the customer the parameters needed to create a tenant within vRealize Automation. The automated deployment can automatically create a new tenant based on these settings. </t>
    </r>
    <r>
      <rPr>
        <sz val="10"/>
        <rFont val="Metropolis"/>
      </rPr>
      <t>(Existing values are just examples)</t>
    </r>
    <r>
      <rPr>
        <sz val="10"/>
        <color rgb="FFFF0000"/>
        <rFont val="Metropolis"/>
      </rPr>
      <t xml:space="preserve">. The default values could be left to deploy a demonstration tenant based on Rainpole.  </t>
    </r>
    <r>
      <rPr>
        <b/>
        <sz val="10"/>
        <color rgb="FFFF0000"/>
        <rFont val="Metropolis"/>
      </rPr>
      <t>If a cell turns red then the property is a required value or the data entered has failed validation and it should be fixed before proceeding.</t>
    </r>
    <r>
      <rPr>
        <b/>
        <sz val="10"/>
        <color theme="1"/>
        <rFont val="Metropolis"/>
      </rPr>
      <t xml:space="preserve"> Grey cells are populated automatically, the values can be over-ridded but you will loose the original formula in such scenarios.</t>
    </r>
  </si>
  <si>
    <r>
      <rPr>
        <b/>
        <sz val="10"/>
        <color theme="1"/>
        <rFont val="Metropolis"/>
      </rPr>
      <t>External Storage</t>
    </r>
    <r>
      <rPr>
        <sz val="10"/>
        <color theme="1"/>
        <rFont val="Metropolis"/>
      </rPr>
      <t xml:space="preserve"> - All ESXi hosts must be configured with the following settings:
  - Shared storage presented to each ESXi host and datastore named (NFS, FC, iSCSI)
     - NFS/iSCSI, Portgroup created with valid VLAN ID, and relevant VMKernels created
     - FC, Zoning configured</t>
    </r>
  </si>
  <si>
    <r>
      <rPr>
        <b/>
        <sz val="10"/>
        <color theme="1"/>
        <rFont val="Metropolis"/>
      </rPr>
      <t>Virtual Infrastructure Layer</t>
    </r>
    <r>
      <rPr>
        <sz val="10"/>
        <color theme="1"/>
        <rFont val="Metropolis"/>
      </rPr>
      <t xml:space="preserve"> - All proposed hostnames are resolvable for forward, reverse, short name and long name resolution.
  - Platform Services Controller 
  - vCenter Server
  - NSX Manager</t>
    </r>
  </si>
  <si>
    <r>
      <rPr>
        <b/>
        <sz val="10"/>
        <color theme="1"/>
        <rFont val="Metropolis"/>
      </rPr>
      <t xml:space="preserve">Cloud Management Layer </t>
    </r>
    <r>
      <rPr>
        <sz val="10"/>
        <color theme="1"/>
        <rFont val="Metropolis"/>
      </rPr>
      <t>- All proposed hostnames are resolvable for forward, reverse, short name and long name resolution.
  - vRealize Automation
  - vRealize Business for Cloud</t>
    </r>
  </si>
  <si>
    <r>
      <rPr>
        <b/>
        <sz val="10"/>
        <color theme="1"/>
        <rFont val="Metropolis"/>
      </rPr>
      <t>Business Continuity Layer</t>
    </r>
    <r>
      <rPr>
        <sz val="10"/>
        <color theme="1"/>
        <rFont val="Metropolis"/>
      </rPr>
      <t xml:space="preserve"> - All proposed hostnames are resolvable for forward, reverse, short name and long name resolution.
  - Site Recovery Manager
  - vSphere Replication</t>
    </r>
  </si>
  <si>
    <r>
      <rPr>
        <b/>
        <sz val="10"/>
        <color theme="1"/>
        <rFont val="Metropolis"/>
      </rPr>
      <t>Service Accounts</t>
    </r>
    <r>
      <rPr>
        <sz val="10"/>
        <color theme="1"/>
        <rFont val="Metropolis"/>
      </rPr>
      <t xml:space="preserve"> - All application-to-application service accounts and groups required in Active Directory must be pre-created by the customer. See Users and Groups tab.</t>
    </r>
  </si>
  <si>
    <r>
      <rPr>
        <b/>
        <sz val="10"/>
        <color theme="1"/>
        <rFont val="Metropolis"/>
      </rPr>
      <t>Microsoft Certificate Authority</t>
    </r>
    <r>
      <rPr>
        <sz val="10"/>
        <color theme="1"/>
        <rFont val="Metropolis"/>
      </rPr>
      <t xml:space="preserve">
  - Create Microsoft Certificate Authority Template
  - Enable the Microsoft Certificate Authority Template</t>
    </r>
  </si>
  <si>
    <r>
      <rPr>
        <b/>
        <sz val="10"/>
        <color theme="1"/>
        <rFont val="Metropolis"/>
      </rPr>
      <t>Microsoft SQL Server</t>
    </r>
    <r>
      <rPr>
        <sz val="10"/>
        <color theme="1"/>
        <rFont val="Metropolis"/>
      </rPr>
      <t xml:space="preserve"> - Configure the following settings:
  - Enable Microsoft Distributed Transaction Coordinator (MSDTC)
  - Create the vRealize Automation database login
  - Create an empty databases for vRealize Automation</t>
    </r>
  </si>
  <si>
    <r>
      <t xml:space="preserve">Instructions: </t>
    </r>
    <r>
      <rPr>
        <sz val="10.5"/>
        <color rgb="FFFF0000"/>
        <rFont val="Metropolis"/>
      </rPr>
      <t xml:space="preserve">Use this tab to discuss with the customer the pre-requisites required in order to implement the SDDC solution. Customer should supply information against each yellow box during the planning phase of the engagement.  If a value is not required enter 'n/a'. </t>
    </r>
    <r>
      <rPr>
        <b/>
        <sz val="11"/>
        <color theme="1"/>
        <rFont val="Metropolis"/>
      </rPr>
      <t>Grey cells are populated automatically, the values can be over-ridded but you will loose the original formula in such scenarios.</t>
    </r>
  </si>
  <si>
    <t>Updated Prerequisites section and adjusted formatting
Adjusted the layout for Groups to provide more screen space for service accounts</t>
  </si>
  <si>
    <t>intel-merom</t>
  </si>
  <si>
    <t>intel-penryn</t>
  </si>
  <si>
    <t>intel-nehalem</t>
  </si>
  <si>
    <t>intel-westmere</t>
  </si>
  <si>
    <t>intel-sandybridge</t>
  </si>
  <si>
    <t>intel-ivybridge</t>
  </si>
  <si>
    <t>intel-haswell</t>
  </si>
  <si>
    <t>amd-rev-f</t>
  </si>
  <si>
    <t>amd-greyhound-no3dnow</t>
  </si>
  <si>
    <t>amd-greyhound</t>
  </si>
  <si>
    <t>amd-bulldozer</t>
  </si>
  <si>
    <t>amd-piledriver</t>
  </si>
  <si>
    <t>intel-broadwell</t>
  </si>
  <si>
    <t>EVC_Settings</t>
  </si>
  <si>
    <t>svc-vrslcm-vsphere</t>
  </si>
  <si>
    <t>Added SRM license key "srm-license@key="</t>
  </si>
  <si>
    <t>vRLI Node #1 (Master)</t>
  </si>
  <si>
    <t>vRLI Node #3 (Worker)</t>
  </si>
  <si>
    <t>vRLI Load Balancer</t>
  </si>
  <si>
    <t>svc-vro</t>
  </si>
  <si>
    <t>vRealize Orchestrator Service Account</t>
  </si>
  <si>
    <t>Exposed 'svc-vro' user as configurable within Users and Groups tab and added a formula to calculate
Adjusted vROps Cluster and Remote Collector properties to be singular:
  - "vrops-deployment@deploymentModel="
   - "vrops-remote-collector-deployment@deploymentModel="</t>
  </si>
  <si>
    <t>vRealize Operations Manager Nodes (Medium)</t>
  </si>
  <si>
    <t>vRealize Operations Manager Remote Collector Nodes (smallrc)</t>
  </si>
  <si>
    <t># Service Account for vRSLCM to vSphere Integration</t>
  </si>
  <si>
    <t>Added vRSLCM Properties to Config_File_Build tab:
   - svc-vrslcm-ad-user.username=
   - svc-vrslcm-ad-user.password=</t>
  </si>
  <si>
    <t>vra01mssql01</t>
  </si>
  <si>
    <t>ug-SDDC-Ops</t>
  </si>
  <si>
    <t># AD group used for Operations Management of SDDC</t>
  </si>
  <si>
    <t>Added SDDC-Ops Group
   - SDDC-Ops-ad-group.name=</t>
  </si>
  <si>
    <t>SQL Server Hostname</t>
  </si>
  <si>
    <t>SQL External to Managemet Workload Domain</t>
  </si>
  <si>
    <t>No</t>
  </si>
  <si>
    <t># MSSQL Server IP address</t>
  </si>
  <si>
    <t># MSSQL Server External to Management Workload Domain</t>
  </si>
  <si>
    <t>Added new property to define when SQL is external 
   - "mssql-server-external="
Removed the following elements:
    - "default-network-name=" VM Network is hard coded
    - "migrate-all-mgmt-vms-to-vds@customVmNamesToMigrate="
    - "migrate-all-mgmt-vms-to-vds@customDvPortgroupNameToMigrateOn="</t>
  </si>
  <si>
    <t>vRealize Automation Tenant Configuration - Infrastructure Related Items</t>
  </si>
  <si>
    <t>Added excludedComponent for Skipping vRA Teanant Config:
    - excludedComponent.VRATenantContent=false
Reworked the vRA Configuration Tab to show clearer Infrastructure v Tenant Config</t>
  </si>
  <si>
    <t>vDS MTU - Management</t>
  </si>
  <si>
    <t>vDS MTU - Shared Edge &amp; Compute</t>
  </si>
  <si>
    <t>Adjusted Properties for MTU Size on the VDS:
    - vds-mgmt-mtu@mtu=
    - vds-edge-mtu@mtu=</t>
  </si>
  <si>
    <t>Added new propery for CEIP Enablement:
    - CeipEnabled=</t>
  </si>
  <si>
    <t>Enable Customer Experience Improvement Program (CEIP)</t>
  </si>
  <si>
    <t>Adjusted the MS SQL Server address to generate an FQDN rather than passing and IP Address</t>
  </si>
  <si>
    <t>support-team@rainpole.local</t>
  </si>
  <si>
    <t>sfo01m01nsxc01</t>
  </si>
  <si>
    <t>sfo01m01nsxc02</t>
  </si>
  <si>
    <t>sfo01m01nsxc03</t>
  </si>
  <si>
    <t>sfo01w01nsxc01</t>
  </si>
  <si>
    <t>sfo01w01nsxc02</t>
  </si>
  <si>
    <t>sfo01w01nsxc03</t>
  </si>
  <si>
    <t>cn=Users,dc=rainpole,dc=local</t>
  </si>
  <si>
    <t>cn=Users,dc=sfo01,dc=rainpole,dc=local</t>
  </si>
  <si>
    <t>Added Conditional Formatting Validation to:
    - vRA Proxy Agent Systems based on domain setting - turns red if n/a appears in the FQDN</t>
  </si>
  <si>
    <t>ESXi</t>
  </si>
  <si>
    <t>Generate Signed Certificates using the CertGenVVD PowerShell Script
  - Platform Services Controller
  - vCenter Server
  - NSX Manager
  - vRealize Suite Lifecycle Manager
  - vRealize Operations Manager
  - vRealize Log Insight
  - vRealize Automation
  - vRealize Business for Cloud
  - Site Recovery Manager
  - vSphere Replication</t>
  </si>
  <si>
    <t>vRealize Operations Manager - Integration with Active Directory</t>
  </si>
  <si>
    <t>Default Tenant for vRealize Automation</t>
  </si>
  <si>
    <t>Tenant architect role in vRealize Automation for creating the blueprints that tenants request from the service catalog</t>
  </si>
  <si>
    <t>Deployment Configuration Options</t>
  </si>
  <si>
    <t>vCenter Server Appliance - Managemnet Domain (Small)</t>
  </si>
  <si>
    <t>vCenter Server Appliance - Workload Domain (Large)</t>
  </si>
  <si>
    <r>
      <t xml:space="preserve">Instructions: </t>
    </r>
    <r>
      <rPr>
        <sz val="10"/>
        <color rgb="FFFF0000"/>
        <rFont val="Metropolis"/>
      </rPr>
      <t>Use this tab to make some adjustments to handle environmental changes to the way Cloud Builder implements the VMware Validated Design, these include:
 - Exclude products from the deployment to handle specific use cases
 - Skip certain procedures to handle environmental constraints
 - Adjust the size of appliances deployed from the values defined within the VVD to allow deployment on resource constraint platforms.</t>
    </r>
  </si>
  <si>
    <t>Step 1 - Product Selection - Select which products you would like to deploy</t>
  </si>
  <si>
    <t>Yes</t>
  </si>
  <si>
    <t>Perform Configuration of vRealize Automation Tenant (Rainpole)</t>
  </si>
  <si>
    <t>Skip Adding ESXi Hosts to Active Directory - Management Domain</t>
  </si>
  <si>
    <t>Skip Adding ESXi Hosts to Active Directory - Workload Domain</t>
  </si>
  <si>
    <t>Made some adjustments to layout / wording and syntax:
Run Paramters:
    - Switch on true/false values to Yes/No to make it more customer friendly</t>
  </si>
  <si>
    <t>Management Domain - Load Balancer - Default Large</t>
  </si>
  <si>
    <t>Management Domain - Universal Distributed Logical Router - Default Large</t>
  </si>
  <si>
    <t>Management Domain - Edge Services Gateway (ECMP) #01 (Large)</t>
  </si>
  <si>
    <t>Management Domain - Edge Services Gateway (ECMP) #02 (Large)</t>
  </si>
  <si>
    <t>Workload Domain - Edge Services Gateway (ECMP) #01 (Large)</t>
  </si>
  <si>
    <t>Workload Domain - Edge Services Gateway (ECMP) #02 (Large)</t>
  </si>
  <si>
    <t>Workload Domain - Universal Distributed Logical Router (Large)</t>
  </si>
  <si>
    <t>Workload Domain - Load Balancer (Large)</t>
  </si>
  <si>
    <t>Management Domain</t>
  </si>
  <si>
    <t>Workload Domain</t>
  </si>
  <si>
    <t>Enable vRealize Orchestrator Multi-Tenancy Support</t>
  </si>
  <si>
    <t># vRealize Automation Run Parameters Options</t>
  </si>
  <si>
    <t xml:space="preserve">Addressed PR 2228841 - Added support for enabling vRO Multi Tenancy </t>
  </si>
  <si>
    <t># NSX CLI privilege mode password</t>
  </si>
  <si>
    <t>Addressed PR 2213320 - Updated NSX Manager Privileged User Account to NSX Manager CLI Privileged User Account</t>
  </si>
  <si>
    <t>Management Domain Networks</t>
  </si>
  <si>
    <t>Shared Edge and Compute Workload Domain Networks</t>
  </si>
  <si>
    <t>Management Domain ESXi Hosts</t>
  </si>
  <si>
    <t>Shared Edge and Compute Workload Domain ESXi Hosts</t>
  </si>
  <si>
    <t>Physical NIC Allocated to vSS - Management</t>
  </si>
  <si>
    <t>Physical NIC Allocated to vSS - Shared Edge &amp; Compute</t>
  </si>
  <si>
    <t>Deployment Paramters Tab
    - Removed vmk1 and vmk0 settings
    - vSS to vDS True/False option
    - Added duplicate IP conditional format for all Application Networks</t>
  </si>
  <si>
    <t>vRealize Automation Servers</t>
  </si>
  <si>
    <t>Virtual Appliance #1</t>
  </si>
  <si>
    <t>Virtual Appliance #2</t>
  </si>
  <si>
    <t>Virtual Appliance #3</t>
  </si>
  <si>
    <t>IaaS - Web Server #1</t>
  </si>
  <si>
    <t>IaaS - Web Server #2</t>
  </si>
  <si>
    <t>Iaas - Manager Server #1</t>
  </si>
  <si>
    <t>IaaS - Manager Server #2</t>
  </si>
  <si>
    <t>Iaas - Worker DEM / Agent Server #1</t>
  </si>
  <si>
    <t>Iaas - Worker DEM / Agent Server #2</t>
  </si>
  <si>
    <t>Iaas - Windows Master Serever (Cloned)</t>
  </si>
  <si>
    <t>SQL Server Database Name</t>
  </si>
  <si>
    <t>SQL Server Database Port</t>
  </si>
  <si>
    <t>Load Balancer - Virtual Appliance Web</t>
  </si>
  <si>
    <t>Load Balancer - IaaS Web Servers</t>
  </si>
  <si>
    <t>Load Balancer - IaaS Manager Servers</t>
  </si>
  <si>
    <t>Virtual Appliance - Server</t>
  </si>
  <si>
    <t>Currency</t>
  </si>
  <si>
    <t>Virtual Appliance - Data Collector</t>
  </si>
  <si>
    <t>vRealize Operations Manager Servers</t>
  </si>
  <si>
    <t>Load Balancer</t>
  </si>
  <si>
    <t>Virtual Appliance #1 - Master</t>
  </si>
  <si>
    <t>Virtual Appliance #2 - Master Replica</t>
  </si>
  <si>
    <t>Virtual Appliance #3 - Data Node</t>
  </si>
  <si>
    <t>vRealize Operations Manager Remote Collectors</t>
  </si>
  <si>
    <t>svc-umds</t>
  </si>
  <si>
    <t># vSphere Update Manager Download Service</t>
  </si>
  <si>
    <t>vSphere Update Manager Download Service</t>
  </si>
  <si>
    <t>Update Manager Download Service</t>
  </si>
  <si>
    <t>Server</t>
  </si>
  <si>
    <t>Update Manager Download Service - Unbunu VM</t>
  </si>
  <si>
    <t># Unbuntu System Used for Installing UMDS</t>
  </si>
  <si>
    <t># UMDS Service Account</t>
  </si>
  <si>
    <t>Hostname and IP Address Defined</t>
  </si>
  <si>
    <t>Skip Creating Host Profiles - Management and Workload Domains</t>
  </si>
  <si>
    <t># Skip Creation of Host Profiles (Both Management and Shared Edge &amp; Compute Domains)</t>
  </si>
  <si>
    <t>Administrative group for the SDDC</t>
  </si>
  <si>
    <t>Group with accounts that are assigned vCenter Server administrator privileges</t>
  </si>
  <si>
    <t>SDDC operators group</t>
  </si>
  <si>
    <t>Groups with vRealize Orchestrator Administrator privileges</t>
  </si>
  <si>
    <t>Tenant administrators group</t>
  </si>
  <si>
    <t>Tenant blueprint architects group</t>
  </si>
  <si>
    <t>Group Scope</t>
  </si>
  <si>
    <t>Universal</t>
  </si>
  <si>
    <t>Active Directory Group Name</t>
  </si>
  <si>
    <r>
      <rPr>
        <b/>
        <sz val="10"/>
        <color theme="1"/>
        <rFont val="Metropolis"/>
      </rPr>
      <t>Physical Hardware</t>
    </r>
    <r>
      <rPr>
        <sz val="10"/>
        <color theme="1"/>
        <rFont val="Metropolis"/>
      </rPr>
      <t xml:space="preserve"> - racked and cabled and must be installed with ESXi (up to 8 hosts). (Minimum of 4 hosts per cluster type if using vSAN as a datastore.</t>
    </r>
  </si>
  <si>
    <t>NTP and DNS settings must be the same as the deployment tool.</t>
  </si>
  <si>
    <r>
      <rPr>
        <b/>
        <sz val="10"/>
        <color theme="1"/>
        <rFont val="Metropolis"/>
      </rPr>
      <t>Virtual SAN Configuration</t>
    </r>
    <r>
      <rPr>
        <sz val="10"/>
        <color theme="1"/>
        <rFont val="Metropolis"/>
      </rPr>
      <t xml:space="preserve"> - All disks available for use.</t>
    </r>
  </si>
  <si>
    <t>Ensure to configure the DNS for Platform Services Controller Load Balancer as per the deployment guide.</t>
  </si>
  <si>
    <r>
      <rPr>
        <b/>
        <sz val="10"/>
        <color theme="1"/>
        <rFont val="Metropolis"/>
      </rPr>
      <t>Domain Join Service Account</t>
    </r>
    <r>
      <rPr>
        <sz val="10"/>
        <color theme="1"/>
        <rFont val="Metropolis"/>
      </rPr>
      <t xml:space="preserve"> - Ensure that you have an Active Directory Service Account with correct access to join system to the domain (Used by the deployment tool during the deployment process).
     1. Delegate ‘join domain access’
     2. Add the user to the Account Operators group
     3. Set specific access rights as per https://support.microsoft.com/en-gb/kb/932455</t>
    </r>
  </si>
  <si>
    <t>Configure the same user in both the parent and child domains</t>
  </si>
  <si>
    <t>Download the CertGen / CertConfig tools, generate the signed certs and transfer to the deployment tool as per the deployment guide.</t>
  </si>
  <si>
    <t>Set up a Master Windows System for vRealize Automation IaaS Nodes as per the deployment guide</t>
  </si>
  <si>
    <r>
      <rPr>
        <b/>
        <sz val="10"/>
        <color theme="1"/>
        <rFont val="Metropolis"/>
      </rPr>
      <t>Operations Management Layer</t>
    </r>
    <r>
      <rPr>
        <sz val="10"/>
        <color theme="1"/>
        <rFont val="Metropolis"/>
      </rPr>
      <t xml:space="preserve"> - All proposed hostnames are resolvable for forward, reverse, short name and long name resolution.
  - vRealize Suite Lifecycle Manager
  - vRealize Operations Manager
  - vRealize Log Insight
  - vSphere Update Manager Download Service</t>
    </r>
  </si>
  <si>
    <r>
      <t xml:space="preserve">Instructions: </t>
    </r>
    <r>
      <rPr>
        <sz val="10"/>
        <color rgb="FFFF0000"/>
        <rFont val="Metropolis"/>
      </rPr>
      <t xml:space="preserve">Use this tab to capture the service accounts, groups and passwords that must exist in Active Directory in order to implement the SDDC platform. Information against each yellow box must be provided during the planning phase in order for the platform to be built.  </t>
    </r>
    <r>
      <rPr>
        <sz val="10"/>
        <rFont val="Metropolis"/>
      </rPr>
      <t>(Existing values are just examples)</t>
    </r>
    <r>
      <rPr>
        <sz val="10"/>
        <color rgb="FFFF0000"/>
        <rFont val="Metropolis"/>
      </rPr>
      <t>. If a cell turns red then the property information is either missing or validation has failed.</t>
    </r>
  </si>
  <si>
    <t>VSAN 6.7 U1</t>
  </si>
  <si>
    <t>6.7 U1</t>
  </si>
  <si>
    <t>6.4.4</t>
  </si>
  <si>
    <t>Windows Server 2016</t>
  </si>
  <si>
    <t>8.1.1</t>
  </si>
  <si>
    <t>vCenter Server (Management Domain)</t>
  </si>
  <si>
    <t>Shared Edge and Compute Workload Domain</t>
  </si>
  <si>
    <t>Platform Service Controller (Management Domain)</t>
  </si>
  <si>
    <t>NSX Manager(Management Domain)</t>
  </si>
  <si>
    <t>vCenter Server (Workload Domain)</t>
  </si>
  <si>
    <t>Platform Service Controller (Workload Domain)</t>
  </si>
  <si>
    <t>NSX Manager (Workload Domain)</t>
  </si>
  <si>
    <t>vRealize Business for Cloud Collector</t>
  </si>
  <si>
    <t>RAM Calculations (Without ESXi efficiencies)</t>
  </si>
  <si>
    <t>Microsoft SQL Server 2017 (vRA IaaS DB)</t>
  </si>
  <si>
    <t>Cloud Management Totals</t>
  </si>
  <si>
    <t>Set up a Windows System for Site Recovery Manager as per the deployment guide</t>
  </si>
  <si>
    <t xml:space="preserve">Cloud Management Layer Prerequisites </t>
  </si>
  <si>
    <t xml:space="preserve">Business Continuity Layer Prerequisites </t>
  </si>
  <si>
    <r>
      <rPr>
        <b/>
        <sz val="10"/>
        <color theme="1"/>
        <rFont val="Metropolis"/>
      </rPr>
      <t>ESXi Configuration</t>
    </r>
    <r>
      <rPr>
        <sz val="10"/>
        <color theme="1"/>
        <rFont val="Metropolis"/>
      </rPr>
      <t xml:space="preserve"> - All ESXi hosts must be configured with the following settings:
  - Static IP Address assigned to the Management interface (vmk0)
  - Management Network portgroup configured with correct VLAN ID
  - VM Network portgroup configured with the same VLAN ID as the Management Network
  - TSM-SSH Service enabled and policy set to 'Start and Stop with Host'
  - NTP Service enabled, configured and policy set to 'Start and Stop with Host'</t>
    </r>
  </si>
  <si>
    <t>Default Single-Sign On Domain - Administrator Account</t>
  </si>
  <si>
    <t>Service account for performing domain-join operations from certain SDDC management components (Platform Services Controllers, ESXi, vRealize Automation IaaS Hosts)</t>
  </si>
  <si>
    <t>vCenter Server Virtual Appliances - Root Account</t>
  </si>
  <si>
    <t>ESXi Hosts - Root Account (Same across all hosts)</t>
  </si>
  <si>
    <t>NSX Manager - Administrator Account</t>
  </si>
  <si>
    <t>NSX Manager - CLI Privileged User Account</t>
  </si>
  <si>
    <t>vRealize Suite Lifecycle Manager - Root Account</t>
  </si>
  <si>
    <t>vRealize Suite Lifecycle Manager - Admin Account</t>
  </si>
  <si>
    <t>Service account for deploying and managing the lifecycle of vRealize Suite components on the Software-Defined Data Center management domain - Assigned the vRealize Suite Lifecycle Manager User Role</t>
  </si>
  <si>
    <t>vRealize Operations Manager - Root Account</t>
  </si>
  <si>
    <t>vRealize Operations Manager - Admin Account</t>
  </si>
  <si>
    <t>vRealize Operations Manager to vCenter - vCenter Adapter (Assigned the vCenter Read-only Role)</t>
  </si>
  <si>
    <t>vRealize Operations Manager to NSX - NSX for vSphere Adapter (Assigned the vCenter Read-only Role)</t>
  </si>
  <si>
    <t>vRealize Operations Manager to vCenter - Storage Devices Adapter (Assigned the vCenter Custom MPSD Metrics User Role)</t>
  </si>
  <si>
    <t>vRealize Operations Manager to vCenter - VSAN Adapter (Assigned the vCenter Custom MPSD Metrics User Role)</t>
  </si>
  <si>
    <r>
      <t xml:space="preserve">vRealize Operations Manager to vRealize Automation - vRA Adapter (Assigned vRealize Automation Roles -  </t>
    </r>
    <r>
      <rPr>
        <i/>
        <sz val="10"/>
        <rFont val="Metropolis"/>
      </rPr>
      <t>Tenant Admin, IaaS Admin, Infrastructure Architect, Software Architect and Fabric Aadmin</t>
    </r>
    <r>
      <rPr>
        <sz val="10"/>
        <rFont val="Metropolis"/>
      </rPr>
      <t>)</t>
    </r>
  </si>
  <si>
    <t>vRealize Automation to vRealize Operations Manager Integration (Assigned vRealize Operations Manager Role - ReadyOnly - Compute vCenter)</t>
  </si>
  <si>
    <t>vRealize Log Insight to vRealize Operations Manager Integration (Assigned vRealize Operations Manager Role Administrator - All Objects)</t>
  </si>
  <si>
    <t>vRealize Operations Manager to vCenter - SRM Adapter (Assigned the vCenter SRM Read-only Role)</t>
  </si>
  <si>
    <t>vRealize Log Insight - Root Account</t>
  </si>
  <si>
    <t>vRealize Log Insight - Admin Account</t>
  </si>
  <si>
    <t>vRealize Log Insight to vSphere Integration (Assigned Custom 'Log Insight User' Role)</t>
  </si>
  <si>
    <t>vRealize Automation - Root Account</t>
  </si>
  <si>
    <t>vRealize Business for Cloud - Root Account</t>
  </si>
  <si>
    <t>vSphere Replication Virtual Appliance - Root Account</t>
  </si>
  <si>
    <t>Local Account on the Ubuntu VM used for installing vSphere Update Manager Download Service</t>
  </si>
  <si>
    <t>Address PR 2232975, add UMDS IP Address and Credentials to XLS
Added ability to Skip Host Profiles
Reviewed Prerequisite Checklist, Management Workloads and Users and Groups Tab for John Dory release and protected the cells by default
Moved root account from Deployment Paramters Tab to Users and Groups Tab
Removed unneeded vRA configuration values</t>
  </si>
  <si>
    <t>Active Directory Domain Controller FQDN</t>
  </si>
  <si>
    <t>Removed the following unused properties from Config_File_Build:
    - sshd-ad-credentials@username=svc-SSHD
    - sshd-ad-credentials@password=VMware1!</t>
  </si>
  <si>
    <t xml:space="preserve">Added protection to tabs: vRA Configuration, Run Parameters, CertConfig, Hosts and Networks </t>
  </si>
  <si>
    <t>Universal Distributed Logical Router - MTU Size</t>
  </si>
  <si>
    <r>
      <t xml:space="preserve">Instructions: </t>
    </r>
    <r>
      <rPr>
        <sz val="10"/>
        <color rgb="FFFF0000"/>
        <rFont val="Metropolis"/>
      </rPr>
      <t xml:space="preserve">Use this tab to discuss with the customer and capture the configuration paramaters required in order to implement the SDDC platform. Customer will need to supply information against each yellow box during the planning phase of the engagement in order for the platform to be built. Enter 'n/a' for values not required </t>
    </r>
    <r>
      <rPr>
        <sz val="10"/>
        <rFont val="Metropolis"/>
      </rPr>
      <t>(Existing values are just examples)</t>
    </r>
    <r>
      <rPr>
        <sz val="10"/>
        <color rgb="FFFF0000"/>
        <rFont val="Metropolis"/>
      </rPr>
      <t xml:space="preserve">. If a cell turns red then the property is a required value, the data entered has failed validation or it must have 'n/a; entered and it should be fixed before proceeding. </t>
    </r>
    <r>
      <rPr>
        <b/>
        <sz val="10"/>
        <color theme="1"/>
        <rFont val="Metropolis"/>
      </rPr>
      <t>Grey cells are populated automatically, the values can be over-ridded but you will loose the original formula in such scenarios.</t>
    </r>
  </si>
  <si>
    <r>
      <rPr>
        <b/>
        <sz val="10"/>
        <color rgb="FFFF0000"/>
        <rFont val="Metropolis"/>
      </rPr>
      <t>NOTE:</t>
    </r>
    <r>
      <rPr>
        <sz val="10"/>
        <color rgb="FFFF0000"/>
        <rFont val="Metropolis"/>
      </rPr>
      <t xml:space="preserve"> The Cloud Builder assume certificates are generated using the CertConfig and CertGen utility and each file is located within a hostname specific folder</t>
    </r>
  </si>
  <si>
    <t>Addressed PR  2243454 - Remove the external management portgroup details from the Region B excel file
Added protected to Deployment Parameters tab</t>
  </si>
  <si>
    <t>Addressed PR 2248933 - added missing value: edge-esg-udlr-bgp-neighbour-password@value=
Addressed PR 2249055 - STMP Settings, auto calculate across the XLS from initial inputs
Addressed PR 2249033 - Flagged Cells that should be also no when setting vRSLCM to no
Addressed PR 2249315 - Auto calculate VSAN datastore name</t>
  </si>
  <si>
    <t>Deploy the Management Domain without a VSAN Datastore</t>
  </si>
  <si>
    <t>Deploy the Workload Domain without a VSAN Datastore</t>
  </si>
  <si>
    <r>
      <t xml:space="preserve">Step 3 - Set Virtual Appliance Initial Deployment Size </t>
    </r>
    <r>
      <rPr>
        <b/>
        <sz val="11"/>
        <color theme="0"/>
        <rFont val="Metropolis"/>
      </rPr>
      <t>(Default in Brackets)</t>
    </r>
  </si>
  <si>
    <t>Added additonal validation for the Infrastructure section of Deployment Parameters
Addressed PR 2250271 - Updated the Skiping VSAN Run Parameters to 'Deploy the Management Domain without a VSAN Datastore' and added a data validation input message
Addressed PR 2250259 - Removed the timezone value for vRealize Automation Appliance as this is no longer required
Addressed PR 2250250 - Set SMTP Authentications to be red if blank, not red if n/a and red if User Authentication is true and added a data calidation input message</t>
  </si>
  <si>
    <t>Removed Timezone value for IaaS machines as values are not used
Removed vRA Content Library datastore name - vra-storage-configuration.name="
Added validation for blank cells and n/a to Hosts and Networks tab</t>
  </si>
  <si>
    <t>ESG Autonomous System ID (UDLR)</t>
  </si>
  <si>
    <t>ESG BGP Neighbor Password (UDLR)</t>
  </si>
  <si>
    <t>ESG Autonomous System ID (DLR &amp; UDLR)</t>
  </si>
  <si>
    <t>ESG BGP Neighbor Password (DLR &amp; UDLR)</t>
  </si>
  <si>
    <t># BGP password used for configuring BGP between DLR/UDLR and ESG switches - Compute Cluster</t>
  </si>
  <si>
    <t># BGP password used for configuring BGP between UDLR and ESG switches - Management Cluster</t>
  </si>
  <si>
    <t>Removed vRA Endpoint and Endpoint Credential inputs as not required</t>
  </si>
  <si>
    <r>
      <rPr>
        <b/>
        <sz val="10"/>
        <color theme="1"/>
        <rFont val="Metropolis"/>
      </rPr>
      <t>Master Windows System</t>
    </r>
    <r>
      <rPr>
        <sz val="10"/>
        <color theme="1"/>
        <rFont val="Metropolis"/>
      </rPr>
      <t xml:space="preserve"> - Create a single virtual machine on the first ESXi host of the management cluster with Windows 2016 to support the IaaS servers.</t>
    </r>
  </si>
  <si>
    <r>
      <rPr>
        <b/>
        <sz val="10"/>
        <color theme="1"/>
        <rFont val="Metropolis"/>
      </rPr>
      <t>Site Recovery Manager Server</t>
    </r>
    <r>
      <rPr>
        <sz val="10"/>
        <color theme="1"/>
        <rFont val="Metropolis"/>
      </rPr>
      <t xml:space="preserve"> - Create a single virtual machine on the first ESXi host of the management cluster with Windows 2016 to support the SRM Server install.
  - Create a Local Administrator account</t>
    </r>
  </si>
  <si>
    <t>Addressed PR 2262247 - Removed formula linking the MTUs between the Mangement and Compute cluster</t>
  </si>
  <si>
    <t>Addressed PR 2262717 - Added instruction box to Management Workloads Tab</t>
  </si>
  <si>
    <r>
      <t xml:space="preserve">Instructions: </t>
    </r>
    <r>
      <rPr>
        <sz val="10"/>
        <color rgb="FFFF0000"/>
        <rFont val="Metropolis"/>
      </rPr>
      <t>Use this tab to capture VMware product license keys that should be used during the implement of the SDDC platform. Use the yellow boxes to enter the individual product license keys. If a cell turns red then the property information is either missing or validation has failed.</t>
    </r>
    <r>
      <rPr>
        <b/>
        <sz val="10"/>
        <rFont val="Metropolis"/>
      </rPr>
      <t xml:space="preserve"> </t>
    </r>
    <r>
      <rPr>
        <sz val="10"/>
        <rFont val="Metropolis"/>
      </rPr>
      <t>The remaining information provides a breakdown by layer of each virtual machine deployed and is for informational purposes.</t>
    </r>
  </si>
  <si>
    <t>Addressed PR 2265313 - Remove Lock from cells in prerequisites tab for Certificates</t>
  </si>
  <si>
    <t>vRealize Automation Tenant Admin credentials</t>
  </si>
  <si>
    <t>svc-domain-join</t>
  </si>
  <si>
    <t>svc-nsxmanager</t>
  </si>
  <si>
    <t>vra-arch-rainpole</t>
  </si>
  <si>
    <t>vra-admin-rainpole</t>
  </si>
  <si>
    <t>172.16.11.0/24</t>
  </si>
  <si>
    <t>172.16.11.253</t>
  </si>
  <si>
    <t>172.16.12.0/24</t>
  </si>
  <si>
    <t>172.16.12.253</t>
  </si>
  <si>
    <t>172.16.13.0/24</t>
  </si>
  <si>
    <t>172.16.13.253</t>
  </si>
  <si>
    <t>172.16.14.0/24</t>
  </si>
  <si>
    <t>172.16.14.253</t>
  </si>
  <si>
    <t>172.16.15.0/24</t>
  </si>
  <si>
    <t>172.16.15.253</t>
  </si>
  <si>
    <t>172.16.16.0/24</t>
  </si>
  <si>
    <t>172.16.16.253</t>
  </si>
  <si>
    <t>172.27.11.0/24</t>
  </si>
  <si>
    <t>172.27.11.253</t>
  </si>
  <si>
    <t>172.27.12.0/24</t>
  </si>
  <si>
    <t>172.27.12.253</t>
  </si>
  <si>
    <t>172.16.11.101</t>
  </si>
  <si>
    <t>172.16.11.102</t>
  </si>
  <si>
    <t>172.16.11.103</t>
  </si>
  <si>
    <t>172.16.11.104</t>
  </si>
  <si>
    <t>172.16.12.101</t>
  </si>
  <si>
    <t>172.16.12.102</t>
  </si>
  <si>
    <t>172.16.12.103</t>
  </si>
  <si>
    <t>172.16.12.104</t>
  </si>
  <si>
    <t>172.16.13.101</t>
  </si>
  <si>
    <t>172.16.13.102</t>
  </si>
  <si>
    <t>172.16.13.103</t>
  </si>
  <si>
    <t>172.16.13.104</t>
  </si>
  <si>
    <t>172.16.16.101</t>
  </si>
  <si>
    <t>172.16.16.102</t>
  </si>
  <si>
    <t>172.16.16.103</t>
  </si>
  <si>
    <t>172.16.16.104</t>
  </si>
  <si>
    <t>172.27.13.0/24</t>
  </si>
  <si>
    <t>172.27.13.253</t>
  </si>
  <si>
    <t>172.16.35.0/24</t>
  </si>
  <si>
    <t>172.16.35.253</t>
  </si>
  <si>
    <t>172.16.25.0/24</t>
  </si>
  <si>
    <t>172.16.25.253</t>
  </si>
  <si>
    <t>172.16.34.0/24</t>
  </si>
  <si>
    <t>172.16.34.253</t>
  </si>
  <si>
    <t>172.16.33.0/24</t>
  </si>
  <si>
    <t>172.16.33.253</t>
  </si>
  <si>
    <t>172.16.32.0/24</t>
  </si>
  <si>
    <t>172.16.32.253</t>
  </si>
  <si>
    <t>172.16.31.0/24</t>
  </si>
  <si>
    <t>172.16.31.253</t>
  </si>
  <si>
    <t>172.16.31.101</t>
  </si>
  <si>
    <t>172.16.31.102</t>
  </si>
  <si>
    <t>172.16.31.103</t>
  </si>
  <si>
    <t>172.16.31.104</t>
  </si>
  <si>
    <t>172.16.32.101</t>
  </si>
  <si>
    <t>172.16.32.102</t>
  </si>
  <si>
    <t>172.16.32.103</t>
  </si>
  <si>
    <t>172.16.32.104</t>
  </si>
  <si>
    <t>172.16.33.101</t>
  </si>
  <si>
    <t>172.16.33.102</t>
  </si>
  <si>
    <t>172.16.33.103</t>
  </si>
  <si>
    <t>172.16.33.104</t>
  </si>
  <si>
    <t>172.16.11.4</t>
  </si>
  <si>
    <t>172.16.11.5</t>
  </si>
  <si>
    <t>172.16.11.62</t>
  </si>
  <si>
    <t>172.16.11.61</t>
  </si>
  <si>
    <t>172.16.11.64</t>
  </si>
  <si>
    <t>172.16.11.63</t>
  </si>
  <si>
    <t>172.16.11.65</t>
  </si>
  <si>
    <t>172.16.11.118</t>
  </si>
  <si>
    <t>172.16.11.120</t>
  </si>
  <si>
    <t>172.16.11.66</t>
  </si>
  <si>
    <t>172.16.31.118</t>
  </si>
  <si>
    <t>172.16.31.120</t>
  </si>
  <si>
    <t>172.16.11.71</t>
  </si>
  <si>
    <t>172.27.11.2</t>
  </si>
  <si>
    <t>172.27.12.3</t>
  </si>
  <si>
    <t>172.27.11.3</t>
  </si>
  <si>
    <t>172.27.12.2</t>
  </si>
  <si>
    <t>sfo01m01udlr01</t>
  </si>
  <si>
    <t>172.27.11.1</t>
  </si>
  <si>
    <t>172.27.12.1</t>
  </si>
  <si>
    <t>172.16.35.2</t>
  </si>
  <si>
    <t>172.27.13.3</t>
  </si>
  <si>
    <t>172.16.35.3</t>
  </si>
  <si>
    <t>172.27.13.2</t>
  </si>
  <si>
    <t>172.16.35.1</t>
  </si>
  <si>
    <t>172.27.13.1</t>
  </si>
  <si>
    <t>sfo01w01udlr01</t>
  </si>
  <si>
    <t>172.16.11.124</t>
  </si>
  <si>
    <t>172.16.11.123</t>
  </si>
  <si>
    <t>172.16.14.101</t>
  </si>
  <si>
    <t>172.16.14.116</t>
  </si>
  <si>
    <t>172.16.34.101</t>
  </si>
  <si>
    <t>172.16.34.116</t>
  </si>
  <si>
    <t>172.16.16.100</t>
  </si>
  <si>
    <t>master-iaas-vm</t>
  </si>
  <si>
    <t>172.16.11.67</t>
  </si>
  <si>
    <t>172.16.11.72</t>
  </si>
  <si>
    <t>vrslcm01svr01a</t>
  </si>
  <si>
    <t>nfs-server-address</t>
  </si>
  <si>
    <t>/VVD_vRLI_MgmtA_400GB</t>
  </si>
  <si>
    <t>vra-</t>
  </si>
  <si>
    <t>LocalDefaultAdmin</t>
  </si>
  <si>
    <t>LocalRainpoleAdmin</t>
  </si>
  <si>
    <t>172.16.15.101</t>
  </si>
  <si>
    <t>172.16.15.102</t>
  </si>
  <si>
    <t>172.16.15.103</t>
  </si>
  <si>
    <t>172.16.15.104</t>
  </si>
  <si>
    <t>172.16.25.101</t>
  </si>
  <si>
    <t>172.16.25.102</t>
  </si>
  <si>
    <t>172.16.25.103</t>
  </si>
  <si>
    <t>172.16.25.104</t>
  </si>
  <si>
    <t>0.ntp.sfo01.rainpole.local</t>
  </si>
  <si>
    <t>1.ntp.sfo01.rainpole.local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</si>
</sst>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
    <numFmt numFmtId="165" formatCode="0.0"/>
  </numFmts>
  <fonts count="53">
    <font>
      <sz val="11"/>
      <color theme="1"/>
      <name val="Calibri"/>
      <family val="2"/>
      <scheme val="minor"/>
    </font>
    <font>
      <sz val="12"/>
      <color theme="1"/>
      <name val="Calibri"/>
      <family val="2"/>
      <scheme val="minor"/>
    </font>
    <font>
      <sz val="12"/>
      <color theme="1"/>
      <name val="Calibri"/>
      <family val="2"/>
      <scheme val="minor"/>
    </font>
    <font>
      <sz val="10"/>
      <name val="Arial"/>
      <family val="2"/>
    </font>
    <font>
      <u/>
      <sz val="10"/>
      <color indexed="12"/>
      <name val="Verdana"/>
      <family val="2"/>
    </font>
    <font>
      <sz val="12"/>
      <color theme="1"/>
      <name val="Calibri"/>
      <family val="2"/>
      <scheme val="minor"/>
    </font>
    <font>
      <u/>
      <sz val="12"/>
      <color theme="10"/>
      <name val="Calibri"/>
      <family val="2"/>
      <scheme val="minor"/>
    </font>
    <font>
      <sz val="11"/>
      <color theme="0"/>
      <name val="Calibri"/>
      <family val="1"/>
      <scheme val="minor"/>
    </font>
    <font>
      <u/>
      <sz val="11"/>
      <color theme="10"/>
      <name val="Calibri"/>
      <family val="1"/>
      <scheme val="minor"/>
    </font>
    <font>
      <sz val="1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u/>
      <sz val="11"/>
      <color theme="11"/>
      <name val="Calibri"/>
      <family val="2"/>
      <scheme val="minor"/>
    </font>
    <font>
      <sz val="11"/>
      <color rgb="FF000000"/>
      <name val="Calibri"/>
      <family val="2"/>
      <scheme val="minor"/>
    </font>
    <font>
      <sz val="10.5"/>
      <color theme="0"/>
      <name val="Metropolis"/>
    </font>
    <font>
      <sz val="10.5"/>
      <color theme="1"/>
      <name val="Metropolis"/>
    </font>
    <font>
      <sz val="11"/>
      <color theme="1"/>
      <name val="Metropolis"/>
    </font>
    <font>
      <sz val="10"/>
      <color theme="0"/>
      <name val="Metropolis"/>
    </font>
    <font>
      <sz val="10"/>
      <color theme="1"/>
      <name val="Metropolis"/>
    </font>
    <font>
      <b/>
      <sz val="11"/>
      <color theme="1"/>
      <name val="Metropolis"/>
    </font>
    <font>
      <b/>
      <sz val="12"/>
      <color theme="0"/>
      <name val="Metropolis"/>
    </font>
    <font>
      <b/>
      <sz val="12"/>
      <color theme="1"/>
      <name val="Metropolis"/>
    </font>
    <font>
      <b/>
      <sz val="14"/>
      <color theme="0"/>
      <name val="Metropolis"/>
    </font>
    <font>
      <b/>
      <sz val="16"/>
      <color theme="0"/>
      <name val="Metropolis"/>
    </font>
    <font>
      <b/>
      <sz val="18"/>
      <color theme="0"/>
      <name val="Metropolis"/>
    </font>
    <font>
      <b/>
      <sz val="18"/>
      <color theme="1"/>
      <name val="Metropolis"/>
    </font>
    <font>
      <sz val="10.5"/>
      <name val="Metropolis"/>
    </font>
    <font>
      <b/>
      <sz val="10"/>
      <color theme="1"/>
      <name val="Metropolis"/>
    </font>
    <font>
      <sz val="10"/>
      <name val="Metropolis"/>
    </font>
    <font>
      <b/>
      <sz val="10"/>
      <name val="Metropolis"/>
    </font>
    <font>
      <i/>
      <sz val="10"/>
      <name val="Metropolis"/>
    </font>
    <font>
      <sz val="10"/>
      <color rgb="FFFF0000"/>
      <name val="Metropolis"/>
    </font>
    <font>
      <b/>
      <sz val="10"/>
      <color theme="0"/>
      <name val="Metropolis"/>
    </font>
    <font>
      <sz val="12"/>
      <color theme="1"/>
      <name val="Metropolis"/>
    </font>
    <font>
      <sz val="10"/>
      <color theme="4"/>
      <name val="Metropolis"/>
    </font>
    <font>
      <b/>
      <sz val="10"/>
      <color theme="6"/>
      <name val="Metropolis"/>
    </font>
    <font>
      <sz val="10"/>
      <color rgb="FF000000"/>
      <name val="Metropolis"/>
    </font>
    <font>
      <b/>
      <sz val="10"/>
      <color theme="4"/>
      <name val="Metropolis"/>
    </font>
    <font>
      <b/>
      <sz val="10"/>
      <color theme="8"/>
      <name val="Metropolis"/>
    </font>
    <font>
      <b/>
      <sz val="10"/>
      <color theme="7"/>
      <name val="Metropolis"/>
    </font>
    <font>
      <b/>
      <sz val="12"/>
      <name val="Metropolis"/>
    </font>
    <font>
      <b/>
      <sz val="10"/>
      <color rgb="FFFF0000"/>
      <name val="Metropolis"/>
    </font>
    <font>
      <b/>
      <u/>
      <sz val="10"/>
      <name val="Metropolis"/>
    </font>
    <font>
      <b/>
      <u/>
      <sz val="10"/>
      <color theme="0"/>
      <name val="Metropolis"/>
    </font>
    <font>
      <b/>
      <sz val="10"/>
      <color rgb="FF0070C0"/>
      <name val="Metropolis"/>
    </font>
    <font>
      <b/>
      <sz val="10"/>
      <color theme="3"/>
      <name val="Metropolis"/>
    </font>
    <font>
      <b/>
      <sz val="10"/>
      <color theme="9"/>
      <name val="Metropolis"/>
    </font>
    <font>
      <b/>
      <sz val="10"/>
      <color theme="5"/>
      <name val="Metropolis"/>
    </font>
    <font>
      <b/>
      <sz val="10.5"/>
      <name val="Metropolis"/>
    </font>
    <font>
      <sz val="10.5"/>
      <color rgb="FFFF0000"/>
      <name val="Metropolis"/>
    </font>
    <font>
      <b/>
      <sz val="11"/>
      <color theme="0"/>
      <name val="Metropolis"/>
    </font>
    <font>
      <b/>
      <sz val="10"/>
      <color rgb="FF92D050"/>
      <name val="Metropolis"/>
    </font>
  </fonts>
  <fills count="16">
    <fill>
      <patternFill patternType="none"/>
    </fill>
    <fill>
      <patternFill patternType="gray125"/>
    </fill>
    <fill>
      <patternFill patternType="solid">
        <fgColor theme="1"/>
        <bgColor indexed="64"/>
      </patternFill>
    </fill>
    <fill>
      <patternFill patternType="solid">
        <fgColor theme="4" tint="0.79998168889431442"/>
        <bgColor indexed="64"/>
      </patternFill>
    </fill>
    <fill>
      <patternFill patternType="solid">
        <fgColor theme="4"/>
      </patternFill>
    </fill>
    <fill>
      <patternFill patternType="solid">
        <fgColor theme="4" tint="0.39997558519241921"/>
        <bgColor indexed="65"/>
      </patternFill>
    </fill>
    <fill>
      <patternFill patternType="solid">
        <fgColor theme="3"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rgb="FFFFFFE5"/>
        <bgColor indexed="64"/>
      </patternFill>
    </fill>
    <fill>
      <patternFill patternType="solid">
        <fgColor theme="0"/>
        <bgColor indexed="64"/>
      </patternFill>
    </fill>
    <fill>
      <patternFill patternType="solid">
        <fgColor theme="4" tint="0.59999389629810485"/>
        <bgColor indexed="64"/>
      </patternFill>
    </fill>
    <fill>
      <patternFill patternType="lightUp">
        <bgColor theme="0" tint="-0.14999847407452621"/>
      </patternFill>
    </fill>
    <fill>
      <patternFill patternType="solid">
        <fgColor theme="0" tint="-0.249977111117893"/>
        <bgColor indexed="64"/>
      </patternFill>
    </fill>
    <fill>
      <patternFill patternType="solid">
        <fgColor theme="4" tint="-0.499984740745262"/>
        <bgColor indexed="64"/>
      </patternFill>
    </fill>
  </fills>
  <borders count="3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style="thin">
        <color theme="4" tint="-0.499984740745262"/>
      </right>
      <top/>
      <bottom style="thin">
        <color auto="1"/>
      </bottom>
      <diagonal/>
    </border>
  </borders>
  <cellStyleXfs count="47">
    <xf numFmtId="0" fontId="0" fillId="0" borderId="0"/>
    <xf numFmtId="0" fontId="3" fillId="0" borderId="0"/>
    <xf numFmtId="43" fontId="3" fillId="0" borderId="0" applyFont="0" applyFill="0" applyBorder="0" applyAlignment="0" applyProtection="0"/>
    <xf numFmtId="0" fontId="4" fillId="0" borderId="0" applyNumberFormat="0" applyFill="0" applyBorder="0" applyAlignment="0" applyProtection="0">
      <alignment vertical="top"/>
      <protection locked="0"/>
    </xf>
    <xf numFmtId="0" fontId="5" fillId="0" borderId="0"/>
    <xf numFmtId="0" fontId="6" fillId="0" borderId="0" applyNumberFormat="0" applyFill="0" applyBorder="0" applyAlignment="0" applyProtection="0"/>
    <xf numFmtId="0" fontId="7" fillId="5" borderId="0" applyNumberFormat="0" applyBorder="0" applyAlignment="0" applyProtection="0"/>
    <xf numFmtId="0" fontId="8" fillId="0" borderId="0" applyNumberFormat="0" applyFill="0" applyBorder="0" applyAlignment="0" applyProtection="0"/>
    <xf numFmtId="0" fontId="7" fillId="4" borderId="0" applyNumberFormat="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455">
    <xf numFmtId="0" fontId="0" fillId="0" borderId="0" xfId="0"/>
    <xf numFmtId="0" fontId="9" fillId="0" borderId="0" xfId="0" applyFont="1" applyAlignment="1"/>
    <xf numFmtId="0" fontId="9" fillId="0" borderId="0" xfId="0" applyFont="1"/>
    <xf numFmtId="0" fontId="0" fillId="0" borderId="0" xfId="0" applyFont="1"/>
    <xf numFmtId="0" fontId="9" fillId="8" borderId="0" xfId="0" applyFont="1" applyFill="1"/>
    <xf numFmtId="0" fontId="9" fillId="8" borderId="0" xfId="0" applyFont="1" applyFill="1" applyAlignment="1"/>
    <xf numFmtId="0" fontId="9" fillId="0" borderId="0" xfId="0" applyFont="1" applyFill="1" applyAlignment="1"/>
    <xf numFmtId="0" fontId="9" fillId="8" borderId="0" xfId="3" applyFont="1" applyFill="1" applyAlignment="1" applyProtection="1"/>
    <xf numFmtId="0" fontId="9" fillId="8" borderId="0" xfId="3" applyFont="1" applyFill="1" applyAlignment="1" applyProtection="1">
      <alignment wrapText="1"/>
    </xf>
    <xf numFmtId="0" fontId="9" fillId="0" borderId="0" xfId="0" applyFont="1" applyFill="1"/>
    <xf numFmtId="0" fontId="9" fillId="8" borderId="0" xfId="0" applyFont="1" applyFill="1" applyAlignment="1">
      <alignment wrapText="1"/>
    </xf>
    <xf numFmtId="0" fontId="10" fillId="8" borderId="0" xfId="3" applyFont="1" applyFill="1" applyAlignment="1" applyProtection="1"/>
    <xf numFmtId="0" fontId="0" fillId="8" borderId="0" xfId="0" applyFill="1"/>
    <xf numFmtId="0" fontId="0" fillId="0" borderId="0" xfId="0" applyFill="1"/>
    <xf numFmtId="0" fontId="0" fillId="8" borderId="0" xfId="0" applyFont="1" applyFill="1"/>
    <xf numFmtId="0" fontId="12" fillId="0" borderId="0" xfId="0" applyFont="1"/>
    <xf numFmtId="0" fontId="14" fillId="8" borderId="0" xfId="0" applyFont="1" applyFill="1"/>
    <xf numFmtId="0" fontId="0" fillId="0" borderId="0" xfId="0" applyFont="1" applyAlignment="1"/>
    <xf numFmtId="0" fontId="0" fillId="8" borderId="0" xfId="3" applyFont="1" applyFill="1" applyAlignment="1" applyProtection="1"/>
    <xf numFmtId="0" fontId="0" fillId="0" borderId="0" xfId="3" applyFont="1" applyAlignment="1" applyProtection="1"/>
    <xf numFmtId="0" fontId="0" fillId="0" borderId="0" xfId="3" applyFont="1" applyFill="1" applyAlignment="1" applyProtection="1"/>
    <xf numFmtId="0" fontId="14" fillId="0" borderId="0" xfId="0" applyFont="1" applyFill="1"/>
    <xf numFmtId="0" fontId="14" fillId="0" borderId="0" xfId="0" applyFont="1"/>
    <xf numFmtId="0" fontId="0" fillId="0" borderId="0" xfId="0" applyFont="1" applyFill="1"/>
    <xf numFmtId="0" fontId="0" fillId="8" borderId="0" xfId="0" applyFill="1" applyAlignment="1" applyProtection="1">
      <alignment horizontal="center"/>
    </xf>
    <xf numFmtId="0" fontId="0" fillId="0" borderId="0" xfId="0" applyProtection="1"/>
    <xf numFmtId="0" fontId="11" fillId="8" borderId="0" xfId="0" applyFont="1" applyFill="1" applyAlignment="1" applyProtection="1">
      <alignment horizontal="center" vertical="center"/>
    </xf>
    <xf numFmtId="0" fontId="11" fillId="8" borderId="0" xfId="0" applyFont="1" applyFill="1" applyAlignment="1" applyProtection="1">
      <alignment horizontal="center"/>
    </xf>
    <xf numFmtId="164" fontId="0" fillId="0" borderId="0" xfId="0" applyNumberFormat="1" applyAlignment="1" applyProtection="1">
      <alignment horizontal="center" vertical="center"/>
    </xf>
    <xf numFmtId="0" fontId="0" fillId="0" borderId="0" xfId="0" applyAlignment="1" applyProtection="1">
      <alignment horizontal="center" vertical="center"/>
    </xf>
    <xf numFmtId="0" fontId="0" fillId="0" borderId="0" xfId="0" applyAlignment="1">
      <alignment wrapText="1"/>
    </xf>
    <xf numFmtId="15" fontId="0" fillId="0" borderId="0" xfId="0" applyNumberFormat="1" applyAlignment="1">
      <alignment horizontal="center" vertical="center"/>
    </xf>
    <xf numFmtId="15" fontId="0" fillId="2" borderId="0" xfId="0" applyNumberFormat="1" applyFill="1" applyAlignment="1">
      <alignment horizontal="center" vertical="center"/>
    </xf>
    <xf numFmtId="0" fontId="0" fillId="2" borderId="0" xfId="0" applyFill="1" applyAlignment="1">
      <alignment wrapText="1"/>
    </xf>
    <xf numFmtId="15" fontId="0" fillId="0" borderId="0" xfId="0" applyNumberFormat="1" applyAlignment="1">
      <alignment horizontal="center" vertical="center"/>
    </xf>
    <xf numFmtId="15" fontId="0" fillId="0" borderId="0" xfId="0" applyNumberFormat="1" applyAlignment="1">
      <alignment horizontal="center" vertical="center"/>
    </xf>
    <xf numFmtId="0" fontId="15"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16" fillId="6" borderId="0" xfId="0" applyFont="1" applyFill="1" applyBorder="1" applyAlignment="1">
      <alignment horizontal="center" vertical="center"/>
    </xf>
    <xf numFmtId="0" fontId="16" fillId="3" borderId="0" xfId="0" applyFont="1" applyFill="1" applyAlignment="1">
      <alignment horizontal="center" vertical="center"/>
    </xf>
    <xf numFmtId="0" fontId="16" fillId="3" borderId="0" xfId="0" applyFont="1" applyFill="1"/>
    <xf numFmtId="0" fontId="19" fillId="0" borderId="0" xfId="0" applyFont="1" applyFill="1" applyBorder="1" applyAlignment="1">
      <alignment horizontal="center" vertical="center"/>
    </xf>
    <xf numFmtId="0" fontId="19" fillId="2" borderId="0" xfId="0" applyFont="1" applyFill="1" applyBorder="1" applyAlignment="1">
      <alignment horizontal="center" vertical="center"/>
    </xf>
    <xf numFmtId="0" fontId="19" fillId="0" borderId="0" xfId="0" applyFont="1" applyFill="1" applyBorder="1" applyAlignment="1">
      <alignment horizontal="left" vertical="center" wrapText="1"/>
    </xf>
    <xf numFmtId="0" fontId="19" fillId="2" borderId="0" xfId="0" applyFont="1" applyFill="1" applyBorder="1" applyAlignment="1">
      <alignment horizontal="left" vertical="center" wrapText="1"/>
    </xf>
    <xf numFmtId="0" fontId="16" fillId="6" borderId="0" xfId="0" applyFont="1" applyFill="1" applyBorder="1" applyAlignment="1">
      <alignment horizontal="center" vertical="center" wrapText="1"/>
    </xf>
    <xf numFmtId="0" fontId="25" fillId="0" borderId="0" xfId="0" applyFont="1" applyFill="1" applyBorder="1" applyAlignment="1">
      <alignment horizontal="left" vertical="center"/>
    </xf>
    <xf numFmtId="0" fontId="26" fillId="0" borderId="0" xfId="0" applyFont="1" applyFill="1" applyBorder="1" applyAlignment="1">
      <alignment horizontal="center" vertical="center"/>
    </xf>
    <xf numFmtId="0" fontId="26" fillId="0" borderId="0" xfId="0" applyFont="1" applyFill="1" applyBorder="1" applyAlignment="1">
      <alignment horizontal="left" vertical="center" wrapText="1"/>
    </xf>
    <xf numFmtId="0" fontId="16" fillId="6" borderId="0" xfId="0" applyFont="1" applyFill="1" applyBorder="1" applyAlignment="1">
      <alignment horizontal="left" vertical="center" wrapText="1"/>
    </xf>
    <xf numFmtId="0" fontId="24" fillId="6" borderId="0" xfId="0" applyFont="1" applyFill="1" applyBorder="1" applyAlignment="1">
      <alignment horizontal="left" vertical="center" wrapText="1"/>
    </xf>
    <xf numFmtId="0" fontId="16" fillId="11" borderId="0" xfId="0" applyFont="1" applyFill="1"/>
    <xf numFmtId="0" fontId="16" fillId="11" borderId="0" xfId="0" applyFont="1" applyFill="1" applyAlignment="1">
      <alignment horizontal="center" vertical="center"/>
    </xf>
    <xf numFmtId="0" fontId="16" fillId="11" borderId="0" xfId="0" applyFont="1" applyFill="1" applyBorder="1" applyAlignment="1">
      <alignment horizontal="center" vertical="center"/>
    </xf>
    <xf numFmtId="0" fontId="19" fillId="0" borderId="0" xfId="0" applyFont="1"/>
    <xf numFmtId="0" fontId="19" fillId="0" borderId="0" xfId="0" applyFont="1" applyAlignment="1">
      <alignment horizontal="center"/>
    </xf>
    <xf numFmtId="0" fontId="19" fillId="11" borderId="0" xfId="0" applyFont="1" applyFill="1"/>
    <xf numFmtId="0" fontId="28" fillId="7" borderId="0" xfId="0" applyFont="1" applyFill="1" applyAlignment="1">
      <alignment horizontal="center" vertical="center" wrapText="1"/>
    </xf>
    <xf numFmtId="0" fontId="19" fillId="11" borderId="0" xfId="0" applyFont="1" applyFill="1" applyAlignment="1">
      <alignment wrapText="1"/>
    </xf>
    <xf numFmtId="0" fontId="19" fillId="0" borderId="0" xfId="0" applyFont="1" applyAlignment="1">
      <alignment wrapText="1"/>
    </xf>
    <xf numFmtId="0" fontId="28" fillId="14" borderId="0" xfId="0" applyFont="1" applyFill="1" applyAlignment="1">
      <alignment horizontal="center" vertical="center" wrapText="1"/>
    </xf>
    <xf numFmtId="0" fontId="19" fillId="11" borderId="0" xfId="0" applyFont="1" applyFill="1" applyAlignment="1">
      <alignment horizontal="center"/>
    </xf>
    <xf numFmtId="0" fontId="27" fillId="0" borderId="0" xfId="1" applyFont="1" applyFill="1" applyBorder="1" applyAlignment="1"/>
    <xf numFmtId="0" fontId="27" fillId="0" borderId="0" xfId="1" applyFont="1" applyFill="1" applyBorder="1" applyAlignment="1">
      <alignment horizontal="left" wrapText="1"/>
    </xf>
    <xf numFmtId="0" fontId="27" fillId="0" borderId="0" xfId="1" applyFont="1" applyFill="1" applyBorder="1" applyAlignment="1">
      <alignment horizontal="center"/>
    </xf>
    <xf numFmtId="0" fontId="27" fillId="0" borderId="0" xfId="1" applyFont="1" applyFill="1" applyBorder="1" applyAlignment="1">
      <alignment horizontal="left"/>
    </xf>
    <xf numFmtId="0" fontId="17" fillId="0" borderId="0" xfId="0" applyFont="1" applyBorder="1" applyAlignment="1">
      <alignment wrapText="1"/>
    </xf>
    <xf numFmtId="0" fontId="27" fillId="0" borderId="0" xfId="1" applyFont="1" applyFill="1" applyBorder="1" applyAlignment="1">
      <alignment vertical="center"/>
    </xf>
    <xf numFmtId="0" fontId="27" fillId="0" borderId="0" xfId="1" applyFont="1" applyFill="1" applyBorder="1" applyAlignment="1">
      <alignment horizontal="left" vertical="center"/>
    </xf>
    <xf numFmtId="0" fontId="27" fillId="0" borderId="0" xfId="1" applyFont="1" applyFill="1" applyBorder="1" applyAlignment="1">
      <alignment horizontal="left" vertical="top"/>
    </xf>
    <xf numFmtId="0" fontId="27" fillId="0" borderId="0" xfId="1" applyFont="1" applyFill="1" applyBorder="1" applyAlignment="1">
      <alignment horizontal="left" vertical="top" wrapText="1"/>
    </xf>
    <xf numFmtId="0" fontId="27" fillId="0" borderId="0" xfId="1" applyFont="1" applyFill="1" applyBorder="1" applyAlignment="1">
      <alignment horizontal="center" vertical="top"/>
    </xf>
    <xf numFmtId="0" fontId="18" fillId="9" borderId="8" xfId="1" applyFont="1" applyFill="1" applyBorder="1" applyAlignment="1">
      <alignment horizontal="left" wrapText="1"/>
    </xf>
    <xf numFmtId="0" fontId="30" fillId="7" borderId="9" xfId="1" applyFont="1" applyFill="1" applyBorder="1" applyAlignment="1">
      <alignment horizontal="center" vertical="center" wrapText="1"/>
    </xf>
    <xf numFmtId="0" fontId="30" fillId="7" borderId="2" xfId="1" applyFont="1" applyFill="1" applyBorder="1" applyAlignment="1">
      <alignment horizontal="center" vertical="center" wrapText="1"/>
    </xf>
    <xf numFmtId="0" fontId="30" fillId="7" borderId="10" xfId="1" applyFont="1" applyFill="1" applyBorder="1" applyAlignment="1">
      <alignment horizontal="center" vertical="center" wrapText="1"/>
    </xf>
    <xf numFmtId="0" fontId="29" fillId="0" borderId="0" xfId="1" applyFont="1" applyFill="1" applyBorder="1" applyAlignment="1">
      <alignment horizontal="left" vertical="top"/>
    </xf>
    <xf numFmtId="0" fontId="29" fillId="8" borderId="9" xfId="1" applyFont="1" applyFill="1" applyBorder="1" applyAlignment="1">
      <alignment horizontal="left" vertical="center"/>
    </xf>
    <xf numFmtId="0" fontId="29" fillId="0" borderId="2" xfId="1" applyFont="1" applyFill="1" applyBorder="1" applyAlignment="1">
      <alignment horizontal="left" vertical="center" wrapText="1"/>
    </xf>
    <xf numFmtId="0" fontId="29" fillId="0" borderId="2" xfId="1" applyFont="1" applyFill="1" applyBorder="1" applyAlignment="1">
      <alignment horizontal="center" vertical="center"/>
    </xf>
    <xf numFmtId="0" fontId="29" fillId="0" borderId="10" xfId="1" applyFont="1" applyFill="1" applyBorder="1" applyAlignment="1">
      <alignment horizontal="left" vertical="center" wrapText="1"/>
    </xf>
    <xf numFmtId="0" fontId="29" fillId="0" borderId="13" xfId="1" applyFont="1" applyFill="1" applyBorder="1" applyAlignment="1">
      <alignment horizontal="left" vertical="center" wrapText="1"/>
    </xf>
    <xf numFmtId="0" fontId="18" fillId="11" borderId="0" xfId="1" applyFont="1" applyFill="1" applyBorder="1" applyAlignment="1" applyProtection="1">
      <alignment vertical="center"/>
      <protection locked="0"/>
    </xf>
    <xf numFmtId="0" fontId="29" fillId="0" borderId="0" xfId="1" applyFont="1" applyFill="1" applyBorder="1" applyAlignment="1">
      <alignment horizontal="left" vertical="top" wrapText="1"/>
    </xf>
    <xf numFmtId="0" fontId="29" fillId="0" borderId="12" xfId="1" applyFont="1" applyFill="1" applyBorder="1" applyAlignment="1">
      <alignment horizontal="left" vertical="center" wrapText="1"/>
    </xf>
    <xf numFmtId="0" fontId="29" fillId="0" borderId="12" xfId="1" applyFont="1" applyFill="1" applyBorder="1" applyAlignment="1">
      <alignment horizontal="center" vertical="center"/>
    </xf>
    <xf numFmtId="0" fontId="29" fillId="0" borderId="0" xfId="1" applyFont="1" applyFill="1" applyBorder="1" applyAlignment="1">
      <alignment horizontal="center" vertical="top"/>
    </xf>
    <xf numFmtId="0" fontId="27" fillId="11" borderId="0" xfId="1" applyFont="1" applyFill="1" applyBorder="1" applyAlignment="1">
      <alignment horizontal="left"/>
    </xf>
    <xf numFmtId="0" fontId="27" fillId="11" borderId="0" xfId="1" applyFont="1" applyFill="1" applyBorder="1" applyAlignment="1">
      <alignment horizontal="left" vertical="center"/>
    </xf>
    <xf numFmtId="0" fontId="27" fillId="11" borderId="0" xfId="1" applyFont="1" applyFill="1" applyBorder="1" applyAlignment="1">
      <alignment vertical="center"/>
    </xf>
    <xf numFmtId="0" fontId="19" fillId="11" borderId="0" xfId="4" applyFont="1" applyFill="1"/>
    <xf numFmtId="0" fontId="29" fillId="11" borderId="0" xfId="1" applyFont="1" applyFill="1" applyBorder="1" applyAlignment="1">
      <alignment horizontal="left"/>
    </xf>
    <xf numFmtId="0" fontId="29" fillId="11" borderId="0" xfId="1" applyFont="1" applyFill="1" applyBorder="1" applyAlignment="1"/>
    <xf numFmtId="0" fontId="35" fillId="11" borderId="0" xfId="1" applyFont="1" applyFill="1"/>
    <xf numFmtId="0" fontId="29" fillId="11" borderId="0" xfId="1" applyFont="1" applyFill="1" applyBorder="1" applyAlignment="1">
      <alignment horizontal="left" vertical="center"/>
    </xf>
    <xf numFmtId="0" fontId="29" fillId="11" borderId="0" xfId="1" applyFont="1" applyFill="1" applyBorder="1" applyAlignment="1">
      <alignment vertical="center"/>
    </xf>
    <xf numFmtId="0" fontId="29" fillId="0" borderId="0" xfId="1" applyFont="1" applyFill="1" applyBorder="1" applyAlignment="1">
      <alignment horizontal="left" vertical="center"/>
    </xf>
    <xf numFmtId="0" fontId="19" fillId="0" borderId="0" xfId="4" applyFont="1"/>
    <xf numFmtId="0" fontId="37" fillId="11" borderId="0" xfId="4" applyFont="1" applyFill="1" applyBorder="1" applyAlignment="1">
      <alignment horizontal="center"/>
    </xf>
    <xf numFmtId="0" fontId="37" fillId="11" borderId="0" xfId="4" applyFont="1" applyFill="1"/>
    <xf numFmtId="0" fontId="23" fillId="9" borderId="6" xfId="1" applyFont="1" applyFill="1" applyBorder="1" applyAlignment="1">
      <alignment horizontal="left" vertical="center"/>
    </xf>
    <xf numFmtId="0" fontId="19" fillId="0" borderId="0" xfId="0" applyFont="1" applyBorder="1" applyAlignment="1">
      <alignment wrapText="1"/>
    </xf>
    <xf numFmtId="0" fontId="19" fillId="11" borderId="0" xfId="0" applyFont="1" applyFill="1" applyAlignment="1">
      <alignment vertical="center" wrapText="1"/>
    </xf>
    <xf numFmtId="0" fontId="19" fillId="0" borderId="0" xfId="0" applyFont="1" applyAlignment="1">
      <alignment vertical="center" wrapText="1"/>
    </xf>
    <xf numFmtId="0" fontId="19" fillId="12" borderId="0" xfId="0" applyFont="1" applyFill="1" applyAlignment="1">
      <alignment vertical="center"/>
    </xf>
    <xf numFmtId="0" fontId="28" fillId="12" borderId="0" xfId="0" applyFont="1" applyFill="1" applyAlignment="1">
      <alignment horizontal="center" vertical="center"/>
    </xf>
    <xf numFmtId="0" fontId="19" fillId="12" borderId="0" xfId="0" applyFont="1" applyFill="1" applyAlignment="1">
      <alignment horizontal="center" vertical="center"/>
    </xf>
    <xf numFmtId="0" fontId="28" fillId="3" borderId="2" xfId="0" applyFont="1" applyFill="1" applyBorder="1" applyAlignment="1">
      <alignment vertical="center"/>
    </xf>
    <xf numFmtId="0" fontId="19" fillId="3" borderId="2" xfId="0" applyFont="1" applyFill="1" applyBorder="1" applyAlignment="1">
      <alignment vertical="center"/>
    </xf>
    <xf numFmtId="0" fontId="28" fillId="3" borderId="2" xfId="0" applyFont="1" applyFill="1" applyBorder="1" applyAlignment="1">
      <alignment horizontal="center" vertical="center"/>
    </xf>
    <xf numFmtId="0" fontId="19" fillId="3" borderId="2" xfId="0" applyFont="1" applyFill="1" applyBorder="1" applyAlignment="1">
      <alignment horizontal="center" vertical="center"/>
    </xf>
    <xf numFmtId="0" fontId="29" fillId="3" borderId="2" xfId="0" applyFont="1" applyFill="1" applyBorder="1" applyAlignment="1">
      <alignment vertical="center"/>
    </xf>
    <xf numFmtId="9" fontId="19" fillId="3" borderId="2" xfId="0" applyNumberFormat="1" applyFont="1" applyFill="1" applyBorder="1" applyAlignment="1">
      <alignment horizontal="center" vertical="center"/>
    </xf>
    <xf numFmtId="0" fontId="19" fillId="8" borderId="2" xfId="0" applyFont="1" applyFill="1" applyBorder="1" applyAlignment="1">
      <alignment horizontal="center" vertical="center"/>
    </xf>
    <xf numFmtId="165" fontId="19" fillId="3" borderId="2" xfId="0" applyNumberFormat="1" applyFont="1" applyFill="1" applyBorder="1" applyAlignment="1">
      <alignment horizontal="center" vertical="center"/>
    </xf>
    <xf numFmtId="0" fontId="29" fillId="11" borderId="0" xfId="0" applyFont="1" applyFill="1" applyBorder="1" applyAlignment="1">
      <alignment vertical="center"/>
    </xf>
    <xf numFmtId="0" fontId="19" fillId="11" borderId="0" xfId="0" applyFont="1" applyFill="1" applyBorder="1" applyAlignment="1">
      <alignment vertical="center"/>
    </xf>
    <xf numFmtId="0" fontId="30" fillId="11" borderId="0" xfId="0" applyFont="1" applyFill="1" applyBorder="1" applyAlignment="1">
      <alignment horizontal="right" vertical="center"/>
    </xf>
    <xf numFmtId="0" fontId="28" fillId="11" borderId="0" xfId="0" applyFont="1" applyFill="1" applyBorder="1" applyAlignment="1">
      <alignment horizontal="center" vertical="center"/>
    </xf>
    <xf numFmtId="0" fontId="19" fillId="11" borderId="0" xfId="0" applyFont="1" applyFill="1" applyBorder="1" applyAlignment="1">
      <alignment horizontal="center" vertical="center"/>
    </xf>
    <xf numFmtId="9" fontId="19" fillId="11" borderId="0" xfId="0" applyNumberFormat="1" applyFont="1" applyFill="1" applyBorder="1" applyAlignment="1">
      <alignment horizontal="center" vertical="center"/>
    </xf>
    <xf numFmtId="165" fontId="19" fillId="11" borderId="0" xfId="0" applyNumberFormat="1" applyFont="1" applyFill="1" applyBorder="1" applyAlignment="1">
      <alignment horizontal="center" vertical="center"/>
    </xf>
    <xf numFmtId="165" fontId="19" fillId="12" borderId="0" xfId="0" applyNumberFormat="1" applyFont="1" applyFill="1" applyAlignment="1">
      <alignment horizontal="center" vertical="center"/>
    </xf>
    <xf numFmtId="0" fontId="28" fillId="11" borderId="31"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0" xfId="0" applyFont="1" applyFill="1" applyAlignment="1">
      <alignment vertical="center"/>
    </xf>
    <xf numFmtId="0" fontId="28" fillId="11" borderId="0" xfId="0" applyFont="1" applyFill="1" applyAlignment="1">
      <alignment horizontal="right" vertical="center"/>
    </xf>
    <xf numFmtId="0" fontId="19" fillId="11" borderId="0" xfId="0" applyFont="1" applyFill="1" applyAlignment="1">
      <alignment horizontal="center" vertical="center"/>
    </xf>
    <xf numFmtId="0" fontId="28" fillId="11" borderId="20" xfId="0" applyFont="1" applyFill="1" applyBorder="1" applyAlignment="1">
      <alignment horizontal="center" vertical="center"/>
    </xf>
    <xf numFmtId="0" fontId="19" fillId="11" borderId="20" xfId="0" applyFont="1" applyFill="1" applyBorder="1" applyAlignment="1">
      <alignment horizontal="center" vertical="center"/>
    </xf>
    <xf numFmtId="0" fontId="28" fillId="8" borderId="3" xfId="0" applyFont="1" applyFill="1" applyBorder="1" applyAlignment="1">
      <alignment vertical="center"/>
    </xf>
    <xf numFmtId="0" fontId="19" fillId="8" borderId="4" xfId="0" applyFont="1" applyFill="1" applyBorder="1" applyAlignment="1">
      <alignment vertical="center"/>
    </xf>
    <xf numFmtId="0" fontId="19" fillId="8" borderId="5" xfId="0" applyFont="1" applyFill="1" applyBorder="1" applyAlignment="1">
      <alignment vertical="center"/>
    </xf>
    <xf numFmtId="0" fontId="19" fillId="0" borderId="0" xfId="0" applyFont="1" applyFill="1" applyBorder="1" applyAlignment="1">
      <alignment vertical="center"/>
    </xf>
    <xf numFmtId="0" fontId="19" fillId="11" borderId="21" xfId="0" applyFont="1" applyFill="1" applyBorder="1" applyAlignment="1">
      <alignment vertical="center"/>
    </xf>
    <xf numFmtId="0" fontId="19" fillId="11" borderId="18" xfId="0" applyFont="1" applyFill="1" applyBorder="1" applyAlignment="1">
      <alignment vertical="center"/>
    </xf>
    <xf numFmtId="1" fontId="19" fillId="11" borderId="0" xfId="0" applyNumberFormat="1" applyFont="1" applyFill="1" applyBorder="1" applyAlignment="1">
      <alignment horizontal="right" vertical="center"/>
    </xf>
    <xf numFmtId="0" fontId="19" fillId="11" borderId="23" xfId="0" applyFont="1" applyFill="1" applyBorder="1" applyAlignment="1">
      <alignment vertical="center"/>
    </xf>
    <xf numFmtId="1" fontId="19" fillId="11" borderId="0" xfId="0" applyNumberFormat="1" applyFont="1" applyFill="1" applyBorder="1" applyAlignment="1">
      <alignment vertical="center"/>
    </xf>
    <xf numFmtId="0" fontId="28" fillId="14" borderId="18" xfId="0" applyFont="1" applyFill="1" applyBorder="1" applyAlignment="1">
      <alignment vertical="center"/>
    </xf>
    <xf numFmtId="0" fontId="28" fillId="14" borderId="0" xfId="0" applyFont="1" applyFill="1" applyBorder="1" applyAlignment="1">
      <alignment vertical="center"/>
    </xf>
    <xf numFmtId="0" fontId="28" fillId="14" borderId="0" xfId="0" applyFont="1" applyFill="1" applyBorder="1" applyAlignment="1">
      <alignment horizontal="center" vertical="center"/>
    </xf>
    <xf numFmtId="0" fontId="28" fillId="14" borderId="21" xfId="0" applyFont="1" applyFill="1" applyBorder="1" applyAlignment="1">
      <alignment horizontal="center" vertical="center"/>
    </xf>
    <xf numFmtId="0" fontId="28" fillId="11" borderId="18" xfId="0" applyFont="1" applyFill="1" applyBorder="1" applyAlignment="1">
      <alignment vertical="center"/>
    </xf>
    <xf numFmtId="1" fontId="19" fillId="11" borderId="0" xfId="0" applyNumberFormat="1" applyFont="1" applyFill="1" applyBorder="1" applyAlignment="1">
      <alignment horizontal="center" vertical="center"/>
    </xf>
    <xf numFmtId="0" fontId="19" fillId="11" borderId="22" xfId="0" applyFont="1" applyFill="1" applyBorder="1" applyAlignment="1">
      <alignment vertical="center"/>
    </xf>
    <xf numFmtId="1" fontId="19" fillId="11" borderId="20" xfId="0" applyNumberFormat="1" applyFont="1" applyFill="1" applyBorder="1" applyAlignment="1">
      <alignment horizontal="right" vertical="center"/>
    </xf>
    <xf numFmtId="1" fontId="19" fillId="11" borderId="20" xfId="0" applyNumberFormat="1" applyFont="1" applyFill="1" applyBorder="1" applyAlignment="1">
      <alignment vertical="center"/>
    </xf>
    <xf numFmtId="0" fontId="28" fillId="11" borderId="0" xfId="0" applyFont="1" applyFill="1" applyBorder="1" applyAlignment="1">
      <alignment vertical="center"/>
    </xf>
    <xf numFmtId="2" fontId="19" fillId="11" borderId="0" xfId="0" applyNumberFormat="1" applyFont="1" applyFill="1" applyBorder="1" applyAlignment="1">
      <alignment horizontal="right" vertical="center"/>
    </xf>
    <xf numFmtId="2" fontId="19" fillId="11" borderId="20" xfId="0" applyNumberFormat="1" applyFont="1" applyFill="1" applyBorder="1" applyAlignment="1">
      <alignment horizontal="right" vertical="center"/>
    </xf>
    <xf numFmtId="0" fontId="20" fillId="12" borderId="0" xfId="0" applyFont="1" applyFill="1" applyAlignment="1">
      <alignment vertical="center"/>
    </xf>
    <xf numFmtId="0" fontId="19" fillId="11" borderId="0" xfId="4" applyFont="1" applyFill="1" applyAlignment="1">
      <alignment vertical="center"/>
    </xf>
    <xf numFmtId="0" fontId="18" fillId="11" borderId="0" xfId="4" applyFont="1" applyFill="1" applyBorder="1" applyAlignment="1">
      <alignment vertical="center"/>
    </xf>
    <xf numFmtId="0" fontId="19" fillId="0" borderId="0" xfId="4" applyFont="1" applyAlignment="1">
      <alignment vertical="center"/>
    </xf>
    <xf numFmtId="0" fontId="28" fillId="7" borderId="9" xfId="4" applyFont="1" applyFill="1" applyBorder="1" applyAlignment="1">
      <alignment horizontal="center" vertical="center"/>
    </xf>
    <xf numFmtId="0" fontId="28" fillId="7" borderId="2" xfId="4" applyFont="1" applyFill="1" applyBorder="1" applyAlignment="1">
      <alignment horizontal="center" vertical="center"/>
    </xf>
    <xf numFmtId="0" fontId="28" fillId="7" borderId="10" xfId="4" applyFont="1" applyFill="1" applyBorder="1" applyAlignment="1">
      <alignment horizontal="center" vertical="center"/>
    </xf>
    <xf numFmtId="0" fontId="28" fillId="11" borderId="0" xfId="4" applyFont="1" applyFill="1" applyBorder="1" applyAlignment="1">
      <alignment horizontal="center" vertical="center"/>
    </xf>
    <xf numFmtId="0" fontId="37" fillId="11" borderId="0" xfId="4" applyFont="1" applyFill="1" applyBorder="1" applyAlignment="1">
      <alignment horizontal="center" vertical="center"/>
    </xf>
    <xf numFmtId="0" fontId="19" fillId="11" borderId="0" xfId="4" applyFont="1" applyFill="1" applyBorder="1" applyAlignment="1">
      <alignment vertical="center"/>
    </xf>
    <xf numFmtId="0" fontId="37" fillId="11" borderId="0" xfId="4" applyFont="1" applyFill="1" applyAlignment="1">
      <alignment vertical="center"/>
    </xf>
    <xf numFmtId="0" fontId="37" fillId="11" borderId="0" xfId="4" applyFont="1" applyFill="1" applyBorder="1" applyAlignment="1">
      <alignment vertical="center"/>
    </xf>
    <xf numFmtId="2" fontId="19" fillId="11" borderId="0" xfId="4" applyNumberFormat="1" applyFont="1" applyFill="1" applyAlignment="1">
      <alignment vertical="center"/>
    </xf>
    <xf numFmtId="0" fontId="28" fillId="11" borderId="0" xfId="4" applyFont="1" applyFill="1" applyBorder="1" applyAlignment="1">
      <alignment vertical="center"/>
    </xf>
    <xf numFmtId="0" fontId="33" fillId="9" borderId="7" xfId="1" applyFont="1" applyFill="1" applyBorder="1" applyAlignment="1">
      <alignment horizontal="left" vertical="center"/>
    </xf>
    <xf numFmtId="0" fontId="18" fillId="9" borderId="7" xfId="1" applyFont="1" applyFill="1" applyBorder="1" applyAlignment="1">
      <alignment horizontal="left" vertical="center" wrapText="1"/>
    </xf>
    <xf numFmtId="0" fontId="18" fillId="9" borderId="7" xfId="1" applyFont="1" applyFill="1" applyBorder="1" applyAlignment="1">
      <alignment horizontal="center" vertical="center"/>
    </xf>
    <xf numFmtId="0" fontId="18" fillId="9" borderId="8" xfId="1" applyFont="1" applyFill="1" applyBorder="1" applyAlignment="1">
      <alignment horizontal="left" vertical="center"/>
    </xf>
    <xf numFmtId="0" fontId="29" fillId="0" borderId="0" xfId="1" applyFont="1" applyFill="1" applyBorder="1" applyAlignment="1">
      <alignment horizontal="left" vertical="center" wrapText="1"/>
    </xf>
    <xf numFmtId="0" fontId="33" fillId="2" borderId="2" xfId="0" applyFont="1" applyFill="1" applyBorder="1" applyAlignment="1">
      <alignment vertical="center"/>
    </xf>
    <xf numFmtId="0" fontId="39" fillId="13" borderId="2" xfId="4" applyFont="1" applyFill="1" applyBorder="1" applyAlignment="1">
      <alignment horizontal="center" vertical="center"/>
    </xf>
    <xf numFmtId="2" fontId="19" fillId="8" borderId="2" xfId="0" applyNumberFormat="1" applyFont="1" applyFill="1" applyBorder="1" applyAlignment="1">
      <alignment vertical="center"/>
    </xf>
    <xf numFmtId="0" fontId="29" fillId="8" borderId="2" xfId="0" applyFont="1" applyFill="1" applyBorder="1" applyAlignment="1">
      <alignment vertical="center"/>
    </xf>
    <xf numFmtId="0" fontId="29" fillId="8" borderId="2" xfId="1" applyFont="1" applyFill="1" applyBorder="1" applyAlignment="1" applyProtection="1">
      <alignment horizontal="left" vertical="center"/>
    </xf>
    <xf numFmtId="15" fontId="0" fillId="0" borderId="0" xfId="0" applyNumberFormat="1" applyAlignment="1">
      <alignment horizontal="center" vertical="center"/>
    </xf>
    <xf numFmtId="15" fontId="0" fillId="0" borderId="0" xfId="0" applyNumberFormat="1" applyAlignment="1">
      <alignment horizontal="center" vertical="center"/>
    </xf>
    <xf numFmtId="15" fontId="0" fillId="0" borderId="0" xfId="0" applyNumberFormat="1" applyAlignment="1">
      <alignment horizontal="center" vertical="center"/>
    </xf>
    <xf numFmtId="15" fontId="0" fillId="0" borderId="0" xfId="0" applyNumberFormat="1" applyAlignment="1">
      <alignment horizontal="center" vertical="center"/>
    </xf>
    <xf numFmtId="15" fontId="0" fillId="0" borderId="0" xfId="0" applyNumberFormat="1" applyAlignment="1">
      <alignment horizontal="center" vertical="center"/>
    </xf>
    <xf numFmtId="0" fontId="19" fillId="11" borderId="18" xfId="0" applyFont="1" applyFill="1" applyBorder="1" applyAlignment="1">
      <alignment horizontal="right" vertical="center"/>
    </xf>
    <xf numFmtId="0" fontId="19" fillId="11" borderId="0" xfId="0" applyFont="1" applyFill="1" applyAlignment="1">
      <alignment vertical="center"/>
    </xf>
    <xf numFmtId="0" fontId="19" fillId="11" borderId="22" xfId="0" applyFont="1" applyFill="1" applyBorder="1" applyAlignment="1">
      <alignment horizontal="right" vertical="center"/>
    </xf>
    <xf numFmtId="0" fontId="19" fillId="11" borderId="20" xfId="0" applyFont="1" applyFill="1" applyBorder="1" applyAlignment="1">
      <alignment vertical="center"/>
    </xf>
    <xf numFmtId="0" fontId="19" fillId="0" borderId="0" xfId="0" applyFont="1" applyAlignment="1">
      <alignment vertical="center"/>
    </xf>
    <xf numFmtId="0" fontId="29" fillId="10" borderId="2" xfId="1" applyFont="1" applyFill="1" applyBorder="1" applyAlignment="1" applyProtection="1">
      <alignment horizontal="left" vertical="center"/>
      <protection locked="0"/>
    </xf>
    <xf numFmtId="0" fontId="29" fillId="8" borderId="2" xfId="1" applyFont="1" applyFill="1" applyBorder="1" applyAlignment="1">
      <alignment vertical="center"/>
    </xf>
    <xf numFmtId="15" fontId="0" fillId="0" borderId="0" xfId="0" applyNumberFormat="1" applyAlignment="1">
      <alignment horizontal="center" vertical="center"/>
    </xf>
    <xf numFmtId="0" fontId="18" fillId="9" borderId="7" xfId="1" applyFont="1" applyFill="1" applyBorder="1" applyAlignment="1">
      <alignment horizontal="left" wrapText="1"/>
    </xf>
    <xf numFmtId="0" fontId="27" fillId="11" borderId="10" xfId="1" applyFont="1" applyFill="1" applyBorder="1" applyAlignment="1">
      <alignment horizontal="center" vertical="center"/>
    </xf>
    <xf numFmtId="0" fontId="27" fillId="11" borderId="13" xfId="1" applyFont="1" applyFill="1" applyBorder="1" applyAlignment="1">
      <alignment horizontal="center" vertical="center"/>
    </xf>
    <xf numFmtId="0" fontId="19" fillId="0" borderId="0" xfId="0" applyFont="1" applyFill="1" applyBorder="1" applyAlignment="1" applyProtection="1">
      <alignment horizontal="left" vertical="center" wrapText="1"/>
    </xf>
    <xf numFmtId="0" fontId="19" fillId="0" borderId="0" xfId="0" applyFont="1" applyFill="1" applyBorder="1" applyAlignment="1" applyProtection="1">
      <alignment horizontal="center" vertical="center"/>
      <protection locked="0"/>
    </xf>
    <xf numFmtId="0" fontId="19" fillId="0" borderId="0" xfId="0" applyFont="1" applyFill="1" applyBorder="1" applyAlignment="1" applyProtection="1">
      <alignment horizontal="left" vertical="center" wrapText="1"/>
      <protection locked="0"/>
    </xf>
    <xf numFmtId="0" fontId="19" fillId="0" borderId="0" xfId="0" applyFont="1" applyFill="1" applyBorder="1" applyAlignment="1" applyProtection="1">
      <alignment horizontal="center" vertical="center" wrapText="1"/>
      <protection locked="0"/>
    </xf>
    <xf numFmtId="0" fontId="19" fillId="10" borderId="0" xfId="0" applyFont="1" applyFill="1" applyBorder="1" applyAlignment="1" applyProtection="1">
      <alignment horizontal="center" vertical="center"/>
      <protection locked="0"/>
    </xf>
    <xf numFmtId="0" fontId="19" fillId="10" borderId="0" xfId="0" applyFont="1" applyFill="1" applyBorder="1" applyAlignment="1" applyProtection="1">
      <alignment vertical="center"/>
      <protection locked="0"/>
    </xf>
    <xf numFmtId="0" fontId="28" fillId="10" borderId="0" xfId="0" applyFont="1" applyFill="1" applyBorder="1" applyAlignment="1" applyProtection="1">
      <alignment horizontal="center" vertical="center"/>
      <protection locked="0"/>
    </xf>
    <xf numFmtId="0" fontId="28" fillId="10" borderId="21" xfId="0" applyFont="1" applyFill="1" applyBorder="1" applyAlignment="1" applyProtection="1">
      <alignment horizontal="center" vertical="center"/>
      <protection locked="0"/>
    </xf>
    <xf numFmtId="1" fontId="19" fillId="10" borderId="0" xfId="0" applyNumberFormat="1" applyFont="1" applyFill="1" applyBorder="1" applyAlignment="1" applyProtection="1">
      <alignment horizontal="center" vertical="center"/>
      <protection locked="0"/>
    </xf>
    <xf numFmtId="1" fontId="19" fillId="10" borderId="21" xfId="0" applyNumberFormat="1" applyFont="1" applyFill="1" applyBorder="1" applyAlignment="1" applyProtection="1">
      <alignment horizontal="center" vertical="center"/>
      <protection locked="0"/>
    </xf>
    <xf numFmtId="0" fontId="19" fillId="10" borderId="2" xfId="0" applyFont="1" applyFill="1" applyBorder="1" applyAlignment="1" applyProtection="1">
      <alignment horizontal="center" vertical="center"/>
      <protection locked="0"/>
    </xf>
    <xf numFmtId="0" fontId="29" fillId="0" borderId="2" xfId="1" applyFont="1" applyFill="1" applyBorder="1" applyAlignment="1" applyProtection="1">
      <alignment horizontal="left" vertical="center" wrapText="1"/>
    </xf>
    <xf numFmtId="0" fontId="29" fillId="10" borderId="9" xfId="1" applyFont="1" applyFill="1" applyBorder="1" applyAlignment="1" applyProtection="1">
      <alignment horizontal="left" vertical="center"/>
      <protection locked="0"/>
    </xf>
    <xf numFmtId="0" fontId="29" fillId="10" borderId="11" xfId="1" applyFont="1" applyFill="1" applyBorder="1" applyAlignment="1" applyProtection="1">
      <alignment horizontal="left" vertical="center"/>
      <protection locked="0"/>
    </xf>
    <xf numFmtId="0" fontId="29" fillId="10" borderId="12" xfId="1" applyFont="1" applyFill="1" applyBorder="1" applyAlignment="1" applyProtection="1">
      <alignment horizontal="left" vertical="center"/>
      <protection locked="0"/>
    </xf>
    <xf numFmtId="0" fontId="33" fillId="9" borderId="2" xfId="1" applyFont="1" applyFill="1" applyBorder="1" applyAlignment="1">
      <alignment horizontal="center" vertical="center"/>
    </xf>
    <xf numFmtId="0" fontId="29" fillId="10" borderId="2" xfId="1" applyFont="1" applyFill="1" applyBorder="1" applyAlignment="1" applyProtection="1">
      <alignment vertical="center"/>
      <protection locked="0"/>
    </xf>
    <xf numFmtId="0" fontId="29" fillId="10" borderId="2" xfId="1" applyFont="1" applyFill="1" applyBorder="1" applyAlignment="1" applyProtection="1">
      <alignment horizontal="left" vertical="center"/>
      <protection locked="0"/>
    </xf>
    <xf numFmtId="0" fontId="19" fillId="8" borderId="2" xfId="0" applyFont="1" applyFill="1" applyBorder="1" applyAlignment="1">
      <alignment vertical="center"/>
    </xf>
    <xf numFmtId="0" fontId="19" fillId="0" borderId="0" xfId="0" applyFont="1" applyAlignment="1">
      <alignment vertical="center"/>
    </xf>
    <xf numFmtId="0" fontId="29" fillId="8" borderId="2" xfId="1" applyFont="1" applyFill="1" applyBorder="1" applyAlignment="1" applyProtection="1">
      <alignment vertical="center"/>
      <protection locked="0"/>
    </xf>
    <xf numFmtId="0" fontId="29" fillId="8" borderId="2" xfId="1" applyFont="1" applyFill="1" applyBorder="1" applyAlignment="1" applyProtection="1">
      <alignment vertical="center"/>
      <protection locked="0"/>
    </xf>
    <xf numFmtId="0" fontId="29" fillId="10" borderId="2" xfId="1" applyFont="1" applyFill="1" applyBorder="1" applyAlignment="1" applyProtection="1">
      <alignment vertical="center"/>
      <protection locked="0"/>
    </xf>
    <xf numFmtId="0" fontId="29" fillId="10" borderId="2" xfId="1" applyFont="1" applyFill="1" applyBorder="1" applyAlignment="1" applyProtection="1">
      <alignment horizontal="left" vertical="center"/>
      <protection locked="0"/>
    </xf>
    <xf numFmtId="0" fontId="27" fillId="0" borderId="0" xfId="1" applyFont="1" applyFill="1" applyBorder="1" applyAlignment="1" applyProtection="1"/>
    <xf numFmtId="0" fontId="27" fillId="0" borderId="0" xfId="1" applyFont="1" applyFill="1" applyBorder="1" applyAlignment="1" applyProtection="1">
      <alignment horizontal="left"/>
    </xf>
    <xf numFmtId="0" fontId="27" fillId="0" borderId="0" xfId="1" applyFont="1" applyFill="1" applyBorder="1" applyAlignment="1" applyProtection="1">
      <alignment vertical="center"/>
    </xf>
    <xf numFmtId="0" fontId="27" fillId="0" borderId="0" xfId="1" applyFont="1" applyFill="1" applyBorder="1" applyAlignment="1" applyProtection="1">
      <alignment horizontal="left" vertical="center"/>
    </xf>
    <xf numFmtId="0" fontId="29" fillId="0" borderId="0" xfId="1" applyFont="1" applyFill="1" applyBorder="1" applyAlignment="1" applyProtection="1">
      <alignment horizontal="left" vertical="center"/>
    </xf>
    <xf numFmtId="0" fontId="33" fillId="2" borderId="2" xfId="1" applyFont="1" applyFill="1" applyBorder="1" applyAlignment="1" applyProtection="1">
      <alignment vertical="center"/>
    </xf>
    <xf numFmtId="0" fontId="33" fillId="9" borderId="2" xfId="1" applyFont="1" applyFill="1" applyBorder="1" applyAlignment="1" applyProtection="1">
      <alignment horizontal="center" vertical="center"/>
    </xf>
    <xf numFmtId="0" fontId="18" fillId="2" borderId="2" xfId="1" applyFont="1" applyFill="1" applyBorder="1" applyAlignment="1" applyProtection="1">
      <alignment vertical="center"/>
    </xf>
    <xf numFmtId="0" fontId="29" fillId="8" borderId="2" xfId="1" applyFont="1" applyFill="1" applyBorder="1" applyAlignment="1" applyProtection="1">
      <alignment vertical="center"/>
    </xf>
    <xf numFmtId="0" fontId="19" fillId="8" borderId="2" xfId="0" applyFont="1" applyFill="1" applyBorder="1" applyAlignment="1" applyProtection="1">
      <alignment vertical="center"/>
      <protection locked="0"/>
    </xf>
    <xf numFmtId="0" fontId="19" fillId="10" borderId="2" xfId="0" applyFont="1" applyFill="1" applyBorder="1" applyAlignment="1" applyProtection="1">
      <alignment horizontal="left" vertical="center"/>
      <protection locked="0"/>
    </xf>
    <xf numFmtId="49" fontId="19" fillId="10" borderId="2" xfId="0" applyNumberFormat="1" applyFont="1" applyFill="1" applyBorder="1" applyAlignment="1" applyProtection="1">
      <alignment horizontal="left" vertical="center"/>
      <protection locked="0"/>
    </xf>
    <xf numFmtId="0" fontId="19" fillId="8" borderId="2" xfId="0" applyFont="1" applyFill="1" applyBorder="1" applyAlignment="1" applyProtection="1">
      <alignment horizontal="left" vertical="center"/>
      <protection locked="0"/>
    </xf>
    <xf numFmtId="0" fontId="35" fillId="11" borderId="0" xfId="1" applyFont="1" applyFill="1" applyProtection="1"/>
    <xf numFmtId="0" fontId="29" fillId="11" borderId="0" xfId="1" applyFont="1" applyFill="1" applyBorder="1" applyAlignment="1" applyProtection="1"/>
    <xf numFmtId="0" fontId="29" fillId="11" borderId="0" xfId="1" applyFont="1" applyFill="1" applyBorder="1" applyAlignment="1" applyProtection="1">
      <alignment horizontal="left"/>
    </xf>
    <xf numFmtId="0" fontId="29" fillId="11" borderId="0" xfId="1" applyFont="1" applyFill="1" applyBorder="1" applyAlignment="1" applyProtection="1">
      <alignment vertical="center"/>
    </xf>
    <xf numFmtId="0" fontId="29" fillId="11" borderId="0" xfId="1" applyFont="1" applyFill="1" applyBorder="1" applyAlignment="1" applyProtection="1">
      <alignment horizontal="left" vertical="center"/>
    </xf>
    <xf numFmtId="0" fontId="24" fillId="9" borderId="0" xfId="0" applyFont="1" applyFill="1" applyAlignment="1" applyProtection="1">
      <alignment vertical="center"/>
    </xf>
    <xf numFmtId="0" fontId="18" fillId="9" borderId="0" xfId="0" applyFont="1" applyFill="1" applyAlignment="1" applyProtection="1">
      <alignment vertical="center"/>
    </xf>
    <xf numFmtId="0" fontId="19" fillId="11" borderId="0" xfId="0" applyFont="1" applyFill="1" applyProtection="1"/>
    <xf numFmtId="0" fontId="21" fillId="15" borderId="32" xfId="0" applyFont="1" applyFill="1" applyBorder="1" applyAlignment="1" applyProtection="1">
      <alignment vertical="center"/>
    </xf>
    <xf numFmtId="0" fontId="18" fillId="15" borderId="33" xfId="0" applyFont="1" applyFill="1" applyBorder="1" applyAlignment="1" applyProtection="1">
      <alignment vertical="center"/>
    </xf>
    <xf numFmtId="0" fontId="19" fillId="11" borderId="0" xfId="0" applyFont="1" applyFill="1" applyAlignment="1" applyProtection="1">
      <alignment vertical="center"/>
    </xf>
    <xf numFmtId="0" fontId="21" fillId="15" borderId="0" xfId="0" applyFont="1" applyFill="1" applyAlignment="1" applyProtection="1">
      <alignment vertical="center"/>
    </xf>
    <xf numFmtId="0" fontId="18" fillId="15" borderId="35" xfId="0" applyFont="1" applyFill="1" applyBorder="1" applyAlignment="1" applyProtection="1">
      <alignment vertical="center"/>
    </xf>
    <xf numFmtId="0" fontId="33" fillId="9" borderId="19" xfId="0" applyFont="1" applyFill="1" applyBorder="1" applyAlignment="1" applyProtection="1">
      <alignment vertical="center"/>
    </xf>
    <xf numFmtId="0" fontId="19" fillId="9" borderId="27" xfId="0" applyFont="1" applyFill="1" applyBorder="1" applyAlignment="1" applyProtection="1">
      <alignment vertical="center"/>
    </xf>
    <xf numFmtId="0" fontId="33" fillId="2" borderId="2" xfId="1" applyFont="1" applyFill="1" applyBorder="1" applyAlignment="1" applyProtection="1">
      <alignment horizontal="left" vertical="center" indent="1"/>
    </xf>
    <xf numFmtId="0" fontId="33" fillId="11" borderId="0" xfId="1" applyFont="1" applyFill="1" applyBorder="1" applyAlignment="1" applyProtection="1">
      <alignment vertical="center"/>
    </xf>
    <xf numFmtId="0" fontId="19" fillId="0" borderId="0" xfId="0" applyFont="1" applyProtection="1"/>
    <xf numFmtId="49" fontId="29" fillId="10" borderId="2" xfId="1" applyNumberFormat="1" applyFont="1" applyFill="1" applyBorder="1" applyAlignment="1" applyProtection="1">
      <alignment horizontal="left" vertical="center"/>
      <protection locked="0"/>
    </xf>
    <xf numFmtId="0" fontId="36" fillId="10" borderId="9" xfId="30" applyFont="1" applyFill="1" applyBorder="1" applyAlignment="1" applyProtection="1">
      <alignment horizontal="center" vertical="center"/>
      <protection locked="0"/>
    </xf>
    <xf numFmtId="0" fontId="36" fillId="8" borderId="2" xfId="4" applyFont="1" applyFill="1" applyBorder="1" applyAlignment="1" applyProtection="1">
      <alignment horizontal="left" vertical="center"/>
      <protection locked="0"/>
    </xf>
    <xf numFmtId="0" fontId="36" fillId="10" borderId="2" xfId="30" applyFont="1" applyFill="1" applyBorder="1" applyAlignment="1" applyProtection="1">
      <alignment horizontal="center" vertical="center"/>
      <protection locked="0"/>
    </xf>
    <xf numFmtId="0" fontId="36" fillId="10" borderId="10" xfId="30" applyFont="1" applyFill="1" applyBorder="1" applyAlignment="1" applyProtection="1">
      <alignment horizontal="center" vertical="center"/>
      <protection locked="0"/>
    </xf>
    <xf numFmtId="0" fontId="19" fillId="10" borderId="9" xfId="30" applyFont="1" applyFill="1" applyBorder="1" applyAlignment="1" applyProtection="1">
      <alignment horizontal="center" vertical="center"/>
      <protection locked="0"/>
    </xf>
    <xf numFmtId="0" fontId="37" fillId="8" borderId="2" xfId="4" applyFont="1" applyFill="1" applyBorder="1" applyAlignment="1" applyProtection="1">
      <alignment horizontal="left" vertical="center"/>
      <protection locked="0"/>
    </xf>
    <xf numFmtId="0" fontId="19" fillId="10" borderId="2" xfId="30" applyFont="1" applyFill="1" applyBorder="1" applyAlignment="1" applyProtection="1">
      <alignment horizontal="center" vertical="center"/>
      <protection locked="0"/>
    </xf>
    <xf numFmtId="0" fontId="19" fillId="10" borderId="10" xfId="30" applyFont="1" applyFill="1" applyBorder="1" applyAlignment="1" applyProtection="1">
      <alignment horizontal="center" vertical="center"/>
      <protection locked="0"/>
    </xf>
    <xf numFmtId="0" fontId="37" fillId="10" borderId="2" xfId="30" applyFont="1" applyFill="1" applyBorder="1" applyAlignment="1" applyProtection="1">
      <alignment horizontal="center" vertical="center"/>
      <protection locked="0"/>
    </xf>
    <xf numFmtId="0" fontId="38" fillId="10" borderId="9" xfId="30" applyFont="1" applyFill="1" applyBorder="1" applyAlignment="1" applyProtection="1">
      <alignment horizontal="center" vertical="center"/>
      <protection locked="0"/>
    </xf>
    <xf numFmtId="0" fontId="38" fillId="8" borderId="2" xfId="4" applyFont="1" applyFill="1" applyBorder="1" applyAlignment="1" applyProtection="1">
      <alignment horizontal="left" vertical="center"/>
      <protection locked="0"/>
    </xf>
    <xf numFmtId="0" fontId="38" fillId="10" borderId="2" xfId="30" applyFont="1" applyFill="1" applyBorder="1" applyAlignment="1" applyProtection="1">
      <alignment horizontal="center" vertical="center"/>
      <protection locked="0"/>
    </xf>
    <xf numFmtId="0" fontId="38" fillId="10" borderId="10" xfId="30" applyFont="1" applyFill="1" applyBorder="1" applyAlignment="1" applyProtection="1">
      <alignment horizontal="center" vertical="center"/>
      <protection locked="0"/>
    </xf>
    <xf numFmtId="0" fontId="39" fillId="10" borderId="9" xfId="30" applyFont="1" applyFill="1" applyBorder="1" applyAlignment="1" applyProtection="1">
      <alignment horizontal="center" vertical="center"/>
      <protection locked="0"/>
    </xf>
    <xf numFmtId="0" fontId="39" fillId="8" borderId="2" xfId="4" applyFont="1" applyFill="1" applyBorder="1" applyAlignment="1" applyProtection="1">
      <alignment horizontal="left" vertical="center"/>
      <protection locked="0"/>
    </xf>
    <xf numFmtId="0" fontId="39" fillId="10" borderId="2" xfId="30" applyFont="1" applyFill="1" applyBorder="1" applyAlignment="1" applyProtection="1">
      <alignment horizontal="center" vertical="center"/>
      <protection locked="0"/>
    </xf>
    <xf numFmtId="0" fontId="39" fillId="8" borderId="10" xfId="4" applyFont="1" applyFill="1" applyBorder="1" applyAlignment="1" applyProtection="1">
      <alignment horizontal="center" vertical="center"/>
      <protection locked="0"/>
    </xf>
    <xf numFmtId="0" fontId="40" fillId="10" borderId="11" xfId="30" applyFont="1" applyFill="1" applyBorder="1" applyAlignment="1" applyProtection="1">
      <alignment horizontal="center" vertical="center"/>
      <protection locked="0"/>
    </xf>
    <xf numFmtId="0" fontId="40" fillId="8" borderId="12" xfId="4" applyFont="1" applyFill="1" applyBorder="1" applyAlignment="1" applyProtection="1">
      <alignment horizontal="left" vertical="center"/>
      <protection locked="0"/>
    </xf>
    <xf numFmtId="0" fontId="40" fillId="10" borderId="12" xfId="30" applyFont="1" applyFill="1" applyBorder="1" applyAlignment="1" applyProtection="1">
      <alignment horizontal="center" vertical="center"/>
      <protection locked="0"/>
    </xf>
    <xf numFmtId="0" fontId="40" fillId="8" borderId="13" xfId="4" applyFont="1" applyFill="1" applyBorder="1" applyAlignment="1" applyProtection="1">
      <alignment horizontal="center" vertical="center"/>
      <protection locked="0"/>
    </xf>
    <xf numFmtId="0" fontId="28" fillId="10" borderId="9" xfId="30" applyFont="1" applyFill="1" applyBorder="1" applyAlignment="1" applyProtection="1">
      <alignment horizontal="center" vertical="center"/>
      <protection locked="0"/>
    </xf>
    <xf numFmtId="0" fontId="28" fillId="10" borderId="2" xfId="30" applyFont="1" applyFill="1" applyBorder="1" applyAlignment="1" applyProtection="1">
      <alignment horizontal="center" vertical="center"/>
      <protection locked="0"/>
    </xf>
    <xf numFmtId="0" fontId="28" fillId="10" borderId="10" xfId="30" applyFont="1" applyFill="1" applyBorder="1" applyAlignment="1" applyProtection="1">
      <alignment horizontal="center" vertical="center"/>
      <protection locked="0"/>
    </xf>
    <xf numFmtId="2" fontId="36" fillId="10" borderId="9" xfId="30" applyNumberFormat="1" applyFont="1" applyFill="1" applyBorder="1" applyAlignment="1" applyProtection="1">
      <alignment horizontal="center" vertical="center"/>
      <protection locked="0"/>
    </xf>
    <xf numFmtId="2" fontId="36" fillId="10" borderId="2" xfId="30" applyNumberFormat="1" applyFont="1" applyFill="1" applyBorder="1" applyAlignment="1" applyProtection="1">
      <alignment horizontal="center" vertical="center"/>
      <protection locked="0"/>
    </xf>
    <xf numFmtId="2" fontId="36" fillId="10" borderId="10" xfId="30" applyNumberFormat="1" applyFont="1" applyFill="1" applyBorder="1" applyAlignment="1" applyProtection="1">
      <alignment horizontal="center" vertical="center"/>
      <protection locked="0"/>
    </xf>
    <xf numFmtId="2" fontId="19" fillId="10" borderId="9" xfId="30" applyNumberFormat="1" applyFont="1" applyFill="1" applyBorder="1" applyAlignment="1" applyProtection="1">
      <alignment horizontal="center" vertical="center"/>
      <protection locked="0"/>
    </xf>
    <xf numFmtId="2" fontId="19" fillId="10" borderId="2" xfId="30" applyNumberFormat="1" applyFont="1" applyFill="1" applyBorder="1" applyAlignment="1" applyProtection="1">
      <alignment horizontal="center" vertical="center"/>
      <protection locked="0"/>
    </xf>
    <xf numFmtId="2" fontId="19" fillId="10" borderId="10" xfId="30" applyNumberFormat="1" applyFont="1" applyFill="1" applyBorder="1" applyAlignment="1" applyProtection="1">
      <alignment horizontal="center" vertical="center"/>
      <protection locked="0"/>
    </xf>
    <xf numFmtId="2" fontId="19" fillId="10" borderId="11" xfId="30" applyNumberFormat="1" applyFont="1" applyFill="1" applyBorder="1" applyAlignment="1" applyProtection="1">
      <alignment horizontal="center" vertical="center"/>
      <protection locked="0"/>
    </xf>
    <xf numFmtId="2" fontId="19" fillId="10" borderId="12" xfId="30" applyNumberFormat="1" applyFont="1" applyFill="1" applyBorder="1" applyAlignment="1" applyProtection="1">
      <alignment horizontal="center" vertical="center"/>
      <protection locked="0"/>
    </xf>
    <xf numFmtId="2" fontId="19" fillId="10" borderId="13" xfId="30" applyNumberFormat="1" applyFont="1" applyFill="1" applyBorder="1" applyAlignment="1" applyProtection="1">
      <alignment horizontal="center" vertical="center"/>
      <protection locked="0"/>
    </xf>
    <xf numFmtId="2" fontId="28" fillId="10" borderId="9" xfId="30" applyNumberFormat="1" applyFont="1" applyFill="1" applyBorder="1" applyAlignment="1" applyProtection="1">
      <alignment horizontal="center" vertical="center"/>
      <protection locked="0"/>
    </xf>
    <xf numFmtId="2" fontId="28" fillId="10" borderId="2" xfId="30" applyNumberFormat="1" applyFont="1" applyFill="1" applyBorder="1" applyAlignment="1" applyProtection="1">
      <alignment horizontal="center" vertical="center"/>
      <protection locked="0"/>
    </xf>
    <xf numFmtId="2" fontId="28" fillId="10" borderId="10" xfId="30" applyNumberFormat="1" applyFont="1" applyFill="1" applyBorder="1" applyAlignment="1" applyProtection="1">
      <alignment horizontal="center" vertical="center"/>
      <protection locked="0"/>
    </xf>
    <xf numFmtId="0" fontId="36" fillId="10" borderId="10" xfId="4" applyFont="1" applyFill="1" applyBorder="1" applyAlignment="1" applyProtection="1">
      <alignment horizontal="center" vertical="center"/>
      <protection locked="0"/>
    </xf>
    <xf numFmtId="1" fontId="37" fillId="10" borderId="10" xfId="4" applyNumberFormat="1" applyFont="1" applyFill="1" applyBorder="1" applyAlignment="1" applyProtection="1">
      <alignment horizontal="center" vertical="center"/>
      <protection locked="0"/>
    </xf>
    <xf numFmtId="0" fontId="38" fillId="8" borderId="2" xfId="4" applyFont="1" applyFill="1" applyBorder="1" applyAlignment="1" applyProtection="1">
      <alignment vertical="center"/>
      <protection locked="0"/>
    </xf>
    <xf numFmtId="0" fontId="38" fillId="10" borderId="10" xfId="4" applyFont="1" applyFill="1" applyBorder="1" applyAlignment="1" applyProtection="1">
      <alignment horizontal="center" vertical="center"/>
      <protection locked="0"/>
    </xf>
    <xf numFmtId="0" fontId="35" fillId="0" borderId="0" xfId="1" applyFont="1" applyProtection="1"/>
    <xf numFmtId="0" fontId="29" fillId="0" borderId="0" xfId="1" applyFont="1" applyFill="1" applyBorder="1" applyAlignment="1" applyProtection="1"/>
    <xf numFmtId="0" fontId="29" fillId="0" borderId="0" xfId="1" applyFont="1" applyFill="1" applyBorder="1" applyAlignment="1" applyProtection="1">
      <alignment horizontal="left"/>
    </xf>
    <xf numFmtId="0" fontId="29" fillId="0" borderId="0" xfId="1" applyFont="1" applyFill="1" applyBorder="1" applyAlignment="1" applyProtection="1">
      <alignment vertical="center"/>
    </xf>
    <xf numFmtId="0" fontId="24" fillId="9" borderId="0" xfId="1" applyFont="1" applyFill="1" applyBorder="1" applyAlignment="1" applyProtection="1">
      <alignment horizontal="left" vertical="center"/>
    </xf>
    <xf numFmtId="0" fontId="33" fillId="9" borderId="0" xfId="1" applyFont="1" applyFill="1" applyBorder="1" applyAlignment="1" applyProtection="1">
      <alignment horizontal="left" vertical="center" indent="1"/>
    </xf>
    <xf numFmtId="0" fontId="43" fillId="0" borderId="0" xfId="1" applyFont="1" applyFill="1" applyBorder="1" applyProtection="1"/>
    <xf numFmtId="0" fontId="33" fillId="2" borderId="25" xfId="1" applyFont="1" applyFill="1" applyBorder="1" applyAlignment="1" applyProtection="1">
      <alignment vertical="center"/>
    </xf>
    <xf numFmtId="43" fontId="30" fillId="10" borderId="2" xfId="2" applyFont="1" applyFill="1" applyBorder="1" applyAlignment="1" applyProtection="1">
      <alignment horizontal="center" vertical="center"/>
    </xf>
    <xf numFmtId="0" fontId="43" fillId="0" borderId="0" xfId="1" applyFont="1" applyFill="1" applyBorder="1" applyAlignment="1" applyProtection="1">
      <alignment vertical="center"/>
    </xf>
    <xf numFmtId="0" fontId="33" fillId="9" borderId="0" xfId="1" applyFont="1" applyFill="1" applyBorder="1" applyAlignment="1" applyProtection="1">
      <alignment horizontal="left" vertical="center"/>
    </xf>
    <xf numFmtId="43" fontId="30" fillId="10" borderId="1" xfId="2" applyFont="1" applyFill="1" applyBorder="1" applyAlignment="1" applyProtection="1">
      <alignment horizontal="center" vertical="center"/>
    </xf>
    <xf numFmtId="0" fontId="33" fillId="2" borderId="0" xfId="1" applyFont="1" applyFill="1" applyBorder="1" applyAlignment="1" applyProtection="1">
      <alignment horizontal="left" vertical="center"/>
    </xf>
    <xf numFmtId="0" fontId="33" fillId="2" borderId="2" xfId="1" applyFont="1" applyFill="1" applyBorder="1" applyAlignment="1" applyProtection="1">
      <alignment horizontal="left" vertical="center"/>
    </xf>
    <xf numFmtId="0" fontId="18" fillId="11" borderId="0" xfId="1" applyFont="1" applyFill="1" applyBorder="1" applyAlignment="1" applyProtection="1">
      <alignment vertical="center"/>
    </xf>
    <xf numFmtId="43" fontId="29" fillId="0" borderId="0" xfId="2" applyFont="1" applyFill="1" applyBorder="1" applyAlignment="1" applyProtection="1">
      <alignment horizontal="center" vertical="center"/>
    </xf>
    <xf numFmtId="0" fontId="44" fillId="0" borderId="0" xfId="1" applyFont="1" applyFill="1" applyBorder="1" applyAlignment="1" applyProtection="1">
      <alignment vertical="center"/>
    </xf>
    <xf numFmtId="0" fontId="18" fillId="0" borderId="0" xfId="1" applyFont="1" applyFill="1" applyBorder="1" applyAlignment="1" applyProtection="1">
      <alignment vertical="center"/>
    </xf>
    <xf numFmtId="0" fontId="18" fillId="0" borderId="0" xfId="1" applyFont="1" applyFill="1" applyBorder="1" applyAlignment="1" applyProtection="1">
      <alignment horizontal="left" vertical="center"/>
    </xf>
    <xf numFmtId="0" fontId="18" fillId="2" borderId="2" xfId="1" applyFont="1" applyFill="1" applyBorder="1" applyAlignment="1" applyProtection="1">
      <alignment horizontal="left" vertical="center"/>
    </xf>
    <xf numFmtId="0" fontId="46" fillId="10" borderId="2" xfId="1" applyFont="1" applyFill="1" applyBorder="1" applyAlignment="1" applyProtection="1">
      <alignment vertical="center"/>
    </xf>
    <xf numFmtId="1" fontId="18" fillId="0" borderId="0" xfId="1" applyNumberFormat="1" applyFont="1" applyFill="1" applyBorder="1" applyAlignment="1" applyProtection="1">
      <alignment horizontal="left" vertical="center"/>
    </xf>
    <xf numFmtId="0" fontId="18" fillId="2" borderId="0" xfId="1" applyFont="1" applyFill="1" applyBorder="1" applyAlignment="1" applyProtection="1">
      <alignment vertical="center"/>
    </xf>
    <xf numFmtId="0" fontId="48" fillId="0" borderId="0" xfId="0" applyFont="1" applyFill="1" applyBorder="1" applyAlignment="1" applyProtection="1">
      <alignment horizontal="left" vertical="center"/>
    </xf>
    <xf numFmtId="0" fontId="24" fillId="9" borderId="0" xfId="1" applyFont="1" applyFill="1" applyBorder="1" applyAlignment="1" applyProtection="1">
      <alignment vertical="center"/>
    </xf>
    <xf numFmtId="0" fontId="24" fillId="9" borderId="0" xfId="1" applyFont="1" applyFill="1" applyBorder="1" applyAlignment="1" applyProtection="1">
      <alignment horizontal="left"/>
    </xf>
    <xf numFmtId="0" fontId="29" fillId="0" borderId="0" xfId="1" applyFont="1" applyAlignment="1" applyProtection="1">
      <alignment vertical="center"/>
    </xf>
    <xf numFmtId="43" fontId="30" fillId="11" borderId="0" xfId="2" applyFont="1" applyFill="1" applyBorder="1" applyAlignment="1" applyProtection="1">
      <alignment horizontal="center" vertical="center"/>
    </xf>
    <xf numFmtId="0" fontId="32" fillId="11" borderId="0" xfId="0" applyFont="1" applyFill="1" applyBorder="1" applyAlignment="1" applyProtection="1">
      <alignment horizontal="left" wrapText="1"/>
    </xf>
    <xf numFmtId="0" fontId="19" fillId="11" borderId="0" xfId="0" applyFont="1" applyFill="1" applyBorder="1" applyAlignment="1" applyProtection="1">
      <alignment horizontal="left"/>
    </xf>
    <xf numFmtId="0" fontId="36" fillId="10" borderId="2" xfId="1" applyFont="1" applyFill="1" applyBorder="1" applyAlignment="1" applyProtection="1">
      <alignment vertical="center"/>
      <protection locked="0"/>
    </xf>
    <xf numFmtId="0" fontId="45" fillId="10" borderId="2" xfId="1" applyFont="1" applyFill="1" applyBorder="1" applyAlignment="1" applyProtection="1">
      <alignment vertical="center"/>
      <protection locked="0"/>
    </xf>
    <xf numFmtId="0" fontId="46" fillId="10" borderId="2" xfId="1" applyFont="1" applyFill="1" applyBorder="1" applyAlignment="1" applyProtection="1">
      <alignment vertical="center"/>
      <protection locked="0"/>
    </xf>
    <xf numFmtId="0" fontId="47" fillId="10" borderId="2" xfId="1" applyFont="1" applyFill="1" applyBorder="1" applyAlignment="1" applyProtection="1">
      <alignment vertical="center"/>
      <protection locked="0"/>
    </xf>
    <xf numFmtId="0" fontId="52" fillId="10" borderId="2" xfId="1" applyFont="1" applyFill="1" applyBorder="1" applyAlignment="1" applyProtection="1">
      <alignment vertical="center"/>
      <protection locked="0"/>
    </xf>
    <xf numFmtId="0" fontId="19" fillId="10" borderId="2" xfId="1" applyFont="1" applyFill="1" applyBorder="1" applyAlignment="1" applyProtection="1">
      <alignment vertical="center"/>
      <protection locked="0"/>
    </xf>
    <xf numFmtId="0" fontId="29" fillId="10" borderId="2" xfId="1" applyFont="1" applyFill="1" applyBorder="1" applyAlignment="1" applyProtection="1">
      <alignment vertical="center"/>
      <protection locked="0"/>
    </xf>
    <xf numFmtId="0" fontId="21" fillId="15" borderId="0" xfId="0" applyFont="1" applyFill="1" applyBorder="1" applyAlignment="1">
      <alignment vertical="center"/>
    </xf>
    <xf numFmtId="0" fontId="19" fillId="11" borderId="0" xfId="0" applyFont="1" applyFill="1" applyAlignment="1">
      <alignment vertical="center"/>
    </xf>
    <xf numFmtId="0" fontId="27" fillId="11" borderId="0" xfId="1" applyFont="1" applyFill="1" applyBorder="1" applyAlignment="1" applyProtection="1">
      <alignment horizontal="left"/>
    </xf>
    <xf numFmtId="0" fontId="30" fillId="11" borderId="0" xfId="3" applyFont="1" applyFill="1" applyBorder="1" applyAlignment="1" applyProtection="1">
      <alignment vertical="center" wrapText="1"/>
    </xf>
    <xf numFmtId="0" fontId="0" fillId="11" borderId="0" xfId="0" applyFill="1" applyBorder="1" applyAlignment="1" applyProtection="1">
      <alignment wrapText="1"/>
    </xf>
    <xf numFmtId="0" fontId="19" fillId="11" borderId="0" xfId="0" applyFont="1" applyFill="1" applyBorder="1" applyAlignment="1" applyProtection="1">
      <alignment wrapText="1"/>
    </xf>
    <xf numFmtId="0" fontId="17" fillId="11" borderId="0" xfId="0" applyFont="1" applyFill="1" applyBorder="1" applyAlignment="1" applyProtection="1">
      <alignment wrapText="1"/>
    </xf>
    <xf numFmtId="15" fontId="0" fillId="0" borderId="0" xfId="0" applyNumberFormat="1" applyAlignment="1">
      <alignment horizontal="center" vertical="center"/>
    </xf>
    <xf numFmtId="0" fontId="30" fillId="8" borderId="15" xfId="3" applyFont="1" applyFill="1" applyBorder="1" applyAlignment="1" applyProtection="1">
      <alignment vertical="center" wrapText="1"/>
    </xf>
    <xf numFmtId="0" fontId="0" fillId="8" borderId="16" xfId="0" applyFill="1" applyBorder="1" applyAlignment="1">
      <alignment wrapText="1"/>
    </xf>
    <xf numFmtId="0" fontId="0" fillId="8" borderId="17" xfId="0" applyFill="1" applyBorder="1" applyAlignment="1">
      <alignment wrapText="1"/>
    </xf>
    <xf numFmtId="0" fontId="19" fillId="10" borderId="25" xfId="0" applyFont="1" applyFill="1" applyBorder="1" applyAlignment="1" applyProtection="1">
      <alignment horizontal="center" vertical="center"/>
      <protection locked="0"/>
    </xf>
    <xf numFmtId="0" fontId="19" fillId="10" borderId="14" xfId="0" applyFont="1" applyFill="1" applyBorder="1" applyAlignment="1" applyProtection="1">
      <alignment horizontal="center" vertical="center"/>
      <protection locked="0"/>
    </xf>
    <xf numFmtId="0" fontId="28" fillId="14" borderId="3" xfId="0" applyFont="1" applyFill="1" applyBorder="1" applyAlignment="1">
      <alignment vertical="center"/>
    </xf>
    <xf numFmtId="0" fontId="19" fillId="14" borderId="4" xfId="0" applyFont="1" applyFill="1" applyBorder="1" applyAlignment="1">
      <alignment vertical="center"/>
    </xf>
    <xf numFmtId="0" fontId="19" fillId="14" borderId="5" xfId="0" applyFont="1" applyFill="1" applyBorder="1" applyAlignment="1">
      <alignment vertical="center"/>
    </xf>
    <xf numFmtId="0" fontId="19" fillId="0" borderId="26" xfId="0" applyFont="1" applyBorder="1" applyAlignment="1" applyProtection="1">
      <alignment horizontal="center" vertical="center"/>
      <protection locked="0"/>
    </xf>
    <xf numFmtId="0" fontId="19" fillId="0" borderId="14" xfId="0" applyFont="1" applyBorder="1" applyAlignment="1" applyProtection="1">
      <alignment horizontal="center" vertical="center"/>
      <protection locked="0"/>
    </xf>
    <xf numFmtId="0" fontId="19" fillId="10" borderId="25" xfId="0" applyFont="1" applyFill="1" applyBorder="1" applyAlignment="1" applyProtection="1">
      <alignment horizontal="center" vertical="center" wrapText="1"/>
      <protection locked="0"/>
    </xf>
    <xf numFmtId="0" fontId="19" fillId="10" borderId="26" xfId="0" applyFont="1" applyFill="1" applyBorder="1" applyAlignment="1" applyProtection="1">
      <alignment horizontal="center" vertical="center" wrapText="1"/>
      <protection locked="0"/>
    </xf>
    <xf numFmtId="0" fontId="19" fillId="10" borderId="14" xfId="0" applyFont="1" applyFill="1" applyBorder="1" applyAlignment="1" applyProtection="1">
      <alignment horizontal="center" vertical="center" wrapText="1"/>
      <protection locked="0"/>
    </xf>
    <xf numFmtId="0" fontId="19" fillId="10" borderId="26" xfId="0" applyFont="1" applyFill="1" applyBorder="1" applyAlignment="1" applyProtection="1">
      <alignment horizontal="center" vertical="center"/>
      <protection locked="0"/>
    </xf>
    <xf numFmtId="0" fontId="22" fillId="14" borderId="0" xfId="0" applyFont="1" applyFill="1" applyAlignment="1">
      <alignment horizontal="left" vertical="center" wrapText="1"/>
    </xf>
    <xf numFmtId="0" fontId="22" fillId="0" borderId="0" xfId="0" applyFont="1" applyAlignment="1">
      <alignment horizontal="left" vertical="center" wrapText="1"/>
    </xf>
    <xf numFmtId="0" fontId="34" fillId="0" borderId="0" xfId="0" applyFont="1" applyAlignment="1">
      <alignment horizontal="left" vertical="center" wrapText="1"/>
    </xf>
    <xf numFmtId="0" fontId="28" fillId="14" borderId="0" xfId="0" applyFont="1" applyFill="1" applyAlignment="1">
      <alignment horizontal="center" vertical="center"/>
    </xf>
    <xf numFmtId="0" fontId="19" fillId="14" borderId="0" xfId="0" applyFont="1" applyFill="1" applyAlignment="1">
      <alignment horizontal="center" vertical="center"/>
    </xf>
    <xf numFmtId="0" fontId="19" fillId="14" borderId="0" xfId="0" applyFont="1" applyFill="1" applyAlignment="1">
      <alignment vertical="center"/>
    </xf>
    <xf numFmtId="0" fontId="19" fillId="11" borderId="18" xfId="0" applyFont="1" applyFill="1" applyBorder="1" applyAlignment="1">
      <alignment horizontal="right" vertical="center"/>
    </xf>
    <xf numFmtId="0" fontId="19" fillId="11" borderId="0" xfId="0" applyFont="1" applyFill="1" applyAlignment="1">
      <alignment vertical="center"/>
    </xf>
    <xf numFmtId="0" fontId="19" fillId="11" borderId="22" xfId="0" applyFont="1" applyFill="1" applyBorder="1" applyAlignment="1">
      <alignment horizontal="right" vertical="center"/>
    </xf>
    <xf numFmtId="0" fontId="19" fillId="11" borderId="20" xfId="0" applyFont="1" applyFill="1" applyBorder="1" applyAlignment="1">
      <alignment vertical="center"/>
    </xf>
    <xf numFmtId="0" fontId="41" fillId="12" borderId="9" xfId="1" applyFont="1" applyFill="1" applyBorder="1" applyAlignment="1">
      <alignment horizontal="left" vertical="center" wrapText="1"/>
    </xf>
    <xf numFmtId="0" fontId="34" fillId="12" borderId="2" xfId="0" applyFont="1" applyFill="1" applyBorder="1" applyAlignment="1">
      <alignment horizontal="left" vertical="center" wrapText="1"/>
    </xf>
    <xf numFmtId="0" fontId="34" fillId="12" borderId="10" xfId="0" applyFont="1" applyFill="1" applyBorder="1" applyAlignment="1">
      <alignment horizontal="left" vertical="center" wrapText="1"/>
    </xf>
    <xf numFmtId="0" fontId="29" fillId="10" borderId="9" xfId="1" applyFont="1" applyFill="1" applyBorder="1" applyAlignment="1" applyProtection="1">
      <alignment horizontal="left" vertical="center"/>
      <protection locked="0"/>
    </xf>
    <xf numFmtId="0" fontId="0" fillId="0" borderId="2" xfId="0" applyBorder="1" applyAlignment="1" applyProtection="1">
      <alignment horizontal="left" vertical="center"/>
      <protection locked="0"/>
    </xf>
    <xf numFmtId="0" fontId="29" fillId="10" borderId="11" xfId="1" applyFont="1" applyFill="1" applyBorder="1" applyAlignment="1" applyProtection="1">
      <alignment horizontal="left" vertical="center"/>
      <protection locked="0"/>
    </xf>
    <xf numFmtId="0" fontId="0" fillId="0" borderId="12" xfId="0" applyBorder="1" applyAlignment="1" applyProtection="1">
      <alignment horizontal="left" vertical="center"/>
      <protection locked="0"/>
    </xf>
    <xf numFmtId="0" fontId="0" fillId="0" borderId="16" xfId="0" applyBorder="1" applyAlignment="1" applyProtection="1">
      <alignment wrapText="1"/>
    </xf>
    <xf numFmtId="0" fontId="0" fillId="0" borderId="17" xfId="0" applyBorder="1" applyAlignment="1" applyProtection="1">
      <alignment wrapText="1"/>
    </xf>
    <xf numFmtId="0" fontId="30" fillId="7" borderId="9" xfId="1" applyFont="1" applyFill="1" applyBorder="1" applyAlignment="1">
      <alignment horizontal="center" vertical="center" wrapText="1"/>
    </xf>
    <xf numFmtId="0" fontId="19" fillId="0" borderId="2" xfId="0" applyFont="1" applyBorder="1" applyAlignment="1">
      <alignment vertical="center"/>
    </xf>
    <xf numFmtId="0" fontId="23" fillId="9" borderId="6" xfId="1" applyFont="1" applyFill="1" applyBorder="1" applyAlignment="1">
      <alignment horizontal="left" vertical="center" wrapText="1"/>
    </xf>
    <xf numFmtId="0" fontId="0" fillId="0" borderId="7" xfId="0" applyBorder="1" applyAlignment="1">
      <alignment horizontal="left" wrapText="1"/>
    </xf>
    <xf numFmtId="0" fontId="49" fillId="8" borderId="15" xfId="3" applyFont="1" applyFill="1" applyBorder="1" applyAlignment="1" applyProtection="1">
      <alignment vertical="center" wrapText="1"/>
    </xf>
    <xf numFmtId="0" fontId="17" fillId="0" borderId="16" xfId="0" applyFont="1" applyBorder="1" applyAlignment="1"/>
    <xf numFmtId="0" fontId="17" fillId="0" borderId="17" xfId="0" applyFont="1" applyBorder="1" applyAlignment="1"/>
    <xf numFmtId="0" fontId="21" fillId="9" borderId="6" xfId="4" applyFont="1" applyFill="1" applyBorder="1" applyAlignment="1">
      <alignment horizontal="center" vertical="center"/>
    </xf>
    <xf numFmtId="0" fontId="34" fillId="0" borderId="7" xfId="0" applyFont="1" applyBorder="1" applyAlignment="1">
      <alignment horizontal="center" vertical="center"/>
    </xf>
    <xf numFmtId="0" fontId="34" fillId="0" borderId="8" xfId="0" applyFont="1" applyBorder="1" applyAlignment="1">
      <alignment horizontal="center" vertical="center"/>
    </xf>
    <xf numFmtId="0" fontId="21" fillId="9" borderId="6" xfId="4" applyFont="1" applyFill="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2" fontId="21" fillId="9" borderId="6" xfId="4" applyNumberFormat="1" applyFont="1" applyFill="1"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29" fillId="10" borderId="19" xfId="1" applyFont="1" applyFill="1" applyBorder="1" applyAlignment="1" applyProtection="1">
      <alignment vertical="center"/>
      <protection locked="0"/>
    </xf>
    <xf numFmtId="0" fontId="29" fillId="10" borderId="27" xfId="1" applyFont="1" applyFill="1" applyBorder="1" applyAlignment="1" applyProtection="1">
      <alignment vertical="center"/>
      <protection locked="0"/>
    </xf>
    <xf numFmtId="49" fontId="4" fillId="10" borderId="19" xfId="3" applyNumberFormat="1" applyFill="1" applyBorder="1" applyAlignment="1" applyProtection="1">
      <alignment horizontal="left" vertical="center"/>
      <protection locked="0"/>
    </xf>
    <xf numFmtId="0" fontId="19" fillId="0" borderId="27" xfId="0" applyFont="1" applyBorder="1" applyAlignment="1" applyProtection="1">
      <alignment horizontal="left" vertical="center"/>
      <protection locked="0"/>
    </xf>
    <xf numFmtId="49" fontId="29" fillId="10" borderId="2" xfId="3" applyNumberFormat="1" applyFont="1" applyFill="1" applyBorder="1" applyAlignment="1" applyProtection="1">
      <alignment horizontal="left" vertical="center"/>
      <protection locked="0"/>
    </xf>
    <xf numFmtId="49" fontId="29" fillId="0" borderId="2" xfId="0" applyNumberFormat="1" applyFont="1" applyBorder="1" applyAlignment="1" applyProtection="1">
      <alignment horizontal="left" vertical="center"/>
      <protection locked="0"/>
    </xf>
    <xf numFmtId="0" fontId="33" fillId="9" borderId="2" xfId="1" applyFont="1" applyFill="1" applyBorder="1" applyAlignment="1" applyProtection="1">
      <alignment horizontal="center" vertical="center"/>
    </xf>
    <xf numFmtId="0" fontId="28" fillId="0" borderId="2" xfId="0" applyFont="1" applyBorder="1" applyAlignment="1" applyProtection="1">
      <alignment vertical="center"/>
    </xf>
    <xf numFmtId="0" fontId="19" fillId="0" borderId="2" xfId="0" applyFont="1" applyBorder="1" applyAlignment="1" applyProtection="1">
      <alignment vertical="center"/>
    </xf>
    <xf numFmtId="0" fontId="29" fillId="8" borderId="2" xfId="1" applyFont="1" applyFill="1" applyBorder="1" applyAlignment="1" applyProtection="1">
      <alignment vertical="center"/>
      <protection locked="0"/>
    </xf>
    <xf numFmtId="0" fontId="19" fillId="8" borderId="2" xfId="0" applyFont="1" applyFill="1" applyBorder="1" applyAlignment="1" applyProtection="1">
      <alignment vertical="center"/>
      <protection locked="0"/>
    </xf>
    <xf numFmtId="0" fontId="29" fillId="8" borderId="19" xfId="1" applyFont="1" applyFill="1" applyBorder="1" applyAlignment="1" applyProtection="1">
      <alignment vertical="center"/>
      <protection locked="0"/>
    </xf>
    <xf numFmtId="0" fontId="29" fillId="8" borderId="27" xfId="1" applyFont="1" applyFill="1" applyBorder="1" applyAlignment="1" applyProtection="1">
      <alignment vertical="center"/>
      <protection locked="0"/>
    </xf>
    <xf numFmtId="0" fontId="29" fillId="10" borderId="19" xfId="1" applyFont="1" applyFill="1" applyBorder="1" applyAlignment="1" applyProtection="1">
      <alignment horizontal="left" vertical="center"/>
      <protection locked="0"/>
    </xf>
    <xf numFmtId="0" fontId="29" fillId="10" borderId="27" xfId="1" applyFont="1" applyFill="1" applyBorder="1" applyAlignment="1" applyProtection="1">
      <alignment horizontal="left" vertical="center"/>
      <protection locked="0"/>
    </xf>
    <xf numFmtId="0" fontId="4" fillId="10" borderId="19" xfId="3" applyFill="1" applyBorder="1" applyAlignment="1" applyProtection="1">
      <alignment vertical="center"/>
      <protection locked="0"/>
    </xf>
    <xf numFmtId="0" fontId="19" fillId="0" borderId="27" xfId="0" applyFont="1" applyBorder="1" applyAlignment="1" applyProtection="1">
      <alignment vertical="center"/>
      <protection locked="0"/>
    </xf>
    <xf numFmtId="0" fontId="32" fillId="8" borderId="32" xfId="1" applyFont="1" applyFill="1" applyBorder="1" applyAlignment="1" applyProtection="1">
      <alignment horizontal="left" vertical="center" wrapText="1"/>
    </xf>
    <xf numFmtId="0" fontId="19" fillId="0" borderId="31" xfId="0" applyFont="1" applyBorder="1" applyAlignment="1" applyProtection="1">
      <alignment horizontal="left" vertical="center"/>
    </xf>
    <xf numFmtId="0" fontId="19" fillId="0" borderId="33" xfId="0" applyFont="1" applyBorder="1" applyAlignment="1" applyProtection="1">
      <alignment horizontal="left" vertical="center"/>
    </xf>
    <xf numFmtId="0" fontId="19" fillId="0" borderId="28" xfId="0" applyFont="1" applyBorder="1" applyAlignment="1" applyProtection="1">
      <alignment horizontal="left" vertical="center" wrapText="1"/>
    </xf>
    <xf numFmtId="0" fontId="19" fillId="0" borderId="0" xfId="0" applyFont="1" applyBorder="1" applyAlignment="1" applyProtection="1">
      <alignment horizontal="left" vertical="center"/>
    </xf>
    <xf numFmtId="0" fontId="19" fillId="0" borderId="34" xfId="0" applyFont="1" applyBorder="1" applyAlignment="1" applyProtection="1">
      <alignment horizontal="left" vertical="center"/>
    </xf>
    <xf numFmtId="0" fontId="19" fillId="0" borderId="29" xfId="0" applyFont="1" applyBorder="1" applyAlignment="1" applyProtection="1">
      <alignment horizontal="left" vertical="center" wrapText="1"/>
    </xf>
    <xf numFmtId="0" fontId="19" fillId="0" borderId="24" xfId="0" applyFont="1" applyBorder="1" applyAlignment="1" applyProtection="1">
      <alignment horizontal="left" vertical="center"/>
    </xf>
    <xf numFmtId="0" fontId="19" fillId="0" borderId="30" xfId="0" applyFont="1" applyBorder="1" applyAlignment="1" applyProtection="1">
      <alignment horizontal="left" vertical="center"/>
    </xf>
    <xf numFmtId="49" fontId="29" fillId="10" borderId="19" xfId="3" applyNumberFormat="1" applyFont="1" applyFill="1" applyBorder="1" applyAlignment="1" applyProtection="1">
      <alignment horizontal="left" vertical="center"/>
      <protection locked="0"/>
    </xf>
    <xf numFmtId="0" fontId="29" fillId="10" borderId="2" xfId="3" applyFont="1" applyFill="1" applyBorder="1" applyAlignment="1" applyProtection="1">
      <alignment vertical="center"/>
      <protection locked="0"/>
    </xf>
    <xf numFmtId="0" fontId="29" fillId="0" borderId="2" xfId="0" applyFont="1" applyBorder="1" applyAlignment="1" applyProtection="1">
      <alignment vertical="center"/>
      <protection locked="0"/>
    </xf>
    <xf numFmtId="0" fontId="29" fillId="10" borderId="2" xfId="1" applyFont="1" applyFill="1" applyBorder="1" applyAlignment="1" applyProtection="1">
      <alignment horizontal="left" vertical="center"/>
      <protection locked="0"/>
    </xf>
    <xf numFmtId="0" fontId="19" fillId="10" borderId="2" xfId="0" applyFont="1" applyFill="1" applyBorder="1" applyAlignment="1" applyProtection="1">
      <alignment horizontal="left" vertical="center"/>
      <protection locked="0"/>
    </xf>
    <xf numFmtId="49" fontId="29" fillId="10" borderId="19" xfId="1" applyNumberFormat="1" applyFont="1" applyFill="1" applyBorder="1" applyAlignment="1" applyProtection="1">
      <alignment horizontal="left" vertical="center"/>
      <protection locked="0"/>
    </xf>
    <xf numFmtId="0" fontId="29" fillId="10" borderId="2" xfId="1" applyFont="1" applyFill="1" applyBorder="1" applyAlignment="1" applyProtection="1">
      <alignment vertical="center"/>
      <protection locked="0"/>
    </xf>
    <xf numFmtId="0" fontId="19" fillId="0" borderId="2" xfId="0" applyFont="1" applyBorder="1" applyAlignment="1" applyProtection="1">
      <alignment vertical="center"/>
      <protection locked="0"/>
    </xf>
    <xf numFmtId="0" fontId="33" fillId="9" borderId="19" xfId="1" applyFont="1" applyFill="1" applyBorder="1" applyAlignment="1" applyProtection="1">
      <alignment horizontal="center" vertical="center"/>
    </xf>
    <xf numFmtId="0" fontId="33" fillId="9" borderId="27" xfId="1" applyFont="1" applyFill="1" applyBorder="1" applyAlignment="1" applyProtection="1">
      <alignment horizontal="center" vertical="center"/>
    </xf>
    <xf numFmtId="0" fontId="48" fillId="10" borderId="19" xfId="1" applyFont="1" applyFill="1" applyBorder="1" applyAlignment="1" applyProtection="1">
      <alignment horizontal="left" vertical="center"/>
      <protection locked="0"/>
    </xf>
    <xf numFmtId="0" fontId="48" fillId="10" borderId="27" xfId="1" applyFont="1" applyFill="1" applyBorder="1" applyAlignment="1" applyProtection="1">
      <alignment horizontal="left" vertical="center"/>
      <protection locked="0"/>
    </xf>
    <xf numFmtId="0" fontId="40" fillId="10" borderId="19" xfId="1" applyFont="1" applyFill="1" applyBorder="1" applyAlignment="1" applyProtection="1">
      <alignment horizontal="left" vertical="center"/>
      <protection locked="0"/>
    </xf>
    <xf numFmtId="0" fontId="40" fillId="10" borderId="27" xfId="1" applyFont="1" applyFill="1" applyBorder="1" applyAlignment="1" applyProtection="1">
      <alignment horizontal="left" vertical="center"/>
      <protection locked="0"/>
    </xf>
    <xf numFmtId="0" fontId="19" fillId="0" borderId="27" xfId="0" applyFont="1" applyBorder="1" applyAlignment="1" applyProtection="1">
      <alignment horizontal="center" vertical="center"/>
    </xf>
    <xf numFmtId="0" fontId="39" fillId="10" borderId="19" xfId="1" applyFont="1" applyFill="1" applyBorder="1" applyAlignment="1" applyProtection="1">
      <alignment horizontal="left" vertical="center"/>
      <protection locked="0"/>
    </xf>
    <xf numFmtId="0" fontId="19" fillId="0" borderId="2" xfId="0" applyFont="1" applyBorder="1" applyAlignment="1" applyProtection="1">
      <alignment horizontal="center" vertical="center"/>
    </xf>
    <xf numFmtId="0" fontId="19" fillId="0" borderId="2" xfId="0" applyFont="1" applyBorder="1" applyAlignment="1" applyProtection="1">
      <alignment horizontal="left" vertical="center"/>
      <protection locked="0"/>
    </xf>
    <xf numFmtId="49" fontId="29" fillId="10" borderId="2" xfId="1" applyNumberFormat="1" applyFont="1" applyFill="1" applyBorder="1" applyAlignment="1" applyProtection="1">
      <alignment horizontal="left" vertical="center"/>
      <protection locked="0"/>
    </xf>
    <xf numFmtId="49" fontId="19" fillId="0" borderId="2" xfId="0" applyNumberFormat="1" applyFont="1" applyBorder="1" applyAlignment="1" applyProtection="1">
      <alignment horizontal="left" vertical="center"/>
      <protection locked="0"/>
    </xf>
    <xf numFmtId="0" fontId="29" fillId="8" borderId="19" xfId="1" applyFont="1" applyFill="1" applyBorder="1" applyAlignment="1" applyProtection="1">
      <alignment horizontal="left" vertical="center"/>
      <protection locked="0"/>
    </xf>
    <xf numFmtId="0" fontId="19" fillId="8" borderId="27" xfId="0" applyFont="1" applyFill="1" applyBorder="1" applyAlignment="1" applyProtection="1">
      <alignment horizontal="left" vertical="center"/>
      <protection locked="0"/>
    </xf>
    <xf numFmtId="0" fontId="19" fillId="8" borderId="27" xfId="0" applyFont="1" applyFill="1" applyBorder="1" applyAlignment="1" applyProtection="1">
      <alignment vertical="center"/>
      <protection locked="0"/>
    </xf>
    <xf numFmtId="0" fontId="19" fillId="10" borderId="2" xfId="0" applyFont="1" applyFill="1" applyBorder="1" applyAlignment="1" applyProtection="1">
      <alignment vertical="center"/>
      <protection locked="0"/>
    </xf>
    <xf numFmtId="0" fontId="48" fillId="10" borderId="19" xfId="4" applyFont="1" applyFill="1" applyBorder="1" applyAlignment="1" applyProtection="1">
      <alignment horizontal="left" vertical="center"/>
      <protection locked="0"/>
    </xf>
    <xf numFmtId="0" fontId="19" fillId="8" borderId="16" xfId="0" applyFont="1" applyFill="1" applyBorder="1" applyAlignment="1">
      <alignment vertical="center" wrapText="1"/>
    </xf>
    <xf numFmtId="0" fontId="19" fillId="0" borderId="16" xfId="0" applyFont="1" applyBorder="1" applyAlignment="1">
      <alignment vertical="center"/>
    </xf>
    <xf numFmtId="0" fontId="19" fillId="0" borderId="17" xfId="0" applyFont="1" applyBorder="1" applyAlignment="1">
      <alignment vertical="center"/>
    </xf>
    <xf numFmtId="0" fontId="33" fillId="9" borderId="28" xfId="1" applyFont="1" applyFill="1" applyBorder="1" applyAlignment="1" applyProtection="1">
      <alignment horizontal="center" vertical="center"/>
    </xf>
    <xf numFmtId="0" fontId="19" fillId="0" borderId="0" xfId="0" applyFont="1" applyAlignment="1" applyProtection="1">
      <alignment vertical="center"/>
    </xf>
    <xf numFmtId="0" fontId="0" fillId="0" borderId="2" xfId="0" applyBorder="1" applyAlignment="1" applyProtection="1">
      <alignment vertical="center"/>
      <protection locked="0"/>
    </xf>
    <xf numFmtId="49" fontId="29" fillId="10" borderId="19" xfId="1" applyNumberFormat="1" applyFont="1" applyFill="1" applyBorder="1" applyAlignment="1" applyProtection="1">
      <alignment vertical="center"/>
      <protection locked="0"/>
    </xf>
    <xf numFmtId="49" fontId="29" fillId="10" borderId="27" xfId="1" applyNumberFormat="1" applyFont="1" applyFill="1" applyBorder="1" applyAlignment="1" applyProtection="1">
      <alignment vertical="center"/>
      <protection locked="0"/>
    </xf>
    <xf numFmtId="0" fontId="29" fillId="8" borderId="25" xfId="1" applyFont="1" applyFill="1" applyBorder="1" applyAlignment="1" applyProtection="1">
      <alignment vertical="center"/>
    </xf>
    <xf numFmtId="0" fontId="0" fillId="0" borderId="26" xfId="0" applyBorder="1" applyAlignment="1">
      <alignment vertical="center"/>
    </xf>
    <xf numFmtId="0" fontId="0" fillId="0" borderId="14" xfId="0" applyBorder="1" applyAlignment="1">
      <alignment vertical="center"/>
    </xf>
    <xf numFmtId="0" fontId="29" fillId="8" borderId="27" xfId="1" applyFont="1" applyFill="1" applyBorder="1" applyAlignment="1" applyProtection="1">
      <alignment horizontal="left" vertical="center"/>
      <protection locked="0"/>
    </xf>
    <xf numFmtId="0" fontId="19" fillId="0" borderId="27" xfId="0" applyFont="1" applyBorder="1" applyAlignment="1" applyProtection="1">
      <alignment vertical="center"/>
    </xf>
    <xf numFmtId="0" fontId="24" fillId="9" borderId="0" xfId="1" applyFont="1" applyFill="1" applyBorder="1" applyAlignment="1" applyProtection="1">
      <alignment horizontal="left" vertical="center"/>
    </xf>
    <xf numFmtId="0" fontId="17" fillId="0" borderId="0" xfId="0" applyFont="1" applyAlignment="1" applyProtection="1">
      <alignment horizontal="left"/>
    </xf>
    <xf numFmtId="0" fontId="19" fillId="0" borderId="16" xfId="0" applyFont="1" applyBorder="1" applyAlignment="1" applyProtection="1">
      <alignment wrapText="1"/>
    </xf>
    <xf numFmtId="0" fontId="19" fillId="0" borderId="17" xfId="0" applyFont="1" applyBorder="1" applyAlignment="1" applyProtection="1">
      <alignment wrapText="1"/>
    </xf>
    <xf numFmtId="49" fontId="19" fillId="10" borderId="2" xfId="0" applyNumberFormat="1" applyFont="1" applyFill="1" applyBorder="1" applyAlignment="1" applyProtection="1">
      <alignment horizontal="left" vertical="center"/>
      <protection locked="0"/>
    </xf>
    <xf numFmtId="0" fontId="19" fillId="8" borderId="2" xfId="0" applyFont="1" applyFill="1" applyBorder="1" applyAlignment="1" applyProtection="1">
      <alignment horizontal="left" vertical="center"/>
      <protection locked="0"/>
    </xf>
    <xf numFmtId="0" fontId="33" fillId="9" borderId="2" xfId="4" applyFont="1" applyFill="1" applyBorder="1" applyAlignment="1" applyProtection="1">
      <alignment horizontal="left" vertical="center"/>
    </xf>
    <xf numFmtId="0" fontId="19" fillId="0" borderId="2" xfId="0" applyFont="1" applyBorder="1" applyAlignment="1" applyProtection="1">
      <alignment horizontal="left" vertical="center"/>
    </xf>
    <xf numFmtId="0" fontId="19" fillId="0" borderId="16" xfId="0" applyFont="1" applyBorder="1" applyAlignment="1" applyProtection="1">
      <alignment vertical="center" wrapText="1"/>
    </xf>
    <xf numFmtId="0" fontId="19" fillId="0" borderId="17" xfId="0" applyFont="1" applyBorder="1" applyAlignment="1" applyProtection="1">
      <alignment vertical="center" wrapText="1"/>
    </xf>
  </cellXfs>
  <cellStyles count="47">
    <cellStyle name="60% - Accent1 2" xfId="6" xr:uid="{00000000-0005-0000-0000-000000000000}"/>
    <cellStyle name="Accent1 2" xfId="8" xr:uid="{00000000-0005-0000-0000-000001000000}"/>
    <cellStyle name="Comma 2" xfId="2" xr:uid="{00000000-0005-0000-0000-000002000000}"/>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Hyperlink" xfId="3" builtinId="8"/>
    <cellStyle name="Hyperlink 2" xfId="5" xr:uid="{00000000-0005-0000-0000-000029000000}"/>
    <cellStyle name="Hyperlink 3" xfId="7" xr:uid="{00000000-0005-0000-0000-00002A000000}"/>
    <cellStyle name="Normal" xfId="0" builtinId="0"/>
    <cellStyle name="Normal 2" xfId="1" xr:uid="{00000000-0005-0000-0000-00002C000000}"/>
    <cellStyle name="Normal 3" xfId="4" xr:uid="{00000000-0005-0000-0000-00002D000000}"/>
    <cellStyle name="Normal 3 2" xfId="30" xr:uid="{00000000-0005-0000-0000-00002E000000}"/>
  </cellStyles>
  <dxfs count="370">
    <dxf>
      <alignment horizontal="general" vertical="bottom" textRotation="0" wrapText="1" indent="0" justifyLastLine="0" shrinkToFit="0" readingOrder="0"/>
    </dxf>
    <dxf>
      <numFmt numFmtId="20" formatCode="d\-mmm\-yy"/>
      <alignment horizontal="center" vertical="center" textRotation="0" wrapText="0" indent="0" justifyLastLine="0" shrinkToFit="0" readingOrder="0"/>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fill>
        <patternFill patternType="none">
          <bgColor auto="1"/>
        </patternFill>
      </fill>
    </dxf>
    <dxf>
      <font>
        <b/>
        <i val="0"/>
        <color rgb="FFFF0000"/>
      </font>
    </dxf>
    <dxf>
      <font>
        <b/>
        <i val="0"/>
        <color rgb="FFFF0000"/>
      </font>
    </dxf>
    <dxf>
      <font>
        <b/>
        <i val="0"/>
        <color rgb="FFFF0000"/>
      </font>
    </dxf>
    <dxf>
      <font>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FF0000"/>
      </font>
    </dxf>
    <dxf>
      <font>
        <b/>
        <i val="0"/>
        <color rgb="FF9C0006"/>
      </font>
      <fill>
        <patternFill>
          <bgColor theme="5" tint="0.59996337778862885"/>
        </patternFill>
      </fill>
    </dxf>
    <dxf>
      <font>
        <b/>
        <i val="0"/>
        <color rgb="FF9C0006"/>
      </font>
      <fill>
        <patternFill>
          <bgColor theme="5" tint="0.39994506668294322"/>
        </patternFill>
      </fill>
    </dxf>
    <dxf>
      <font>
        <b/>
        <i val="0"/>
        <color rgb="FF9C0006"/>
      </font>
      <fill>
        <patternFill>
          <bgColor theme="5" tint="0.59996337778862885"/>
        </patternFill>
      </fill>
    </dxf>
    <dxf>
      <font>
        <b/>
        <i val="0"/>
        <color rgb="FFC00000"/>
      </font>
      <fill>
        <patternFill>
          <bgColor theme="5" tint="0.59996337778862885"/>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ill>
        <patternFill>
          <bgColor theme="0" tint="-4.9989318521683403E-2"/>
        </patternFill>
      </fill>
    </dxf>
    <dxf>
      <font>
        <b/>
        <i val="0"/>
        <color theme="5"/>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ill>
        <patternFill>
          <bgColor theme="0" tint="-4.9989318521683403E-2"/>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color rgb="FF9C0006"/>
      </font>
      <fill>
        <patternFill>
          <bgColor rgb="FFFFC7CE"/>
        </patternFill>
      </fill>
    </dxf>
    <dxf>
      <font>
        <color rgb="FF9C0006"/>
      </font>
      <fill>
        <patternFill>
          <bgColor rgb="FFFFC7CE"/>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ill>
        <patternFill>
          <bgColor theme="0" tint="-4.9989318521683403E-2"/>
        </patternFill>
      </fill>
    </dxf>
    <dxf>
      <font>
        <color rgb="FFC00000"/>
      </font>
      <fill>
        <patternFill>
          <bgColor theme="5" tint="0.39994506668294322"/>
        </patternFill>
      </fill>
    </dxf>
    <dxf>
      <font>
        <b/>
        <i val="0"/>
        <color rgb="FF9C0006"/>
      </font>
      <fill>
        <patternFill>
          <bgColor theme="5" tint="0.59996337778862885"/>
        </patternFill>
      </fill>
    </dxf>
    <dxf>
      <font>
        <b/>
        <i val="0"/>
        <color rgb="FFC00000"/>
      </font>
      <fill>
        <patternFill>
          <bgColor theme="5" tint="0.59996337778862885"/>
        </patternFill>
      </fill>
    </dxf>
    <dxf>
      <fill>
        <patternFill>
          <bgColor theme="0" tint="-4.9989318521683403E-2"/>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color rgb="FFC00000"/>
      </font>
      <fill>
        <patternFill>
          <bgColor theme="5" tint="0.39994506668294322"/>
        </patternFill>
      </fill>
    </dxf>
    <dxf>
      <font>
        <color rgb="FFC00000"/>
      </font>
      <fill>
        <patternFill>
          <bgColor theme="5" tint="0.39994506668294322"/>
        </patternFill>
      </fill>
    </dxf>
    <dxf>
      <font>
        <color rgb="FFC00000"/>
      </font>
      <fill>
        <patternFill>
          <bgColor theme="5" tint="0.39994506668294322"/>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C00000"/>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39994506668294322"/>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theme="5"/>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theme="5"/>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C00000"/>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i val="0"/>
        <color rgb="FF9C0006"/>
      </font>
      <fill>
        <patternFill>
          <bgColor theme="5" tint="0.59996337778862885"/>
        </patternFill>
      </fill>
    </dxf>
    <dxf>
      <font>
        <b val="0"/>
        <i val="0"/>
        <strike val="0"/>
        <condense val="0"/>
        <extend val="0"/>
        <outline val="0"/>
        <shadow val="0"/>
        <u val="none"/>
        <vertAlign val="baseline"/>
        <sz val="10.5"/>
        <color theme="1"/>
        <name val="Metropolis"/>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5"/>
        <color theme="1"/>
        <name val="Metropolis"/>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5"/>
        <color theme="1"/>
        <name val="Metropolis"/>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5"/>
        <color theme="0"/>
        <name val="Metropolis"/>
        <scheme val="none"/>
      </font>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5"/>
        <color theme="1"/>
        <name val="Metropolis"/>
        <scheme val="none"/>
      </font>
      <fill>
        <patternFill patternType="none">
          <fgColor indexed="64"/>
          <bgColor auto="1"/>
        </patternFill>
      </fill>
      <alignment horizontal="center" vertical="center" textRotation="0" wrapText="0" indent="0" justifyLastLine="0" shrinkToFit="0" readingOrder="0"/>
    </dxf>
    <dxf>
      <font>
        <b/>
        <i val="0"/>
        <strike val="0"/>
        <condense val="0"/>
        <extend val="0"/>
        <outline val="0"/>
        <shadow val="0"/>
        <u val="none"/>
        <vertAlign val="baseline"/>
        <sz val="18"/>
        <color theme="1"/>
        <name val="Metropolis"/>
        <scheme val="none"/>
      </font>
      <fill>
        <patternFill patternType="none">
          <fgColor indexed="64"/>
          <bgColor auto="1"/>
        </patternFill>
      </fill>
      <alignment horizontal="center" vertical="center"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9C0006"/>
      <color rgb="FFFFFFE5"/>
      <color rgb="FFFFFFCC"/>
      <color rgb="FF0000D4"/>
      <color rgb="FF004AFF"/>
      <color rgb="FF043DFF"/>
      <color rgb="FFFF6600"/>
      <color rgb="FFFFCCFF"/>
      <color rgb="FF00FFCC"/>
      <color rgb="FFFEB8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9408</xdr:colOff>
      <xdr:row>0</xdr:row>
      <xdr:rowOff>600075</xdr:rowOff>
    </xdr:to>
    <xdr:pic>
      <xdr:nvPicPr>
        <xdr:cNvPr id="2"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277630"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57150</xdr:colOff>
      <xdr:row>0</xdr:row>
      <xdr:rowOff>94662</xdr:rowOff>
    </xdr:from>
    <xdr:ext cx="3885679" cy="451406"/>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7150" y="94662"/>
          <a:ext cx="3885679"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Prerequisite Checklist</a:t>
          </a:r>
        </a:p>
      </xdr:txBody>
    </xdr:sp>
    <xdr:clientData/>
  </xdr:oneCellAnchor>
  <xdr:twoCellAnchor editAs="oneCell">
    <xdr:from>
      <xdr:col>3</xdr:col>
      <xdr:colOff>2104555</xdr:colOff>
      <xdr:row>0</xdr:row>
      <xdr:rowOff>152635</xdr:rowOff>
    </xdr:from>
    <xdr:to>
      <xdr:col>3</xdr:col>
      <xdr:colOff>3518371</xdr:colOff>
      <xdr:row>0</xdr:row>
      <xdr:rowOff>469396</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12217518" y="152635"/>
          <a:ext cx="1413816" cy="3167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68385</xdr:colOff>
      <xdr:row>0</xdr:row>
      <xdr:rowOff>0</xdr:rowOff>
    </xdr:from>
    <xdr:to>
      <xdr:col>13</xdr:col>
      <xdr:colOff>3908</xdr:colOff>
      <xdr:row>1</xdr:row>
      <xdr:rowOff>1158</xdr:rowOff>
    </xdr:to>
    <xdr:pic>
      <xdr:nvPicPr>
        <xdr:cNvPr id="2" name="Picture 4">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385" y="0"/>
          <a:ext cx="15474461" cy="6044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1</xdr:col>
      <xdr:colOff>0</xdr:colOff>
      <xdr:row>0</xdr:row>
      <xdr:rowOff>84667</xdr:rowOff>
    </xdr:from>
    <xdr:ext cx="4411464" cy="451406"/>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0" y="84667"/>
          <a:ext cx="4411464"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Management Workloads</a:t>
          </a:r>
        </a:p>
      </xdr:txBody>
    </xdr:sp>
    <xdr:clientData/>
  </xdr:oneCellAnchor>
  <xdr:twoCellAnchor editAs="oneCell">
    <xdr:from>
      <xdr:col>11</xdr:col>
      <xdr:colOff>971496</xdr:colOff>
      <xdr:row>0</xdr:row>
      <xdr:rowOff>151243</xdr:rowOff>
    </xdr:from>
    <xdr:to>
      <xdr:col>12</xdr:col>
      <xdr:colOff>1002425</xdr:colOff>
      <xdr:row>0</xdr:row>
      <xdr:rowOff>468004</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2235419" y="151243"/>
          <a:ext cx="1418159" cy="31676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6</xdr:col>
      <xdr:colOff>0</xdr:colOff>
      <xdr:row>1</xdr:row>
      <xdr:rowOff>1622</xdr:rowOff>
    </xdr:to>
    <xdr:pic>
      <xdr:nvPicPr>
        <xdr:cNvPr id="2" name="Picture 4">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4683154" cy="5977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57620</xdr:colOff>
      <xdr:row>0</xdr:row>
      <xdr:rowOff>94427</xdr:rowOff>
    </xdr:from>
    <xdr:ext cx="3269293" cy="451406"/>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57620" y="94427"/>
          <a:ext cx="3269293"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Users and Groups</a:t>
          </a:r>
        </a:p>
      </xdr:txBody>
    </xdr:sp>
    <xdr:clientData/>
  </xdr:oneCellAnchor>
  <xdr:twoCellAnchor editAs="oneCell">
    <xdr:from>
      <xdr:col>5</xdr:col>
      <xdr:colOff>263407</xdr:colOff>
      <xdr:row>0</xdr:row>
      <xdr:rowOff>151342</xdr:rowOff>
    </xdr:from>
    <xdr:to>
      <xdr:col>5</xdr:col>
      <xdr:colOff>1749778</xdr:colOff>
      <xdr:row>0</xdr:row>
      <xdr:rowOff>468103</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10178814" y="151342"/>
          <a:ext cx="1486371" cy="3167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5423</xdr:rowOff>
    </xdr:from>
    <xdr:to>
      <xdr:col>10</xdr:col>
      <xdr:colOff>1926980</xdr:colOff>
      <xdr:row>1</xdr:row>
      <xdr:rowOff>1214</xdr:rowOff>
    </xdr:to>
    <xdr:pic>
      <xdr:nvPicPr>
        <xdr:cNvPr id="2" name="Picture 4">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423"/>
          <a:ext cx="15601462" cy="6014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126023</xdr:colOff>
      <xdr:row>0</xdr:row>
      <xdr:rowOff>67408</xdr:rowOff>
    </xdr:from>
    <xdr:ext cx="3674660" cy="451406"/>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26023" y="67408"/>
          <a:ext cx="3674660"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Hosts and Networks</a:t>
          </a:r>
        </a:p>
      </xdr:txBody>
    </xdr:sp>
    <xdr:clientData/>
  </xdr:oneCellAnchor>
  <xdr:twoCellAnchor editAs="oneCell">
    <xdr:from>
      <xdr:col>9</xdr:col>
      <xdr:colOff>1120396</xdr:colOff>
      <xdr:row>0</xdr:row>
      <xdr:rowOff>149225</xdr:rowOff>
    </xdr:from>
    <xdr:to>
      <xdr:col>10</xdr:col>
      <xdr:colOff>539371</xdr:colOff>
      <xdr:row>0</xdr:row>
      <xdr:rowOff>465986</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12309096" y="149225"/>
          <a:ext cx="1616075" cy="316761"/>
        </a:xfrm>
        <a:prstGeom prst="rect">
          <a:avLst/>
        </a:prstGeom>
      </xdr:spPr>
    </xdr:pic>
    <xdr:clientData/>
  </xdr:twoCellAnchor>
  <xdr:twoCellAnchor editAs="oneCell">
    <xdr:from>
      <xdr:col>1</xdr:col>
      <xdr:colOff>166076</xdr:colOff>
      <xdr:row>24</xdr:row>
      <xdr:rowOff>156307</xdr:rowOff>
    </xdr:from>
    <xdr:to>
      <xdr:col>5</xdr:col>
      <xdr:colOff>209061</xdr:colOff>
      <xdr:row>51</xdr:row>
      <xdr:rowOff>88209</xdr:rowOff>
    </xdr:to>
    <xdr:pic>
      <xdr:nvPicPr>
        <xdr:cNvPr id="6" name="Picture 5">
          <a:extLst>
            <a:ext uri="{FF2B5EF4-FFF2-40B4-BE49-F238E27FC236}">
              <a16:creationId xmlns:a16="http://schemas.microsoft.com/office/drawing/2014/main" id="{8AD1E227-7D94-724F-A3C1-E0A67665B2B9}"/>
            </a:ext>
          </a:extLst>
        </xdr:cNvPr>
        <xdr:cNvPicPr>
          <a:picLocks noChangeAspect="1"/>
        </xdr:cNvPicPr>
      </xdr:nvPicPr>
      <xdr:blipFill>
        <a:blip xmlns:r="http://schemas.openxmlformats.org/officeDocument/2006/relationships" r:embed="rId3"/>
        <a:stretch>
          <a:fillRect/>
        </a:stretch>
      </xdr:blipFill>
      <xdr:spPr>
        <a:xfrm>
          <a:off x="293076" y="5558692"/>
          <a:ext cx="5943600" cy="4415979"/>
        </a:xfrm>
        <a:prstGeom prst="rect">
          <a:avLst/>
        </a:prstGeom>
      </xdr:spPr>
    </xdr:pic>
    <xdr:clientData/>
  </xdr:twoCellAnchor>
  <xdr:twoCellAnchor editAs="oneCell">
    <xdr:from>
      <xdr:col>7</xdr:col>
      <xdr:colOff>117231</xdr:colOff>
      <xdr:row>24</xdr:row>
      <xdr:rowOff>166075</xdr:rowOff>
    </xdr:from>
    <xdr:to>
      <xdr:col>9</xdr:col>
      <xdr:colOff>1666280</xdr:colOff>
      <xdr:row>51</xdr:row>
      <xdr:rowOff>144270</xdr:rowOff>
    </xdr:to>
    <xdr:pic>
      <xdr:nvPicPr>
        <xdr:cNvPr id="7" name="Picture 6">
          <a:extLst>
            <a:ext uri="{FF2B5EF4-FFF2-40B4-BE49-F238E27FC236}">
              <a16:creationId xmlns:a16="http://schemas.microsoft.com/office/drawing/2014/main" id="{DB3E4CAB-6302-5049-905E-593E639079AD}"/>
            </a:ext>
          </a:extLst>
        </xdr:cNvPr>
        <xdr:cNvPicPr>
          <a:picLocks noChangeAspect="1"/>
        </xdr:cNvPicPr>
      </xdr:nvPicPr>
      <xdr:blipFill>
        <a:blip xmlns:r="http://schemas.openxmlformats.org/officeDocument/2006/relationships" r:embed="rId4"/>
        <a:stretch>
          <a:fillRect/>
        </a:stretch>
      </xdr:blipFill>
      <xdr:spPr>
        <a:xfrm>
          <a:off x="6926385" y="5568460"/>
          <a:ext cx="5945203" cy="446227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11</xdr:col>
      <xdr:colOff>10583</xdr:colOff>
      <xdr:row>1</xdr:row>
      <xdr:rowOff>19040</xdr:rowOff>
    </xdr:to>
    <xdr:pic>
      <xdr:nvPicPr>
        <xdr:cNvPr id="3" name="Picture 4">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7272000" cy="6233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57620</xdr:colOff>
      <xdr:row>0</xdr:row>
      <xdr:rowOff>103834</xdr:rowOff>
    </xdr:from>
    <xdr:ext cx="4386265" cy="451406"/>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7620" y="103834"/>
          <a:ext cx="4386265"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Deployment</a:t>
          </a:r>
          <a:r>
            <a:rPr lang="en-US" sz="2800" baseline="0">
              <a:solidFill>
                <a:srgbClr val="FFFFFF"/>
              </a:solidFill>
              <a:latin typeface="Metropolis" pitchFamily="2" charset="77"/>
            </a:rPr>
            <a:t> Parameters</a:t>
          </a:r>
          <a:endParaRPr lang="en-US" sz="2800">
            <a:solidFill>
              <a:srgbClr val="FFFFFF"/>
            </a:solidFill>
            <a:latin typeface="Metropolis" pitchFamily="2" charset="77"/>
          </a:endParaRPr>
        </a:p>
      </xdr:txBody>
    </xdr:sp>
    <xdr:clientData/>
  </xdr:oneCellAnchor>
  <xdr:twoCellAnchor editAs="oneCell">
    <xdr:from>
      <xdr:col>8</xdr:col>
      <xdr:colOff>2490611</xdr:colOff>
      <xdr:row>0</xdr:row>
      <xdr:rowOff>168858</xdr:rowOff>
    </xdr:from>
    <xdr:to>
      <xdr:col>9</xdr:col>
      <xdr:colOff>112887</xdr:colOff>
      <xdr:row>0</xdr:row>
      <xdr:rowOff>488898</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1982685" y="168858"/>
          <a:ext cx="1535759" cy="320040"/>
        </a:xfrm>
        <a:prstGeom prst="rect">
          <a:avLst/>
        </a:prstGeom>
      </xdr:spPr>
    </xdr:pic>
    <xdr:clientData/>
  </xdr:twoCellAnchor>
  <xdr:twoCellAnchor>
    <xdr:from>
      <xdr:col>4</xdr:col>
      <xdr:colOff>32845</xdr:colOff>
      <xdr:row>22</xdr:row>
      <xdr:rowOff>10949</xdr:rowOff>
    </xdr:from>
    <xdr:to>
      <xdr:col>7</xdr:col>
      <xdr:colOff>10949</xdr:colOff>
      <xdr:row>23</xdr:row>
      <xdr:rowOff>21896</xdr:rowOff>
    </xdr:to>
    <xdr:sp macro="" textlink="">
      <xdr:nvSpPr>
        <xdr:cNvPr id="2" name="Right Arrow 1">
          <a:extLst>
            <a:ext uri="{FF2B5EF4-FFF2-40B4-BE49-F238E27FC236}">
              <a16:creationId xmlns:a16="http://schemas.microsoft.com/office/drawing/2014/main" id="{00000000-0008-0000-0400-000002000000}"/>
            </a:ext>
          </a:extLst>
        </xdr:cNvPr>
        <xdr:cNvSpPr/>
      </xdr:nvSpPr>
      <xdr:spPr>
        <a:xfrm>
          <a:off x="4050862" y="4817242"/>
          <a:ext cx="5331811" cy="197068"/>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21898</xdr:colOff>
      <xdr:row>15</xdr:row>
      <xdr:rowOff>120431</xdr:rowOff>
    </xdr:from>
    <xdr:to>
      <xdr:col>3</xdr:col>
      <xdr:colOff>21897</xdr:colOff>
      <xdr:row>22</xdr:row>
      <xdr:rowOff>153278</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131381" y="3623879"/>
          <a:ext cx="3580085" cy="1335692"/>
        </a:xfrm>
        <a:prstGeom prst="rect">
          <a:avLst/>
        </a:prstGeom>
        <a:solidFill>
          <a:srgbClr val="FF0000">
            <a:alpha val="13000"/>
          </a:srgbClr>
        </a:solidFill>
        <a:ln w="127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Metropolis" pitchFamily="2" charset="77"/>
            </a:rPr>
            <a:t>The Single</a:t>
          </a:r>
          <a:r>
            <a:rPr lang="en-US" sz="1100" baseline="0">
              <a:latin typeface="Metropolis" pitchFamily="2" charset="77"/>
            </a:rPr>
            <a:t> Sign-On value is used to automatically update the names for site specific objects such as hostnames, datastores, host profiles, cluster names and distributed virtual switches. The VVD uses a consistent naming convention where the site name is used as the prefix for the objects mentioned. Each cell affected by this is grey in color and can be manually modified if needed.</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9</xdr:col>
      <xdr:colOff>1924538</xdr:colOff>
      <xdr:row>1</xdr:row>
      <xdr:rowOff>6485</xdr:rowOff>
    </xdr:to>
    <xdr:pic>
      <xdr:nvPicPr>
        <xdr:cNvPr id="2" name="Picture 4">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4995769" cy="6026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84667</xdr:colOff>
      <xdr:row>0</xdr:row>
      <xdr:rowOff>103834</xdr:rowOff>
    </xdr:from>
    <xdr:ext cx="6159763" cy="451406"/>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84667" y="103834"/>
          <a:ext cx="6159763"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vRealize</a:t>
          </a:r>
          <a:r>
            <a:rPr lang="en-US" sz="2800" baseline="0">
              <a:solidFill>
                <a:srgbClr val="FFFFFF"/>
              </a:solidFill>
              <a:latin typeface="Metropolis" pitchFamily="2" charset="77"/>
            </a:rPr>
            <a:t> Automation Configuration</a:t>
          </a:r>
          <a:endParaRPr lang="en-US" sz="2800">
            <a:solidFill>
              <a:srgbClr val="FFFFFF"/>
            </a:solidFill>
            <a:latin typeface="Metropolis" pitchFamily="2" charset="77"/>
          </a:endParaRPr>
        </a:p>
      </xdr:txBody>
    </xdr:sp>
    <xdr:clientData/>
  </xdr:oneCellAnchor>
  <xdr:twoCellAnchor editAs="oneCell">
    <xdr:from>
      <xdr:col>7</xdr:col>
      <xdr:colOff>1072444</xdr:colOff>
      <xdr:row>0</xdr:row>
      <xdr:rowOff>150045</xdr:rowOff>
    </xdr:from>
    <xdr:to>
      <xdr:col>9</xdr:col>
      <xdr:colOff>333962</xdr:colOff>
      <xdr:row>0</xdr:row>
      <xdr:rowOff>466806</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2"/>
        <a:stretch>
          <a:fillRect/>
        </a:stretch>
      </xdr:blipFill>
      <xdr:spPr>
        <a:xfrm>
          <a:off x="11561703" y="150045"/>
          <a:ext cx="1500482" cy="31676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6</xdr:col>
      <xdr:colOff>9770</xdr:colOff>
      <xdr:row>1</xdr:row>
      <xdr:rowOff>18276</xdr:rowOff>
    </xdr:to>
    <xdr:pic>
      <xdr:nvPicPr>
        <xdr:cNvPr id="2" name="Picture 4">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9525"/>
          <a:ext cx="14839462" cy="6144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57973</xdr:colOff>
      <xdr:row>0</xdr:row>
      <xdr:rowOff>75494</xdr:rowOff>
    </xdr:from>
    <xdr:ext cx="5330242" cy="451406"/>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57973" y="75494"/>
          <a:ext cx="5330242" cy="4514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rgbClr val="FFFFFF"/>
              </a:solidFill>
              <a:latin typeface="Metropolis" pitchFamily="2" charset="77"/>
            </a:rPr>
            <a:t>Cloud Builder Run Parameters</a:t>
          </a:r>
        </a:p>
      </xdr:txBody>
    </xdr:sp>
    <xdr:clientData/>
  </xdr:oneCellAnchor>
  <xdr:twoCellAnchor editAs="oneCell">
    <xdr:from>
      <xdr:col>4</xdr:col>
      <xdr:colOff>4021079</xdr:colOff>
      <xdr:row>0</xdr:row>
      <xdr:rowOff>171333</xdr:rowOff>
    </xdr:from>
    <xdr:to>
      <xdr:col>5</xdr:col>
      <xdr:colOff>588995</xdr:colOff>
      <xdr:row>0</xdr:row>
      <xdr:rowOff>488094</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11565820" y="171333"/>
          <a:ext cx="1362075" cy="31676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4919E8B-89E5-CD4A-88C8-226532C238FB}" name="Table5" displayName="Table5" ref="A2:D24" totalsRowShown="0" headerRowDxfId="351" dataDxfId="350">
  <autoFilter ref="A2:D24" xr:uid="{28E68DBC-56B7-ED47-B5BD-F95CB5069157}"/>
  <tableColumns count="4">
    <tableColumn id="1" xr3:uid="{40A20411-148D-F143-8FBA-DF7F3843589E}" name="Component" dataDxfId="349"/>
    <tableColumn id="2" xr3:uid="{26FAC695-72A8-9643-92F8-703F9E6062A0}" name="Status" dataDxfId="348"/>
    <tableColumn id="3" xr3:uid="{CCF09498-5BFB-3449-837B-F428CC30FA03}" name="Customer Comment" dataDxfId="347"/>
    <tableColumn id="4" xr3:uid="{425D1578-13A8-E74B-9C2D-957949F217E7}" name="Notes" dataDxfId="346"/>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A1:B47" totalsRowShown="0">
  <autoFilter ref="A1:B47" xr:uid="{00000000-0009-0000-0100-000003000000}"/>
  <tableColumns count="2">
    <tableColumn id="1" xr3:uid="{00000000-0010-0000-0100-000001000000}" name="Date" dataDxfId="1"/>
    <tableColumn id="2" xr3:uid="{00000000-0010-0000-0100-000002000000}" name="Description"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inbound-email-server-credentials@username=administrator@rainpole.local" TargetMode="External"/><Relationship Id="rId18" Type="http://schemas.openxmlformats.org/officeDocument/2006/relationships/hyperlink" Target="../../../../Library/Containers/com.microsoft.Excel/mailto/root-dns-records@records%5b'vrbCollectorIp'%5d=vra01buc01" TargetMode="External"/><Relationship Id="rId26" Type="http://schemas.openxmlformats.org/officeDocument/2006/relationships/hyperlink" Target="mailto:sso-site-name@value=" TargetMode="External"/><Relationship Id="rId3" Type="http://schemas.openxmlformats.org/officeDocument/2006/relationships/hyperlink" Target="mailto:vra-tenant-configuration@inboundProvider.acceptSelfSignedCertificates=false" TargetMode="External"/><Relationship Id="rId21" Type="http://schemas.openxmlformats.org/officeDocument/2006/relationships/hyperlink" Target="mailto:edge-vsan-datastore-name@value=" TargetMode="External"/><Relationship Id="rId34" Type="http://schemas.openxmlformats.org/officeDocument/2006/relationships/hyperlink" Target="mailto:nsx-compute-universal-multicast-address-range@rangeStartIp=239.4.0.0" TargetMode="External"/><Relationship Id="rId7" Type="http://schemas.openxmlformats.org/officeDocument/2006/relationships/hyperlink" Target="mailto:mgmt-udlr-configuration@name=UDLR01" TargetMode="External"/><Relationship Id="rId12" Type="http://schemas.openxmlformats.org/officeDocument/2006/relationships/hyperlink" Target="mailto:vra-tenant-configuration@branding.backgroundColor=3989C7" TargetMode="External"/><Relationship Id="rId17" Type="http://schemas.openxmlformats.org/officeDocument/2006/relationships/hyperlink" Target="mailto:esg-01-mgmt-edge-device-creation@vPodName=LONMGMT-ESG01" TargetMode="External"/><Relationship Id="rId25" Type="http://schemas.openxmlformats.org/officeDocument/2006/relationships/hyperlink" Target="mailto:vds-management-initial-configuration@dvSwitchName%22" TargetMode="External"/><Relationship Id="rId33" Type="http://schemas.openxmlformats.org/officeDocument/2006/relationships/hyperlink" Target="mailto:nsx-compute-multicast-address-range@rangeEndIp=239.3.255.255" TargetMode="External"/><Relationship Id="rId2" Type="http://schemas.openxmlformats.org/officeDocument/2006/relationships/hyperlink" Target="mailto:vra-tenant-configuration@outboundProvider.port=25" TargetMode="External"/><Relationship Id="rId16" Type="http://schemas.openxmlformats.org/officeDocument/2006/relationships/hyperlink" Target="mailto:esg-02-mgmt-edge-device-creation@vPodName=LONMGMT-ESG02" TargetMode="External"/><Relationship Id="rId20" Type="http://schemas.openxmlformats.org/officeDocument/2006/relationships/hyperlink" Target="mailto:logInsight-ad-and-smtp-configuration@useSslForAdIntegration=true" TargetMode="External"/><Relationship Id="rId29" Type="http://schemas.openxmlformats.org/officeDocument/2006/relationships/hyperlink" Target="mailto:nsx-mgmt-multicast-address-range@rangeEndIp=239.1.255.255" TargetMode="External"/><Relationship Id="rId1" Type="http://schemas.openxmlformats.org/officeDocument/2006/relationships/hyperlink" Target="mailto:vra-tenant-configuration@outboundProvider.protocol=SMTP" TargetMode="External"/><Relationship Id="rId6" Type="http://schemas.openxmlformats.org/officeDocument/2006/relationships/hyperlink" Target="mailto:mgmt-load-balancer-creation@vPodName=SFOMGMT-LB01" TargetMode="External"/><Relationship Id="rId11" Type="http://schemas.openxmlformats.org/officeDocument/2006/relationships/hyperlink" Target="mailto:vra-tenant-configuration@branding.textColor=FFFFFF" TargetMode="External"/><Relationship Id="rId24" Type="http://schemas.openxmlformats.org/officeDocument/2006/relationships/hyperlink" Target="mailto:physical-nic-dedicated-to-dvs@value=vmnic1" TargetMode="External"/><Relationship Id="rId32" Type="http://schemas.openxmlformats.org/officeDocument/2006/relationships/hyperlink" Target="mailto:nsx-compute-multicast-address-range@rangeStartIp=239.3.0.0" TargetMode="External"/><Relationship Id="rId5" Type="http://schemas.openxmlformats.org/officeDocument/2006/relationships/hyperlink" Target="mailto:vra-tenant-configuration@inboundProvider.port=143" TargetMode="External"/><Relationship Id="rId15" Type="http://schemas.openxmlformats.org/officeDocument/2006/relationships/hyperlink" Target="mailto:esg-01-compute-edge-device-creation@vPodName=LONEDGE-ESG01" TargetMode="External"/><Relationship Id="rId23" Type="http://schemas.openxmlformats.org/officeDocument/2006/relationships/hyperlink" Target="../../../../Library/Containers/com.microsoft.Excel/mailto/vds-management-initial-configuration@dvPortGroups%5B7%5D.name=vDS-Mgmt-VR" TargetMode="External"/><Relationship Id="rId28" Type="http://schemas.openxmlformats.org/officeDocument/2006/relationships/hyperlink" Target="mailto:nsx-mgmt-multicast-address-range@rangeStartIp=239.1.0.0" TargetMode="External"/><Relationship Id="rId36" Type="http://schemas.openxmlformats.org/officeDocument/2006/relationships/printerSettings" Target="../printerSettings/printerSettings8.bin"/><Relationship Id="rId10" Type="http://schemas.openxmlformats.org/officeDocument/2006/relationships/hyperlink" Target="mailto:vra-tenant-configuration@branding.copyright=Copyright%20Rainpole.%20All%20Rights%20Reserved" TargetMode="External"/><Relationship Id="rId19" Type="http://schemas.openxmlformats.org/officeDocument/2006/relationships/hyperlink" Target="../../../../Library/Containers/com.microsoft.Excel/mailto/root-dns-records@records%5b'vrbServerIp'%5d=vra01bus01" TargetMode="External"/><Relationship Id="rId31" Type="http://schemas.openxmlformats.org/officeDocument/2006/relationships/hyperlink" Target="mailto:nsx-mgmt-universal-multicast-address-range@rangeEndIp=239.2.255.255" TargetMode="External"/><Relationship Id="rId4" Type="http://schemas.openxmlformats.org/officeDocument/2006/relationships/hyperlink" Target="mailto:vra-tenant-configuration@inboundProvider.protocol=IMAP" TargetMode="External"/><Relationship Id="rId9" Type="http://schemas.openxmlformats.org/officeDocument/2006/relationships/hyperlink" Target="mailto:vra-tenant-configuration@branding.disclaimer=https://www.rainpole.local" TargetMode="External"/><Relationship Id="rId14" Type="http://schemas.openxmlformats.org/officeDocument/2006/relationships/hyperlink" Target="mailto:esg-02-compute-edge-device-creation@vPodName=LONEDGE-ESG02" TargetMode="External"/><Relationship Id="rId22" Type="http://schemas.openxmlformats.org/officeDocument/2006/relationships/hyperlink" Target="mailto:management-vsan-datastore-name@value=" TargetMode="External"/><Relationship Id="rId27" Type="http://schemas.openxmlformats.org/officeDocument/2006/relationships/hyperlink" Target="mailto:itac-tenantadmin-credentials@username=ITAC-TenantAdmin@rainpole.local" TargetMode="External"/><Relationship Id="rId30" Type="http://schemas.openxmlformats.org/officeDocument/2006/relationships/hyperlink" Target="mailto:nsx-mgmt-universal-multicast-address-range@rangeStartIp=239.2.0.0" TargetMode="External"/><Relationship Id="rId35" Type="http://schemas.openxmlformats.org/officeDocument/2006/relationships/hyperlink" Target="mailto:nsx-compute-universal-multicast-address-range@rangeEndIp=239.4.255.255" TargetMode="External"/><Relationship Id="rId8" Type="http://schemas.openxmlformats.org/officeDocument/2006/relationships/hyperlink" Target="mailto:vra-tenant-configuration@branding.contactLink=https://www.rainpole.local/contact"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mailto:vrli-do-not-reply@sddc.local" TargetMode="External"/><Relationship Id="rId7" Type="http://schemas.openxmlformats.org/officeDocument/2006/relationships/hyperlink" Target="mailto:support-team@rainpole.local" TargetMode="External"/><Relationship Id="rId2" Type="http://schemas.openxmlformats.org/officeDocument/2006/relationships/hyperlink" Target="mailto:administrator@sddc.local" TargetMode="External"/><Relationship Id="rId1" Type="http://schemas.openxmlformats.org/officeDocument/2006/relationships/hyperlink" Target="mailto:administrator@sddc.local" TargetMode="External"/><Relationship Id="rId6" Type="http://schemas.openxmlformats.org/officeDocument/2006/relationships/hyperlink" Target="mailto:vrops-do-not-reply@rainpole.local" TargetMode="External"/><Relationship Id="rId5" Type="http://schemas.openxmlformats.org/officeDocument/2006/relationships/hyperlink" Target="mailto:administrator@sddc.local" TargetMode="External"/><Relationship Id="rId4" Type="http://schemas.openxmlformats.org/officeDocument/2006/relationships/hyperlink" Target="mailto:administrator@sddc.local" TargetMode="External"/><Relationship Id="rId9"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sddc.local/contact" TargetMode="External"/><Relationship Id="rId1" Type="http://schemas.openxmlformats.org/officeDocument/2006/relationships/hyperlink" Target="https://www.sddc.local/"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620"/>
  <sheetViews>
    <sheetView tabSelected="1" zoomScaleNormal="100" zoomScalePageLayoutView="118" workbookViewId="0">
      <pane ySplit="2" topLeftCell="A3" activePane="bottomLeft" state="frozen"/>
      <selection pane="bottomLeft" activeCell="B18" sqref="B18"/>
    </sheetView>
  </sheetViews>
  <sheetFormatPr baseColWidth="10" defaultColWidth="11.5" defaultRowHeight="14"/>
  <cols>
    <col min="1" max="1" width="79.83203125" style="40" customWidth="1"/>
    <col min="2" max="2" width="13" style="39" customWidth="1"/>
    <col min="3" max="3" width="39.83203125" style="40" customWidth="1"/>
    <col min="4" max="4" width="67.6640625" style="40" customWidth="1"/>
    <col min="5" max="5" width="20.6640625" style="51" customWidth="1"/>
    <col min="6" max="13" width="11.5" style="51"/>
    <col min="14" max="254" width="11.5" style="40"/>
    <col min="255" max="255" width="83.6640625" style="40" customWidth="1"/>
    <col min="256" max="256" width="10.6640625" style="40" customWidth="1"/>
    <col min="257" max="257" width="50.6640625" style="40" customWidth="1"/>
    <col min="258" max="258" width="30.6640625" style="40" customWidth="1"/>
    <col min="259" max="260" width="10.6640625" style="40" customWidth="1"/>
    <col min="261" max="261" width="20.6640625" style="40" customWidth="1"/>
    <col min="262" max="510" width="11.5" style="40"/>
    <col min="511" max="511" width="83.6640625" style="40" customWidth="1"/>
    <col min="512" max="512" width="10.6640625" style="40" customWidth="1"/>
    <col min="513" max="513" width="50.6640625" style="40" customWidth="1"/>
    <col min="514" max="514" width="30.6640625" style="40" customWidth="1"/>
    <col min="515" max="516" width="10.6640625" style="40" customWidth="1"/>
    <col min="517" max="517" width="20.6640625" style="40" customWidth="1"/>
    <col min="518" max="766" width="11.5" style="40"/>
    <col min="767" max="767" width="83.6640625" style="40" customWidth="1"/>
    <col min="768" max="768" width="10.6640625" style="40" customWidth="1"/>
    <col min="769" max="769" width="50.6640625" style="40" customWidth="1"/>
    <col min="770" max="770" width="30.6640625" style="40" customWidth="1"/>
    <col min="771" max="772" width="10.6640625" style="40" customWidth="1"/>
    <col min="773" max="773" width="20.6640625" style="40" customWidth="1"/>
    <col min="774" max="1022" width="11.5" style="40"/>
    <col min="1023" max="1023" width="83.6640625" style="40" customWidth="1"/>
    <col min="1024" max="1024" width="10.6640625" style="40" customWidth="1"/>
    <col min="1025" max="1025" width="50.6640625" style="40" customWidth="1"/>
    <col min="1026" max="1026" width="30.6640625" style="40" customWidth="1"/>
    <col min="1027" max="1028" width="10.6640625" style="40" customWidth="1"/>
    <col min="1029" max="1029" width="20.6640625" style="40" customWidth="1"/>
    <col min="1030" max="1278" width="11.5" style="40"/>
    <col min="1279" max="1279" width="83.6640625" style="40" customWidth="1"/>
    <col min="1280" max="1280" width="10.6640625" style="40" customWidth="1"/>
    <col min="1281" max="1281" width="50.6640625" style="40" customWidth="1"/>
    <col min="1282" max="1282" width="30.6640625" style="40" customWidth="1"/>
    <col min="1283" max="1284" width="10.6640625" style="40" customWidth="1"/>
    <col min="1285" max="1285" width="20.6640625" style="40" customWidth="1"/>
    <col min="1286" max="1534" width="11.5" style="40"/>
    <col min="1535" max="1535" width="83.6640625" style="40" customWidth="1"/>
    <col min="1536" max="1536" width="10.6640625" style="40" customWidth="1"/>
    <col min="1537" max="1537" width="50.6640625" style="40" customWidth="1"/>
    <col min="1538" max="1538" width="30.6640625" style="40" customWidth="1"/>
    <col min="1539" max="1540" width="10.6640625" style="40" customWidth="1"/>
    <col min="1541" max="1541" width="20.6640625" style="40" customWidth="1"/>
    <col min="1542" max="1790" width="11.5" style="40"/>
    <col min="1791" max="1791" width="83.6640625" style="40" customWidth="1"/>
    <col min="1792" max="1792" width="10.6640625" style="40" customWidth="1"/>
    <col min="1793" max="1793" width="50.6640625" style="40" customWidth="1"/>
    <col min="1794" max="1794" width="30.6640625" style="40" customWidth="1"/>
    <col min="1795" max="1796" width="10.6640625" style="40" customWidth="1"/>
    <col min="1797" max="1797" width="20.6640625" style="40" customWidth="1"/>
    <col min="1798" max="2046" width="11.5" style="40"/>
    <col min="2047" max="2047" width="83.6640625" style="40" customWidth="1"/>
    <col min="2048" max="2048" width="10.6640625" style="40" customWidth="1"/>
    <col min="2049" max="2049" width="50.6640625" style="40" customWidth="1"/>
    <col min="2050" max="2050" width="30.6640625" style="40" customWidth="1"/>
    <col min="2051" max="2052" width="10.6640625" style="40" customWidth="1"/>
    <col min="2053" max="2053" width="20.6640625" style="40" customWidth="1"/>
    <col min="2054" max="2302" width="11.5" style="40"/>
    <col min="2303" max="2303" width="83.6640625" style="40" customWidth="1"/>
    <col min="2304" max="2304" width="10.6640625" style="40" customWidth="1"/>
    <col min="2305" max="2305" width="50.6640625" style="40" customWidth="1"/>
    <col min="2306" max="2306" width="30.6640625" style="40" customWidth="1"/>
    <col min="2307" max="2308" width="10.6640625" style="40" customWidth="1"/>
    <col min="2309" max="2309" width="20.6640625" style="40" customWidth="1"/>
    <col min="2310" max="2558" width="11.5" style="40"/>
    <col min="2559" max="2559" width="83.6640625" style="40" customWidth="1"/>
    <col min="2560" max="2560" width="10.6640625" style="40" customWidth="1"/>
    <col min="2561" max="2561" width="50.6640625" style="40" customWidth="1"/>
    <col min="2562" max="2562" width="30.6640625" style="40" customWidth="1"/>
    <col min="2563" max="2564" width="10.6640625" style="40" customWidth="1"/>
    <col min="2565" max="2565" width="20.6640625" style="40" customWidth="1"/>
    <col min="2566" max="2814" width="11.5" style="40"/>
    <col min="2815" max="2815" width="83.6640625" style="40" customWidth="1"/>
    <col min="2816" max="2816" width="10.6640625" style="40" customWidth="1"/>
    <col min="2817" max="2817" width="50.6640625" style="40" customWidth="1"/>
    <col min="2818" max="2818" width="30.6640625" style="40" customWidth="1"/>
    <col min="2819" max="2820" width="10.6640625" style="40" customWidth="1"/>
    <col min="2821" max="2821" width="20.6640625" style="40" customWidth="1"/>
    <col min="2822" max="3070" width="11.5" style="40"/>
    <col min="3071" max="3071" width="83.6640625" style="40" customWidth="1"/>
    <col min="3072" max="3072" width="10.6640625" style="40" customWidth="1"/>
    <col min="3073" max="3073" width="50.6640625" style="40" customWidth="1"/>
    <col min="3074" max="3074" width="30.6640625" style="40" customWidth="1"/>
    <col min="3075" max="3076" width="10.6640625" style="40" customWidth="1"/>
    <col min="3077" max="3077" width="20.6640625" style="40" customWidth="1"/>
    <col min="3078" max="3326" width="11.5" style="40"/>
    <col min="3327" max="3327" width="83.6640625" style="40" customWidth="1"/>
    <col min="3328" max="3328" width="10.6640625" style="40" customWidth="1"/>
    <col min="3329" max="3329" width="50.6640625" style="40" customWidth="1"/>
    <col min="3330" max="3330" width="30.6640625" style="40" customWidth="1"/>
    <col min="3331" max="3332" width="10.6640625" style="40" customWidth="1"/>
    <col min="3333" max="3333" width="20.6640625" style="40" customWidth="1"/>
    <col min="3334" max="3582" width="11.5" style="40"/>
    <col min="3583" max="3583" width="83.6640625" style="40" customWidth="1"/>
    <col min="3584" max="3584" width="10.6640625" style="40" customWidth="1"/>
    <col min="3585" max="3585" width="50.6640625" style="40" customWidth="1"/>
    <col min="3586" max="3586" width="30.6640625" style="40" customWidth="1"/>
    <col min="3587" max="3588" width="10.6640625" style="40" customWidth="1"/>
    <col min="3589" max="3589" width="20.6640625" style="40" customWidth="1"/>
    <col min="3590" max="3838" width="11.5" style="40"/>
    <col min="3839" max="3839" width="83.6640625" style="40" customWidth="1"/>
    <col min="3840" max="3840" width="10.6640625" style="40" customWidth="1"/>
    <col min="3841" max="3841" width="50.6640625" style="40" customWidth="1"/>
    <col min="3842" max="3842" width="30.6640625" style="40" customWidth="1"/>
    <col min="3843" max="3844" width="10.6640625" style="40" customWidth="1"/>
    <col min="3845" max="3845" width="20.6640625" style="40" customWidth="1"/>
    <col min="3846" max="4094" width="11.5" style="40"/>
    <col min="4095" max="4095" width="83.6640625" style="40" customWidth="1"/>
    <col min="4096" max="4096" width="10.6640625" style="40" customWidth="1"/>
    <col min="4097" max="4097" width="50.6640625" style="40" customWidth="1"/>
    <col min="4098" max="4098" width="30.6640625" style="40" customWidth="1"/>
    <col min="4099" max="4100" width="10.6640625" style="40" customWidth="1"/>
    <col min="4101" max="4101" width="20.6640625" style="40" customWidth="1"/>
    <col min="4102" max="4350" width="11.5" style="40"/>
    <col min="4351" max="4351" width="83.6640625" style="40" customWidth="1"/>
    <col min="4352" max="4352" width="10.6640625" style="40" customWidth="1"/>
    <col min="4353" max="4353" width="50.6640625" style="40" customWidth="1"/>
    <col min="4354" max="4354" width="30.6640625" style="40" customWidth="1"/>
    <col min="4355" max="4356" width="10.6640625" style="40" customWidth="1"/>
    <col min="4357" max="4357" width="20.6640625" style="40" customWidth="1"/>
    <col min="4358" max="4606" width="11.5" style="40"/>
    <col min="4607" max="4607" width="83.6640625" style="40" customWidth="1"/>
    <col min="4608" max="4608" width="10.6640625" style="40" customWidth="1"/>
    <col min="4609" max="4609" width="50.6640625" style="40" customWidth="1"/>
    <col min="4610" max="4610" width="30.6640625" style="40" customWidth="1"/>
    <col min="4611" max="4612" width="10.6640625" style="40" customWidth="1"/>
    <col min="4613" max="4613" width="20.6640625" style="40" customWidth="1"/>
    <col min="4614" max="4862" width="11.5" style="40"/>
    <col min="4863" max="4863" width="83.6640625" style="40" customWidth="1"/>
    <col min="4864" max="4864" width="10.6640625" style="40" customWidth="1"/>
    <col min="4865" max="4865" width="50.6640625" style="40" customWidth="1"/>
    <col min="4866" max="4866" width="30.6640625" style="40" customWidth="1"/>
    <col min="4867" max="4868" width="10.6640625" style="40" customWidth="1"/>
    <col min="4869" max="4869" width="20.6640625" style="40" customWidth="1"/>
    <col min="4870" max="5118" width="11.5" style="40"/>
    <col min="5119" max="5119" width="83.6640625" style="40" customWidth="1"/>
    <col min="5120" max="5120" width="10.6640625" style="40" customWidth="1"/>
    <col min="5121" max="5121" width="50.6640625" style="40" customWidth="1"/>
    <col min="5122" max="5122" width="30.6640625" style="40" customWidth="1"/>
    <col min="5123" max="5124" width="10.6640625" style="40" customWidth="1"/>
    <col min="5125" max="5125" width="20.6640625" style="40" customWidth="1"/>
    <col min="5126" max="5374" width="11.5" style="40"/>
    <col min="5375" max="5375" width="83.6640625" style="40" customWidth="1"/>
    <col min="5376" max="5376" width="10.6640625" style="40" customWidth="1"/>
    <col min="5377" max="5377" width="50.6640625" style="40" customWidth="1"/>
    <col min="5378" max="5378" width="30.6640625" style="40" customWidth="1"/>
    <col min="5379" max="5380" width="10.6640625" style="40" customWidth="1"/>
    <col min="5381" max="5381" width="20.6640625" style="40" customWidth="1"/>
    <col min="5382" max="5630" width="11.5" style="40"/>
    <col min="5631" max="5631" width="83.6640625" style="40" customWidth="1"/>
    <col min="5632" max="5632" width="10.6640625" style="40" customWidth="1"/>
    <col min="5633" max="5633" width="50.6640625" style="40" customWidth="1"/>
    <col min="5634" max="5634" width="30.6640625" style="40" customWidth="1"/>
    <col min="5635" max="5636" width="10.6640625" style="40" customWidth="1"/>
    <col min="5637" max="5637" width="20.6640625" style="40" customWidth="1"/>
    <col min="5638" max="5886" width="11.5" style="40"/>
    <col min="5887" max="5887" width="83.6640625" style="40" customWidth="1"/>
    <col min="5888" max="5888" width="10.6640625" style="40" customWidth="1"/>
    <col min="5889" max="5889" width="50.6640625" style="40" customWidth="1"/>
    <col min="5890" max="5890" width="30.6640625" style="40" customWidth="1"/>
    <col min="5891" max="5892" width="10.6640625" style="40" customWidth="1"/>
    <col min="5893" max="5893" width="20.6640625" style="40" customWidth="1"/>
    <col min="5894" max="6142" width="11.5" style="40"/>
    <col min="6143" max="6143" width="83.6640625" style="40" customWidth="1"/>
    <col min="6144" max="6144" width="10.6640625" style="40" customWidth="1"/>
    <col min="6145" max="6145" width="50.6640625" style="40" customWidth="1"/>
    <col min="6146" max="6146" width="30.6640625" style="40" customWidth="1"/>
    <col min="6147" max="6148" width="10.6640625" style="40" customWidth="1"/>
    <col min="6149" max="6149" width="20.6640625" style="40" customWidth="1"/>
    <col min="6150" max="6398" width="11.5" style="40"/>
    <col min="6399" max="6399" width="83.6640625" style="40" customWidth="1"/>
    <col min="6400" max="6400" width="10.6640625" style="40" customWidth="1"/>
    <col min="6401" max="6401" width="50.6640625" style="40" customWidth="1"/>
    <col min="6402" max="6402" width="30.6640625" style="40" customWidth="1"/>
    <col min="6403" max="6404" width="10.6640625" style="40" customWidth="1"/>
    <col min="6405" max="6405" width="20.6640625" style="40" customWidth="1"/>
    <col min="6406" max="6654" width="11.5" style="40"/>
    <col min="6655" max="6655" width="83.6640625" style="40" customWidth="1"/>
    <col min="6656" max="6656" width="10.6640625" style="40" customWidth="1"/>
    <col min="6657" max="6657" width="50.6640625" style="40" customWidth="1"/>
    <col min="6658" max="6658" width="30.6640625" style="40" customWidth="1"/>
    <col min="6659" max="6660" width="10.6640625" style="40" customWidth="1"/>
    <col min="6661" max="6661" width="20.6640625" style="40" customWidth="1"/>
    <col min="6662" max="6910" width="11.5" style="40"/>
    <col min="6911" max="6911" width="83.6640625" style="40" customWidth="1"/>
    <col min="6912" max="6912" width="10.6640625" style="40" customWidth="1"/>
    <col min="6913" max="6913" width="50.6640625" style="40" customWidth="1"/>
    <col min="6914" max="6914" width="30.6640625" style="40" customWidth="1"/>
    <col min="6915" max="6916" width="10.6640625" style="40" customWidth="1"/>
    <col min="6917" max="6917" width="20.6640625" style="40" customWidth="1"/>
    <col min="6918" max="7166" width="11.5" style="40"/>
    <col min="7167" max="7167" width="83.6640625" style="40" customWidth="1"/>
    <col min="7168" max="7168" width="10.6640625" style="40" customWidth="1"/>
    <col min="7169" max="7169" width="50.6640625" style="40" customWidth="1"/>
    <col min="7170" max="7170" width="30.6640625" style="40" customWidth="1"/>
    <col min="7171" max="7172" width="10.6640625" style="40" customWidth="1"/>
    <col min="7173" max="7173" width="20.6640625" style="40" customWidth="1"/>
    <col min="7174" max="7422" width="11.5" style="40"/>
    <col min="7423" max="7423" width="83.6640625" style="40" customWidth="1"/>
    <col min="7424" max="7424" width="10.6640625" style="40" customWidth="1"/>
    <col min="7425" max="7425" width="50.6640625" style="40" customWidth="1"/>
    <col min="7426" max="7426" width="30.6640625" style="40" customWidth="1"/>
    <col min="7427" max="7428" width="10.6640625" style="40" customWidth="1"/>
    <col min="7429" max="7429" width="20.6640625" style="40" customWidth="1"/>
    <col min="7430" max="7678" width="11.5" style="40"/>
    <col min="7679" max="7679" width="83.6640625" style="40" customWidth="1"/>
    <col min="7680" max="7680" width="10.6640625" style="40" customWidth="1"/>
    <col min="7681" max="7681" width="50.6640625" style="40" customWidth="1"/>
    <col min="7682" max="7682" width="30.6640625" style="40" customWidth="1"/>
    <col min="7683" max="7684" width="10.6640625" style="40" customWidth="1"/>
    <col min="7685" max="7685" width="20.6640625" style="40" customWidth="1"/>
    <col min="7686" max="7934" width="11.5" style="40"/>
    <col min="7935" max="7935" width="83.6640625" style="40" customWidth="1"/>
    <col min="7936" max="7936" width="10.6640625" style="40" customWidth="1"/>
    <col min="7937" max="7937" width="50.6640625" style="40" customWidth="1"/>
    <col min="7938" max="7938" width="30.6640625" style="40" customWidth="1"/>
    <col min="7939" max="7940" width="10.6640625" style="40" customWidth="1"/>
    <col min="7941" max="7941" width="20.6640625" style="40" customWidth="1"/>
    <col min="7942" max="8190" width="11.5" style="40"/>
    <col min="8191" max="8191" width="83.6640625" style="40" customWidth="1"/>
    <col min="8192" max="8192" width="10.6640625" style="40" customWidth="1"/>
    <col min="8193" max="8193" width="50.6640625" style="40" customWidth="1"/>
    <col min="8194" max="8194" width="30.6640625" style="40" customWidth="1"/>
    <col min="8195" max="8196" width="10.6640625" style="40" customWidth="1"/>
    <col min="8197" max="8197" width="20.6640625" style="40" customWidth="1"/>
    <col min="8198" max="8446" width="11.5" style="40"/>
    <col min="8447" max="8447" width="83.6640625" style="40" customWidth="1"/>
    <col min="8448" max="8448" width="10.6640625" style="40" customWidth="1"/>
    <col min="8449" max="8449" width="50.6640625" style="40" customWidth="1"/>
    <col min="8450" max="8450" width="30.6640625" style="40" customWidth="1"/>
    <col min="8451" max="8452" width="10.6640625" style="40" customWidth="1"/>
    <col min="8453" max="8453" width="20.6640625" style="40" customWidth="1"/>
    <col min="8454" max="8702" width="11.5" style="40"/>
    <col min="8703" max="8703" width="83.6640625" style="40" customWidth="1"/>
    <col min="8704" max="8704" width="10.6640625" style="40" customWidth="1"/>
    <col min="8705" max="8705" width="50.6640625" style="40" customWidth="1"/>
    <col min="8706" max="8706" width="30.6640625" style="40" customWidth="1"/>
    <col min="8707" max="8708" width="10.6640625" style="40" customWidth="1"/>
    <col min="8709" max="8709" width="20.6640625" style="40" customWidth="1"/>
    <col min="8710" max="8958" width="11.5" style="40"/>
    <col min="8959" max="8959" width="83.6640625" style="40" customWidth="1"/>
    <col min="8960" max="8960" width="10.6640625" style="40" customWidth="1"/>
    <col min="8961" max="8961" width="50.6640625" style="40" customWidth="1"/>
    <col min="8962" max="8962" width="30.6640625" style="40" customWidth="1"/>
    <col min="8963" max="8964" width="10.6640625" style="40" customWidth="1"/>
    <col min="8965" max="8965" width="20.6640625" style="40" customWidth="1"/>
    <col min="8966" max="9214" width="11.5" style="40"/>
    <col min="9215" max="9215" width="83.6640625" style="40" customWidth="1"/>
    <col min="9216" max="9216" width="10.6640625" style="40" customWidth="1"/>
    <col min="9217" max="9217" width="50.6640625" style="40" customWidth="1"/>
    <col min="9218" max="9218" width="30.6640625" style="40" customWidth="1"/>
    <col min="9219" max="9220" width="10.6640625" style="40" customWidth="1"/>
    <col min="9221" max="9221" width="20.6640625" style="40" customWidth="1"/>
    <col min="9222" max="9470" width="11.5" style="40"/>
    <col min="9471" max="9471" width="83.6640625" style="40" customWidth="1"/>
    <col min="9472" max="9472" width="10.6640625" style="40" customWidth="1"/>
    <col min="9473" max="9473" width="50.6640625" style="40" customWidth="1"/>
    <col min="9474" max="9474" width="30.6640625" style="40" customWidth="1"/>
    <col min="9475" max="9476" width="10.6640625" style="40" customWidth="1"/>
    <col min="9477" max="9477" width="20.6640625" style="40" customWidth="1"/>
    <col min="9478" max="9726" width="11.5" style="40"/>
    <col min="9727" max="9727" width="83.6640625" style="40" customWidth="1"/>
    <col min="9728" max="9728" width="10.6640625" style="40" customWidth="1"/>
    <col min="9729" max="9729" width="50.6640625" style="40" customWidth="1"/>
    <col min="9730" max="9730" width="30.6640625" style="40" customWidth="1"/>
    <col min="9731" max="9732" width="10.6640625" style="40" customWidth="1"/>
    <col min="9733" max="9733" width="20.6640625" style="40" customWidth="1"/>
    <col min="9734" max="9982" width="11.5" style="40"/>
    <col min="9983" max="9983" width="83.6640625" style="40" customWidth="1"/>
    <col min="9984" max="9984" width="10.6640625" style="40" customWidth="1"/>
    <col min="9985" max="9985" width="50.6640625" style="40" customWidth="1"/>
    <col min="9986" max="9986" width="30.6640625" style="40" customWidth="1"/>
    <col min="9987" max="9988" width="10.6640625" style="40" customWidth="1"/>
    <col min="9989" max="9989" width="20.6640625" style="40" customWidth="1"/>
    <col min="9990" max="10238" width="11.5" style="40"/>
    <col min="10239" max="10239" width="83.6640625" style="40" customWidth="1"/>
    <col min="10240" max="10240" width="10.6640625" style="40" customWidth="1"/>
    <col min="10241" max="10241" width="50.6640625" style="40" customWidth="1"/>
    <col min="10242" max="10242" width="30.6640625" style="40" customWidth="1"/>
    <col min="10243" max="10244" width="10.6640625" style="40" customWidth="1"/>
    <col min="10245" max="10245" width="20.6640625" style="40" customWidth="1"/>
    <col min="10246" max="10494" width="11.5" style="40"/>
    <col min="10495" max="10495" width="83.6640625" style="40" customWidth="1"/>
    <col min="10496" max="10496" width="10.6640625" style="40" customWidth="1"/>
    <col min="10497" max="10497" width="50.6640625" style="40" customWidth="1"/>
    <col min="10498" max="10498" width="30.6640625" style="40" customWidth="1"/>
    <col min="10499" max="10500" width="10.6640625" style="40" customWidth="1"/>
    <col min="10501" max="10501" width="20.6640625" style="40" customWidth="1"/>
    <col min="10502" max="10750" width="11.5" style="40"/>
    <col min="10751" max="10751" width="83.6640625" style="40" customWidth="1"/>
    <col min="10752" max="10752" width="10.6640625" style="40" customWidth="1"/>
    <col min="10753" max="10753" width="50.6640625" style="40" customWidth="1"/>
    <col min="10754" max="10754" width="30.6640625" style="40" customWidth="1"/>
    <col min="10755" max="10756" width="10.6640625" style="40" customWidth="1"/>
    <col min="10757" max="10757" width="20.6640625" style="40" customWidth="1"/>
    <col min="10758" max="11006" width="11.5" style="40"/>
    <col min="11007" max="11007" width="83.6640625" style="40" customWidth="1"/>
    <col min="11008" max="11008" width="10.6640625" style="40" customWidth="1"/>
    <col min="11009" max="11009" width="50.6640625" style="40" customWidth="1"/>
    <col min="11010" max="11010" width="30.6640625" style="40" customWidth="1"/>
    <col min="11011" max="11012" width="10.6640625" style="40" customWidth="1"/>
    <col min="11013" max="11013" width="20.6640625" style="40" customWidth="1"/>
    <col min="11014" max="11262" width="11.5" style="40"/>
    <col min="11263" max="11263" width="83.6640625" style="40" customWidth="1"/>
    <col min="11264" max="11264" width="10.6640625" style="40" customWidth="1"/>
    <col min="11265" max="11265" width="50.6640625" style="40" customWidth="1"/>
    <col min="11266" max="11266" width="30.6640625" style="40" customWidth="1"/>
    <col min="11267" max="11268" width="10.6640625" style="40" customWidth="1"/>
    <col min="11269" max="11269" width="20.6640625" style="40" customWidth="1"/>
    <col min="11270" max="11518" width="11.5" style="40"/>
    <col min="11519" max="11519" width="83.6640625" style="40" customWidth="1"/>
    <col min="11520" max="11520" width="10.6640625" style="40" customWidth="1"/>
    <col min="11521" max="11521" width="50.6640625" style="40" customWidth="1"/>
    <col min="11522" max="11522" width="30.6640625" style="40" customWidth="1"/>
    <col min="11523" max="11524" width="10.6640625" style="40" customWidth="1"/>
    <col min="11525" max="11525" width="20.6640625" style="40" customWidth="1"/>
    <col min="11526" max="11774" width="11.5" style="40"/>
    <col min="11775" max="11775" width="83.6640625" style="40" customWidth="1"/>
    <col min="11776" max="11776" width="10.6640625" style="40" customWidth="1"/>
    <col min="11777" max="11777" width="50.6640625" style="40" customWidth="1"/>
    <col min="11778" max="11778" width="30.6640625" style="40" customWidth="1"/>
    <col min="11779" max="11780" width="10.6640625" style="40" customWidth="1"/>
    <col min="11781" max="11781" width="20.6640625" style="40" customWidth="1"/>
    <col min="11782" max="12030" width="11.5" style="40"/>
    <col min="12031" max="12031" width="83.6640625" style="40" customWidth="1"/>
    <col min="12032" max="12032" width="10.6640625" style="40" customWidth="1"/>
    <col min="12033" max="12033" width="50.6640625" style="40" customWidth="1"/>
    <col min="12034" max="12034" width="30.6640625" style="40" customWidth="1"/>
    <col min="12035" max="12036" width="10.6640625" style="40" customWidth="1"/>
    <col min="12037" max="12037" width="20.6640625" style="40" customWidth="1"/>
    <col min="12038" max="12286" width="11.5" style="40"/>
    <col min="12287" max="12287" width="83.6640625" style="40" customWidth="1"/>
    <col min="12288" max="12288" width="10.6640625" style="40" customWidth="1"/>
    <col min="12289" max="12289" width="50.6640625" style="40" customWidth="1"/>
    <col min="12290" max="12290" width="30.6640625" style="40" customWidth="1"/>
    <col min="12291" max="12292" width="10.6640625" style="40" customWidth="1"/>
    <col min="12293" max="12293" width="20.6640625" style="40" customWidth="1"/>
    <col min="12294" max="12542" width="11.5" style="40"/>
    <col min="12543" max="12543" width="83.6640625" style="40" customWidth="1"/>
    <col min="12544" max="12544" width="10.6640625" style="40" customWidth="1"/>
    <col min="12545" max="12545" width="50.6640625" style="40" customWidth="1"/>
    <col min="12546" max="12546" width="30.6640625" style="40" customWidth="1"/>
    <col min="12547" max="12548" width="10.6640625" style="40" customWidth="1"/>
    <col min="12549" max="12549" width="20.6640625" style="40" customWidth="1"/>
    <col min="12550" max="12798" width="11.5" style="40"/>
    <col min="12799" max="12799" width="83.6640625" style="40" customWidth="1"/>
    <col min="12800" max="12800" width="10.6640625" style="40" customWidth="1"/>
    <col min="12801" max="12801" width="50.6640625" style="40" customWidth="1"/>
    <col min="12802" max="12802" width="30.6640625" style="40" customWidth="1"/>
    <col min="12803" max="12804" width="10.6640625" style="40" customWidth="1"/>
    <col min="12805" max="12805" width="20.6640625" style="40" customWidth="1"/>
    <col min="12806" max="13054" width="11.5" style="40"/>
    <col min="13055" max="13055" width="83.6640625" style="40" customWidth="1"/>
    <col min="13056" max="13056" width="10.6640625" style="40" customWidth="1"/>
    <col min="13057" max="13057" width="50.6640625" style="40" customWidth="1"/>
    <col min="13058" max="13058" width="30.6640625" style="40" customWidth="1"/>
    <col min="13059" max="13060" width="10.6640625" style="40" customWidth="1"/>
    <col min="13061" max="13061" width="20.6640625" style="40" customWidth="1"/>
    <col min="13062" max="13310" width="11.5" style="40"/>
    <col min="13311" max="13311" width="83.6640625" style="40" customWidth="1"/>
    <col min="13312" max="13312" width="10.6640625" style="40" customWidth="1"/>
    <col min="13313" max="13313" width="50.6640625" style="40" customWidth="1"/>
    <col min="13314" max="13314" width="30.6640625" style="40" customWidth="1"/>
    <col min="13315" max="13316" width="10.6640625" style="40" customWidth="1"/>
    <col min="13317" max="13317" width="20.6640625" style="40" customWidth="1"/>
    <col min="13318" max="13566" width="11.5" style="40"/>
    <col min="13567" max="13567" width="83.6640625" style="40" customWidth="1"/>
    <col min="13568" max="13568" width="10.6640625" style="40" customWidth="1"/>
    <col min="13569" max="13569" width="50.6640625" style="40" customWidth="1"/>
    <col min="13570" max="13570" width="30.6640625" style="40" customWidth="1"/>
    <col min="13571" max="13572" width="10.6640625" style="40" customWidth="1"/>
    <col min="13573" max="13573" width="20.6640625" style="40" customWidth="1"/>
    <col min="13574" max="13822" width="11.5" style="40"/>
    <col min="13823" max="13823" width="83.6640625" style="40" customWidth="1"/>
    <col min="13824" max="13824" width="10.6640625" style="40" customWidth="1"/>
    <col min="13825" max="13825" width="50.6640625" style="40" customWidth="1"/>
    <col min="13826" max="13826" width="30.6640625" style="40" customWidth="1"/>
    <col min="13827" max="13828" width="10.6640625" style="40" customWidth="1"/>
    <col min="13829" max="13829" width="20.6640625" style="40" customWidth="1"/>
    <col min="13830" max="14078" width="11.5" style="40"/>
    <col min="14079" max="14079" width="83.6640625" style="40" customWidth="1"/>
    <col min="14080" max="14080" width="10.6640625" style="40" customWidth="1"/>
    <col min="14081" max="14081" width="50.6640625" style="40" customWidth="1"/>
    <col min="14082" max="14082" width="30.6640625" style="40" customWidth="1"/>
    <col min="14083" max="14084" width="10.6640625" style="40" customWidth="1"/>
    <col min="14085" max="14085" width="20.6640625" style="40" customWidth="1"/>
    <col min="14086" max="14334" width="11.5" style="40"/>
    <col min="14335" max="14335" width="83.6640625" style="40" customWidth="1"/>
    <col min="14336" max="14336" width="10.6640625" style="40" customWidth="1"/>
    <col min="14337" max="14337" width="50.6640625" style="40" customWidth="1"/>
    <col min="14338" max="14338" width="30.6640625" style="40" customWidth="1"/>
    <col min="14339" max="14340" width="10.6640625" style="40" customWidth="1"/>
    <col min="14341" max="14341" width="20.6640625" style="40" customWidth="1"/>
    <col min="14342" max="14590" width="11.5" style="40"/>
    <col min="14591" max="14591" width="83.6640625" style="40" customWidth="1"/>
    <col min="14592" max="14592" width="10.6640625" style="40" customWidth="1"/>
    <col min="14593" max="14593" width="50.6640625" style="40" customWidth="1"/>
    <col min="14594" max="14594" width="30.6640625" style="40" customWidth="1"/>
    <col min="14595" max="14596" width="10.6640625" style="40" customWidth="1"/>
    <col min="14597" max="14597" width="20.6640625" style="40" customWidth="1"/>
    <col min="14598" max="14846" width="11.5" style="40"/>
    <col min="14847" max="14847" width="83.6640625" style="40" customWidth="1"/>
    <col min="14848" max="14848" width="10.6640625" style="40" customWidth="1"/>
    <col min="14849" max="14849" width="50.6640625" style="40" customWidth="1"/>
    <col min="14850" max="14850" width="30.6640625" style="40" customWidth="1"/>
    <col min="14851" max="14852" width="10.6640625" style="40" customWidth="1"/>
    <col min="14853" max="14853" width="20.6640625" style="40" customWidth="1"/>
    <col min="14854" max="15102" width="11.5" style="40"/>
    <col min="15103" max="15103" width="83.6640625" style="40" customWidth="1"/>
    <col min="15104" max="15104" width="10.6640625" style="40" customWidth="1"/>
    <col min="15105" max="15105" width="50.6640625" style="40" customWidth="1"/>
    <col min="15106" max="15106" width="30.6640625" style="40" customWidth="1"/>
    <col min="15107" max="15108" width="10.6640625" style="40" customWidth="1"/>
    <col min="15109" max="15109" width="20.6640625" style="40" customWidth="1"/>
    <col min="15110" max="15358" width="11.5" style="40"/>
    <col min="15359" max="15359" width="83.6640625" style="40" customWidth="1"/>
    <col min="15360" max="15360" width="10.6640625" style="40" customWidth="1"/>
    <col min="15361" max="15361" width="50.6640625" style="40" customWidth="1"/>
    <col min="15362" max="15362" width="30.6640625" style="40" customWidth="1"/>
    <col min="15363" max="15364" width="10.6640625" style="40" customWidth="1"/>
    <col min="15365" max="15365" width="20.6640625" style="40" customWidth="1"/>
    <col min="15366" max="15614" width="11.5" style="40"/>
    <col min="15615" max="15615" width="83.6640625" style="40" customWidth="1"/>
    <col min="15616" max="15616" width="10.6640625" style="40" customWidth="1"/>
    <col min="15617" max="15617" width="50.6640625" style="40" customWidth="1"/>
    <col min="15618" max="15618" width="30.6640625" style="40" customWidth="1"/>
    <col min="15619" max="15620" width="10.6640625" style="40" customWidth="1"/>
    <col min="15621" max="15621" width="20.6640625" style="40" customWidth="1"/>
    <col min="15622" max="15870" width="11.5" style="40"/>
    <col min="15871" max="15871" width="83.6640625" style="40" customWidth="1"/>
    <col min="15872" max="15872" width="10.6640625" style="40" customWidth="1"/>
    <col min="15873" max="15873" width="50.6640625" style="40" customWidth="1"/>
    <col min="15874" max="15874" width="30.6640625" style="40" customWidth="1"/>
    <col min="15875" max="15876" width="10.6640625" style="40" customWidth="1"/>
    <col min="15877" max="15877" width="20.6640625" style="40" customWidth="1"/>
    <col min="15878" max="16126" width="11.5" style="40"/>
    <col min="16127" max="16127" width="83.6640625" style="40" customWidth="1"/>
    <col min="16128" max="16128" width="10.6640625" style="40" customWidth="1"/>
    <col min="16129" max="16129" width="50.6640625" style="40" customWidth="1"/>
    <col min="16130" max="16130" width="30.6640625" style="40" customWidth="1"/>
    <col min="16131" max="16132" width="10.6640625" style="40" customWidth="1"/>
    <col min="16133" max="16133" width="20.6640625" style="40" customWidth="1"/>
    <col min="16134" max="16384" width="11.5" style="40"/>
  </cols>
  <sheetData>
    <row r="1" spans="1:13" s="37" customFormat="1" ht="48" customHeight="1">
      <c r="A1" s="36"/>
      <c r="E1" s="53"/>
      <c r="F1" s="53"/>
      <c r="G1" s="53"/>
      <c r="H1" s="53"/>
      <c r="I1" s="53"/>
      <c r="J1" s="53"/>
      <c r="K1" s="53"/>
      <c r="L1" s="53"/>
      <c r="M1" s="53"/>
    </row>
    <row r="2" spans="1:13" s="37" customFormat="1" ht="29" customHeight="1">
      <c r="A2" s="46" t="s">
        <v>1024</v>
      </c>
      <c r="B2" s="47" t="s">
        <v>12</v>
      </c>
      <c r="C2" s="48" t="s">
        <v>1023</v>
      </c>
      <c r="D2" s="48" t="s">
        <v>13</v>
      </c>
      <c r="E2" s="53"/>
      <c r="F2" s="53"/>
      <c r="G2" s="53"/>
      <c r="H2" s="53"/>
      <c r="I2" s="53"/>
      <c r="J2" s="53"/>
      <c r="K2" s="53"/>
      <c r="L2" s="53"/>
      <c r="M2" s="53"/>
    </row>
    <row r="3" spans="1:13" s="37" customFormat="1" ht="23" customHeight="1">
      <c r="A3" s="50" t="s">
        <v>243</v>
      </c>
      <c r="B3" s="38"/>
      <c r="C3" s="45"/>
      <c r="D3" s="45"/>
      <c r="E3" s="53"/>
      <c r="F3" s="53"/>
      <c r="G3" s="53"/>
      <c r="H3" s="53"/>
      <c r="I3" s="53"/>
      <c r="J3" s="53"/>
      <c r="K3" s="53"/>
      <c r="L3" s="53"/>
      <c r="M3" s="53"/>
    </row>
    <row r="4" spans="1:13" s="37" customFormat="1" ht="28">
      <c r="A4" s="191" t="s">
        <v>1176</v>
      </c>
      <c r="B4" s="192"/>
      <c r="C4" s="193"/>
      <c r="D4" s="191" t="s">
        <v>345</v>
      </c>
      <c r="E4" s="53"/>
      <c r="F4" s="53"/>
      <c r="G4" s="53"/>
      <c r="H4" s="53"/>
      <c r="I4" s="53"/>
      <c r="J4" s="53"/>
      <c r="K4" s="53"/>
      <c r="L4" s="53"/>
      <c r="M4" s="53"/>
    </row>
    <row r="5" spans="1:13" s="37" customFormat="1" ht="84">
      <c r="A5" s="191" t="s">
        <v>1205</v>
      </c>
      <c r="B5" s="192"/>
      <c r="C5" s="193"/>
      <c r="D5" s="191" t="s">
        <v>1177</v>
      </c>
      <c r="E5" s="53"/>
      <c r="F5" s="53"/>
      <c r="G5" s="53"/>
      <c r="H5" s="53"/>
      <c r="I5" s="53"/>
      <c r="J5" s="53"/>
      <c r="K5" s="53"/>
      <c r="L5" s="53"/>
      <c r="M5" s="53"/>
    </row>
    <row r="6" spans="1:13" s="37" customFormat="1" ht="30" customHeight="1">
      <c r="A6" s="191" t="s">
        <v>1178</v>
      </c>
      <c r="B6" s="192"/>
      <c r="C6" s="193"/>
      <c r="D6" s="191"/>
      <c r="E6" s="53"/>
      <c r="F6" s="53"/>
      <c r="G6" s="53"/>
      <c r="H6" s="53"/>
      <c r="I6" s="53"/>
      <c r="J6" s="53"/>
      <c r="K6" s="53"/>
      <c r="L6" s="53"/>
      <c r="M6" s="53"/>
    </row>
    <row r="7" spans="1:13" s="37" customFormat="1" ht="56">
      <c r="A7" s="191" t="s">
        <v>1031</v>
      </c>
      <c r="B7" s="192"/>
      <c r="C7" s="194"/>
      <c r="D7" s="191"/>
      <c r="E7" s="53"/>
      <c r="F7" s="53"/>
      <c r="G7" s="53"/>
      <c r="H7" s="53"/>
      <c r="I7" s="53"/>
      <c r="J7" s="53"/>
      <c r="K7" s="53"/>
      <c r="L7" s="53"/>
      <c r="M7" s="53"/>
    </row>
    <row r="8" spans="1:13" s="37" customFormat="1" ht="23" customHeight="1">
      <c r="A8" s="50" t="s">
        <v>1027</v>
      </c>
      <c r="B8" s="38"/>
      <c r="C8" s="49"/>
      <c r="D8" s="49"/>
      <c r="E8" s="53"/>
      <c r="F8" s="53"/>
      <c r="G8" s="53"/>
      <c r="H8" s="53"/>
      <c r="I8" s="53"/>
      <c r="J8" s="53"/>
      <c r="K8" s="53"/>
      <c r="L8" s="53"/>
      <c r="M8" s="53"/>
    </row>
    <row r="9" spans="1:13" s="37" customFormat="1" ht="70">
      <c r="A9" s="191" t="s">
        <v>1032</v>
      </c>
      <c r="B9" s="192"/>
      <c r="C9" s="193"/>
      <c r="D9" s="191" t="s">
        <v>1179</v>
      </c>
      <c r="E9" s="53"/>
      <c r="F9" s="53"/>
      <c r="G9" s="53"/>
      <c r="H9" s="53"/>
      <c r="I9" s="53"/>
      <c r="J9" s="53"/>
      <c r="K9" s="53"/>
      <c r="L9" s="53"/>
      <c r="M9" s="53"/>
    </row>
    <row r="10" spans="1:13" s="37" customFormat="1" ht="84">
      <c r="A10" s="191" t="s">
        <v>1184</v>
      </c>
      <c r="B10" s="192"/>
      <c r="C10" s="193"/>
      <c r="D10" s="191"/>
      <c r="E10" s="53"/>
      <c r="F10" s="53"/>
      <c r="G10" s="53"/>
      <c r="H10" s="53"/>
      <c r="I10" s="53"/>
      <c r="J10" s="53"/>
      <c r="K10" s="53"/>
      <c r="L10" s="53"/>
      <c r="M10" s="53"/>
    </row>
    <row r="11" spans="1:13" s="37" customFormat="1" ht="56">
      <c r="A11" s="191" t="s">
        <v>1033</v>
      </c>
      <c r="B11" s="192"/>
      <c r="C11" s="193"/>
      <c r="D11" s="191"/>
      <c r="E11" s="53"/>
      <c r="F11" s="53"/>
      <c r="G11" s="53"/>
      <c r="H11" s="53"/>
      <c r="I11" s="53"/>
      <c r="J11" s="53"/>
      <c r="K11" s="53"/>
      <c r="L11" s="53"/>
      <c r="M11" s="53"/>
    </row>
    <row r="12" spans="1:13" s="37" customFormat="1" ht="56">
      <c r="A12" s="43" t="s">
        <v>1034</v>
      </c>
      <c r="B12" s="41"/>
      <c r="C12" s="43"/>
      <c r="D12" s="43"/>
      <c r="E12" s="53"/>
      <c r="F12" s="53"/>
      <c r="G12" s="53"/>
      <c r="H12" s="53"/>
      <c r="I12" s="53"/>
      <c r="J12" s="53"/>
      <c r="K12" s="53"/>
      <c r="L12" s="53"/>
      <c r="M12" s="53"/>
    </row>
    <row r="13" spans="1:13" s="37" customFormat="1" ht="21">
      <c r="A13" s="50" t="s">
        <v>1026</v>
      </c>
      <c r="B13" s="38"/>
      <c r="C13" s="49"/>
      <c r="D13" s="49"/>
      <c r="E13" s="53"/>
      <c r="F13" s="53"/>
      <c r="G13" s="53"/>
      <c r="H13" s="53"/>
      <c r="I13" s="53"/>
      <c r="J13" s="53"/>
      <c r="K13" s="53"/>
      <c r="L13" s="53"/>
      <c r="M13" s="53"/>
    </row>
    <row r="14" spans="1:13" s="37" customFormat="1" ht="28">
      <c r="A14" s="191" t="s">
        <v>1035</v>
      </c>
      <c r="B14" s="192"/>
      <c r="C14" s="193"/>
      <c r="D14" s="191"/>
      <c r="E14" s="53"/>
      <c r="F14" s="53"/>
      <c r="G14" s="53"/>
      <c r="H14" s="53"/>
      <c r="I14" s="53"/>
      <c r="J14" s="53"/>
      <c r="K14" s="53"/>
      <c r="L14" s="53"/>
      <c r="M14" s="53"/>
    </row>
    <row r="15" spans="1:13" s="37" customFormat="1" ht="84">
      <c r="A15" s="191" t="s">
        <v>1180</v>
      </c>
      <c r="B15" s="192"/>
      <c r="C15" s="193"/>
      <c r="D15" s="191" t="s">
        <v>1181</v>
      </c>
      <c r="E15" s="53"/>
      <c r="F15" s="53"/>
      <c r="G15" s="53"/>
      <c r="H15" s="53"/>
      <c r="I15" s="53"/>
      <c r="J15" s="53"/>
      <c r="K15" s="53"/>
      <c r="L15" s="53"/>
      <c r="M15" s="53"/>
    </row>
    <row r="16" spans="1:13" s="37" customFormat="1" ht="21">
      <c r="A16" s="50" t="s">
        <v>222</v>
      </c>
      <c r="B16" s="38"/>
      <c r="C16" s="49"/>
      <c r="D16" s="49"/>
      <c r="E16" s="53"/>
      <c r="F16" s="53"/>
      <c r="G16" s="53"/>
      <c r="H16" s="53"/>
      <c r="I16" s="53"/>
      <c r="J16" s="53"/>
      <c r="K16" s="53"/>
      <c r="L16" s="53"/>
      <c r="M16" s="53"/>
    </row>
    <row r="17" spans="1:13" s="37" customFormat="1" ht="42">
      <c r="A17" s="43" t="s">
        <v>1036</v>
      </c>
      <c r="B17" s="192"/>
      <c r="C17" s="193"/>
      <c r="D17" s="191"/>
      <c r="E17" s="53"/>
      <c r="F17" s="53"/>
      <c r="G17" s="53"/>
      <c r="H17" s="53"/>
      <c r="I17" s="53"/>
      <c r="J17" s="53"/>
      <c r="K17" s="53"/>
      <c r="L17" s="53"/>
      <c r="M17" s="53"/>
    </row>
    <row r="18" spans="1:13" s="37" customFormat="1" ht="154">
      <c r="A18" s="43" t="s">
        <v>1095</v>
      </c>
      <c r="B18" s="192"/>
      <c r="C18" s="193"/>
      <c r="D18" s="191" t="s">
        <v>1182</v>
      </c>
      <c r="E18" s="53"/>
      <c r="F18" s="53"/>
      <c r="G18" s="53"/>
      <c r="H18" s="53"/>
      <c r="I18" s="53"/>
      <c r="J18" s="53"/>
      <c r="K18" s="53"/>
      <c r="L18" s="53"/>
      <c r="M18" s="53"/>
    </row>
    <row r="19" spans="1:13" s="37" customFormat="1" ht="21">
      <c r="A19" s="50" t="s">
        <v>1203</v>
      </c>
      <c r="B19" s="38"/>
      <c r="C19" s="49"/>
      <c r="D19" s="49"/>
      <c r="E19" s="53"/>
      <c r="F19" s="53"/>
      <c r="G19" s="53"/>
      <c r="H19" s="53"/>
      <c r="I19" s="53"/>
      <c r="J19" s="53"/>
      <c r="K19" s="53"/>
      <c r="L19" s="53"/>
      <c r="M19" s="53"/>
    </row>
    <row r="20" spans="1:13" s="37" customFormat="1" ht="28">
      <c r="A20" s="191" t="s">
        <v>1253</v>
      </c>
      <c r="B20" s="192"/>
      <c r="C20" s="193"/>
      <c r="D20" s="191" t="s">
        <v>1183</v>
      </c>
      <c r="E20" s="53"/>
      <c r="F20" s="53"/>
      <c r="G20" s="53"/>
      <c r="H20" s="53"/>
      <c r="I20" s="53"/>
      <c r="J20" s="53"/>
      <c r="K20" s="53"/>
      <c r="L20" s="53"/>
      <c r="M20" s="53"/>
    </row>
    <row r="21" spans="1:13" s="37" customFormat="1" ht="56">
      <c r="A21" s="191" t="s">
        <v>1037</v>
      </c>
      <c r="B21" s="192"/>
      <c r="C21" s="193"/>
      <c r="D21" s="191"/>
      <c r="E21" s="53"/>
      <c r="F21" s="53"/>
      <c r="G21" s="53"/>
      <c r="H21" s="53"/>
      <c r="I21" s="53"/>
      <c r="J21" s="53"/>
      <c r="K21" s="53"/>
      <c r="L21" s="53"/>
      <c r="M21" s="53"/>
    </row>
    <row r="22" spans="1:13" s="37" customFormat="1" ht="21">
      <c r="A22" s="50" t="s">
        <v>1204</v>
      </c>
      <c r="B22" s="38"/>
      <c r="C22" s="49"/>
      <c r="D22" s="49"/>
      <c r="E22" s="53"/>
      <c r="F22" s="53"/>
      <c r="G22" s="53"/>
      <c r="H22" s="53"/>
      <c r="I22" s="53"/>
      <c r="J22" s="53"/>
      <c r="K22" s="53"/>
      <c r="L22" s="53"/>
      <c r="M22" s="53"/>
    </row>
    <row r="23" spans="1:13" s="37" customFormat="1" ht="42">
      <c r="A23" s="43" t="s">
        <v>1254</v>
      </c>
      <c r="B23" s="192"/>
      <c r="C23" s="193"/>
      <c r="D23" s="43" t="s">
        <v>1202</v>
      </c>
      <c r="E23" s="53"/>
      <c r="F23" s="53"/>
      <c r="G23" s="53"/>
      <c r="H23" s="53"/>
      <c r="I23" s="53"/>
      <c r="J23" s="53"/>
      <c r="K23" s="53"/>
      <c r="L23" s="53"/>
      <c r="M23" s="53"/>
    </row>
    <row r="24" spans="1:13" s="37" customFormat="1">
      <c r="A24" s="44"/>
      <c r="B24" s="42"/>
      <c r="C24" s="44"/>
      <c r="D24" s="44"/>
      <c r="E24" s="53"/>
      <c r="F24" s="53"/>
      <c r="G24" s="53"/>
      <c r="H24" s="53"/>
      <c r="I24" s="53"/>
      <c r="J24" s="53"/>
      <c r="K24" s="53"/>
      <c r="L24" s="53"/>
      <c r="M24" s="53"/>
    </row>
    <row r="25" spans="1:13" s="51" customFormat="1">
      <c r="B25" s="52"/>
    </row>
    <row r="26" spans="1:13" s="51" customFormat="1">
      <c r="B26" s="52"/>
    </row>
    <row r="27" spans="1:13" s="51" customFormat="1">
      <c r="B27" s="52"/>
    </row>
    <row r="28" spans="1:13" s="51" customFormat="1">
      <c r="B28" s="52"/>
    </row>
    <row r="29" spans="1:13" s="51" customFormat="1">
      <c r="B29" s="52"/>
    </row>
    <row r="30" spans="1:13" s="51" customFormat="1">
      <c r="B30" s="52"/>
    </row>
    <row r="31" spans="1:13" s="51" customFormat="1">
      <c r="B31" s="52"/>
    </row>
    <row r="32" spans="1:13" s="51" customFormat="1">
      <c r="B32" s="52"/>
    </row>
    <row r="33" spans="2:2" s="51" customFormat="1">
      <c r="B33" s="52"/>
    </row>
    <row r="34" spans="2:2" s="51" customFormat="1">
      <c r="B34" s="52"/>
    </row>
    <row r="35" spans="2:2" s="51" customFormat="1">
      <c r="B35" s="52"/>
    </row>
    <row r="36" spans="2:2" s="51" customFormat="1">
      <c r="B36" s="52"/>
    </row>
    <row r="37" spans="2:2" s="51" customFormat="1">
      <c r="B37" s="52"/>
    </row>
    <row r="38" spans="2:2" s="51" customFormat="1">
      <c r="B38" s="52"/>
    </row>
    <row r="39" spans="2:2" s="51" customFormat="1">
      <c r="B39" s="52"/>
    </row>
    <row r="40" spans="2:2" s="51" customFormat="1">
      <c r="B40" s="52"/>
    </row>
    <row r="41" spans="2:2" s="51" customFormat="1">
      <c r="B41" s="52"/>
    </row>
    <row r="42" spans="2:2" s="51" customFormat="1">
      <c r="B42" s="52"/>
    </row>
    <row r="43" spans="2:2" s="51" customFormat="1">
      <c r="B43" s="52"/>
    </row>
    <row r="44" spans="2:2" s="51" customFormat="1">
      <c r="B44" s="52"/>
    </row>
    <row r="45" spans="2:2" s="51" customFormat="1">
      <c r="B45" s="52"/>
    </row>
    <row r="46" spans="2:2" s="51" customFormat="1">
      <c r="B46" s="52"/>
    </row>
    <row r="47" spans="2:2" s="51" customFormat="1">
      <c r="B47" s="52"/>
    </row>
    <row r="48" spans="2:2" s="51" customFormat="1">
      <c r="B48" s="52"/>
    </row>
    <row r="49" spans="2:2" s="51" customFormat="1">
      <c r="B49" s="52"/>
    </row>
    <row r="50" spans="2:2" s="51" customFormat="1">
      <c r="B50" s="52"/>
    </row>
    <row r="51" spans="2:2" s="51" customFormat="1">
      <c r="B51" s="52"/>
    </row>
    <row r="52" spans="2:2" s="51" customFormat="1">
      <c r="B52" s="52"/>
    </row>
    <row r="53" spans="2:2" s="51" customFormat="1">
      <c r="B53" s="52"/>
    </row>
    <row r="54" spans="2:2" s="51" customFormat="1">
      <c r="B54" s="52"/>
    </row>
    <row r="55" spans="2:2" s="51" customFormat="1">
      <c r="B55" s="52"/>
    </row>
    <row r="56" spans="2:2" s="51" customFormat="1">
      <c r="B56" s="52"/>
    </row>
    <row r="57" spans="2:2" s="51" customFormat="1">
      <c r="B57" s="52"/>
    </row>
    <row r="58" spans="2:2" s="51" customFormat="1">
      <c r="B58" s="52"/>
    </row>
    <row r="59" spans="2:2" s="51" customFormat="1">
      <c r="B59" s="52"/>
    </row>
    <row r="60" spans="2:2" s="51" customFormat="1">
      <c r="B60" s="52"/>
    </row>
    <row r="61" spans="2:2" s="51" customFormat="1">
      <c r="B61" s="52"/>
    </row>
    <row r="62" spans="2:2" s="51" customFormat="1">
      <c r="B62" s="52"/>
    </row>
    <row r="63" spans="2:2" s="51" customFormat="1">
      <c r="B63" s="52"/>
    </row>
    <row r="64" spans="2:2" s="51" customFormat="1">
      <c r="B64" s="52"/>
    </row>
    <row r="65" spans="2:2" s="51" customFormat="1">
      <c r="B65" s="52"/>
    </row>
    <row r="66" spans="2:2" s="51" customFormat="1">
      <c r="B66" s="52"/>
    </row>
    <row r="67" spans="2:2" s="51" customFormat="1">
      <c r="B67" s="52"/>
    </row>
    <row r="68" spans="2:2" s="51" customFormat="1">
      <c r="B68" s="52"/>
    </row>
    <row r="69" spans="2:2" s="51" customFormat="1">
      <c r="B69" s="52"/>
    </row>
    <row r="70" spans="2:2" s="51" customFormat="1">
      <c r="B70" s="52"/>
    </row>
    <row r="71" spans="2:2" s="51" customFormat="1">
      <c r="B71" s="52"/>
    </row>
    <row r="72" spans="2:2" s="51" customFormat="1">
      <c r="B72" s="52"/>
    </row>
    <row r="73" spans="2:2" s="51" customFormat="1">
      <c r="B73" s="52"/>
    </row>
    <row r="74" spans="2:2" s="51" customFormat="1">
      <c r="B74" s="52"/>
    </row>
    <row r="75" spans="2:2" s="51" customFormat="1">
      <c r="B75" s="52"/>
    </row>
    <row r="76" spans="2:2" s="51" customFormat="1">
      <c r="B76" s="52"/>
    </row>
    <row r="77" spans="2:2" s="51" customFormat="1">
      <c r="B77" s="52"/>
    </row>
    <row r="78" spans="2:2" s="51" customFormat="1">
      <c r="B78" s="52"/>
    </row>
    <row r="79" spans="2:2" s="51" customFormat="1">
      <c r="B79" s="52"/>
    </row>
    <row r="80" spans="2:2" s="51" customFormat="1">
      <c r="B80" s="52"/>
    </row>
    <row r="81" spans="2:2" s="51" customFormat="1">
      <c r="B81" s="52"/>
    </row>
    <row r="82" spans="2:2" s="51" customFormat="1">
      <c r="B82" s="52"/>
    </row>
    <row r="83" spans="2:2" s="51" customFormat="1">
      <c r="B83" s="52"/>
    </row>
    <row r="84" spans="2:2" s="51" customFormat="1">
      <c r="B84" s="52"/>
    </row>
    <row r="85" spans="2:2" s="51" customFormat="1">
      <c r="B85" s="52"/>
    </row>
    <row r="86" spans="2:2" s="51" customFormat="1">
      <c r="B86" s="52"/>
    </row>
    <row r="87" spans="2:2" s="51" customFormat="1">
      <c r="B87" s="52"/>
    </row>
    <row r="88" spans="2:2" s="51" customFormat="1">
      <c r="B88" s="52"/>
    </row>
    <row r="89" spans="2:2" s="51" customFormat="1">
      <c r="B89" s="52"/>
    </row>
    <row r="90" spans="2:2" s="51" customFormat="1">
      <c r="B90" s="52"/>
    </row>
    <row r="91" spans="2:2" s="51" customFormat="1">
      <c r="B91" s="52"/>
    </row>
    <row r="92" spans="2:2" s="51" customFormat="1">
      <c r="B92" s="52"/>
    </row>
    <row r="93" spans="2:2" s="51" customFormat="1">
      <c r="B93" s="52"/>
    </row>
    <row r="94" spans="2:2" s="51" customFormat="1">
      <c r="B94" s="52"/>
    </row>
    <row r="95" spans="2:2" s="51" customFormat="1">
      <c r="B95" s="52"/>
    </row>
    <row r="96" spans="2:2" s="51" customFormat="1">
      <c r="B96" s="52"/>
    </row>
    <row r="97" spans="2:2" s="51" customFormat="1">
      <c r="B97" s="52"/>
    </row>
    <row r="98" spans="2:2" s="51" customFormat="1">
      <c r="B98" s="52"/>
    </row>
    <row r="99" spans="2:2" s="51" customFormat="1">
      <c r="B99" s="52"/>
    </row>
    <row r="100" spans="2:2" s="51" customFormat="1">
      <c r="B100" s="52"/>
    </row>
    <row r="101" spans="2:2" s="51" customFormat="1">
      <c r="B101" s="52"/>
    </row>
    <row r="102" spans="2:2" s="51" customFormat="1">
      <c r="B102" s="52"/>
    </row>
    <row r="103" spans="2:2" s="51" customFormat="1">
      <c r="B103" s="52"/>
    </row>
    <row r="104" spans="2:2" s="51" customFormat="1">
      <c r="B104" s="52"/>
    </row>
    <row r="105" spans="2:2" s="51" customFormat="1">
      <c r="B105" s="52"/>
    </row>
    <row r="106" spans="2:2" s="51" customFormat="1">
      <c r="B106" s="52"/>
    </row>
    <row r="107" spans="2:2" s="51" customFormat="1">
      <c r="B107" s="52"/>
    </row>
    <row r="108" spans="2:2" s="51" customFormat="1">
      <c r="B108" s="52"/>
    </row>
    <row r="109" spans="2:2" s="51" customFormat="1">
      <c r="B109" s="52"/>
    </row>
    <row r="110" spans="2:2" s="51" customFormat="1">
      <c r="B110" s="52"/>
    </row>
    <row r="111" spans="2:2" s="51" customFormat="1">
      <c r="B111" s="52"/>
    </row>
    <row r="112" spans="2:2" s="51" customFormat="1">
      <c r="B112" s="52"/>
    </row>
    <row r="113" spans="2:2" s="51" customFormat="1">
      <c r="B113" s="52"/>
    </row>
    <row r="114" spans="2:2" s="51" customFormat="1">
      <c r="B114" s="52"/>
    </row>
    <row r="115" spans="2:2" s="51" customFormat="1">
      <c r="B115" s="52"/>
    </row>
    <row r="116" spans="2:2" s="51" customFormat="1">
      <c r="B116" s="52"/>
    </row>
    <row r="117" spans="2:2" s="51" customFormat="1">
      <c r="B117" s="52"/>
    </row>
    <row r="118" spans="2:2" s="51" customFormat="1">
      <c r="B118" s="52"/>
    </row>
    <row r="119" spans="2:2" s="51" customFormat="1">
      <c r="B119" s="52"/>
    </row>
    <row r="120" spans="2:2" s="51" customFormat="1">
      <c r="B120" s="52"/>
    </row>
    <row r="121" spans="2:2" s="51" customFormat="1">
      <c r="B121" s="52"/>
    </row>
    <row r="122" spans="2:2" s="51" customFormat="1">
      <c r="B122" s="52"/>
    </row>
    <row r="123" spans="2:2" s="51" customFormat="1">
      <c r="B123" s="52"/>
    </row>
    <row r="124" spans="2:2" s="51" customFormat="1">
      <c r="B124" s="52"/>
    </row>
    <row r="125" spans="2:2" s="51" customFormat="1">
      <c r="B125" s="52"/>
    </row>
    <row r="126" spans="2:2" s="51" customFormat="1">
      <c r="B126" s="52"/>
    </row>
    <row r="127" spans="2:2" s="51" customFormat="1">
      <c r="B127" s="52"/>
    </row>
    <row r="128" spans="2:2" s="51" customFormat="1">
      <c r="B128" s="52"/>
    </row>
    <row r="129" spans="2:2" s="51" customFormat="1">
      <c r="B129" s="52"/>
    </row>
    <row r="130" spans="2:2" s="51" customFormat="1">
      <c r="B130" s="52"/>
    </row>
    <row r="131" spans="2:2" s="51" customFormat="1">
      <c r="B131" s="52"/>
    </row>
    <row r="132" spans="2:2" s="51" customFormat="1">
      <c r="B132" s="52"/>
    </row>
    <row r="133" spans="2:2" s="51" customFormat="1">
      <c r="B133" s="52"/>
    </row>
    <row r="134" spans="2:2" s="51" customFormat="1">
      <c r="B134" s="52"/>
    </row>
    <row r="135" spans="2:2" s="51" customFormat="1">
      <c r="B135" s="52"/>
    </row>
    <row r="136" spans="2:2" s="51" customFormat="1">
      <c r="B136" s="52"/>
    </row>
    <row r="137" spans="2:2" s="51" customFormat="1">
      <c r="B137" s="52"/>
    </row>
    <row r="138" spans="2:2" s="51" customFormat="1">
      <c r="B138" s="52"/>
    </row>
    <row r="139" spans="2:2" s="51" customFormat="1">
      <c r="B139" s="52"/>
    </row>
    <row r="140" spans="2:2" s="51" customFormat="1">
      <c r="B140" s="52"/>
    </row>
    <row r="141" spans="2:2" s="51" customFormat="1">
      <c r="B141" s="52"/>
    </row>
    <row r="142" spans="2:2" s="51" customFormat="1">
      <c r="B142" s="52"/>
    </row>
    <row r="143" spans="2:2" s="51" customFormat="1">
      <c r="B143" s="52"/>
    </row>
    <row r="144" spans="2:2" s="51" customFormat="1">
      <c r="B144" s="52"/>
    </row>
    <row r="145" spans="2:2" s="51" customFormat="1">
      <c r="B145" s="52"/>
    </row>
    <row r="146" spans="2:2" s="51" customFormat="1">
      <c r="B146" s="52"/>
    </row>
    <row r="147" spans="2:2" s="51" customFormat="1">
      <c r="B147" s="52"/>
    </row>
    <row r="148" spans="2:2" s="51" customFormat="1">
      <c r="B148" s="52"/>
    </row>
    <row r="149" spans="2:2" s="51" customFormat="1">
      <c r="B149" s="52"/>
    </row>
    <row r="150" spans="2:2" s="51" customFormat="1">
      <c r="B150" s="52"/>
    </row>
    <row r="151" spans="2:2" s="51" customFormat="1">
      <c r="B151" s="52"/>
    </row>
    <row r="152" spans="2:2" s="51" customFormat="1">
      <c r="B152" s="52"/>
    </row>
    <row r="153" spans="2:2" s="51" customFormat="1">
      <c r="B153" s="52"/>
    </row>
    <row r="154" spans="2:2" s="51" customFormat="1">
      <c r="B154" s="52"/>
    </row>
    <row r="155" spans="2:2" s="51" customFormat="1">
      <c r="B155" s="52"/>
    </row>
    <row r="156" spans="2:2" s="51" customFormat="1">
      <c r="B156" s="52"/>
    </row>
    <row r="157" spans="2:2" s="51" customFormat="1">
      <c r="B157" s="52"/>
    </row>
    <row r="158" spans="2:2" s="51" customFormat="1">
      <c r="B158" s="52"/>
    </row>
    <row r="159" spans="2:2" s="51" customFormat="1">
      <c r="B159" s="52"/>
    </row>
    <row r="160" spans="2:2" s="51" customFormat="1">
      <c r="B160" s="52"/>
    </row>
    <row r="161" spans="2:2" s="51" customFormat="1">
      <c r="B161" s="52"/>
    </row>
    <row r="162" spans="2:2" s="51" customFormat="1">
      <c r="B162" s="52"/>
    </row>
    <row r="163" spans="2:2" s="51" customFormat="1">
      <c r="B163" s="52"/>
    </row>
    <row r="164" spans="2:2" s="51" customFormat="1">
      <c r="B164" s="52"/>
    </row>
    <row r="165" spans="2:2" s="51" customFormat="1">
      <c r="B165" s="52"/>
    </row>
    <row r="166" spans="2:2" s="51" customFormat="1">
      <c r="B166" s="52"/>
    </row>
    <row r="167" spans="2:2" s="51" customFormat="1">
      <c r="B167" s="52"/>
    </row>
    <row r="168" spans="2:2" s="51" customFormat="1">
      <c r="B168" s="52"/>
    </row>
    <row r="169" spans="2:2" s="51" customFormat="1">
      <c r="B169" s="52"/>
    </row>
    <row r="170" spans="2:2" s="51" customFormat="1">
      <c r="B170" s="52"/>
    </row>
    <row r="171" spans="2:2" s="51" customFormat="1">
      <c r="B171" s="52"/>
    </row>
    <row r="172" spans="2:2" s="51" customFormat="1">
      <c r="B172" s="52"/>
    </row>
    <row r="173" spans="2:2" s="51" customFormat="1">
      <c r="B173" s="52"/>
    </row>
    <row r="174" spans="2:2" s="51" customFormat="1">
      <c r="B174" s="52"/>
    </row>
    <row r="175" spans="2:2" s="51" customFormat="1">
      <c r="B175" s="52"/>
    </row>
    <row r="176" spans="2:2" s="51" customFormat="1">
      <c r="B176" s="52"/>
    </row>
    <row r="177" spans="2:2" s="51" customFormat="1">
      <c r="B177" s="52"/>
    </row>
    <row r="178" spans="2:2" s="51" customFormat="1">
      <c r="B178" s="52"/>
    </row>
    <row r="179" spans="2:2" s="51" customFormat="1">
      <c r="B179" s="52"/>
    </row>
    <row r="180" spans="2:2" s="51" customFormat="1">
      <c r="B180" s="52"/>
    </row>
    <row r="181" spans="2:2" s="51" customFormat="1">
      <c r="B181" s="52"/>
    </row>
    <row r="182" spans="2:2" s="51" customFormat="1">
      <c r="B182" s="52"/>
    </row>
    <row r="183" spans="2:2" s="51" customFormat="1">
      <c r="B183" s="52"/>
    </row>
    <row r="184" spans="2:2" s="51" customFormat="1">
      <c r="B184" s="52"/>
    </row>
    <row r="185" spans="2:2" s="51" customFormat="1">
      <c r="B185" s="52"/>
    </row>
    <row r="186" spans="2:2" s="51" customFormat="1">
      <c r="B186" s="52"/>
    </row>
    <row r="187" spans="2:2" s="51" customFormat="1">
      <c r="B187" s="52"/>
    </row>
    <row r="188" spans="2:2" s="51" customFormat="1">
      <c r="B188" s="52"/>
    </row>
    <row r="189" spans="2:2" s="51" customFormat="1">
      <c r="B189" s="52"/>
    </row>
    <row r="190" spans="2:2" s="51" customFormat="1">
      <c r="B190" s="52"/>
    </row>
    <row r="191" spans="2:2" s="51" customFormat="1">
      <c r="B191" s="52"/>
    </row>
    <row r="192" spans="2:2" s="51" customFormat="1">
      <c r="B192" s="52"/>
    </row>
    <row r="193" spans="2:2" s="51" customFormat="1">
      <c r="B193" s="52"/>
    </row>
    <row r="194" spans="2:2" s="51" customFormat="1">
      <c r="B194" s="52"/>
    </row>
    <row r="195" spans="2:2" s="51" customFormat="1">
      <c r="B195" s="52"/>
    </row>
    <row r="196" spans="2:2" s="51" customFormat="1">
      <c r="B196" s="52"/>
    </row>
    <row r="197" spans="2:2" s="51" customFormat="1">
      <c r="B197" s="52"/>
    </row>
    <row r="198" spans="2:2" s="51" customFormat="1">
      <c r="B198" s="52"/>
    </row>
    <row r="199" spans="2:2" s="51" customFormat="1">
      <c r="B199" s="52"/>
    </row>
    <row r="200" spans="2:2" s="51" customFormat="1">
      <c r="B200" s="52"/>
    </row>
    <row r="201" spans="2:2" s="51" customFormat="1">
      <c r="B201" s="52"/>
    </row>
    <row r="202" spans="2:2" s="51" customFormat="1">
      <c r="B202" s="52"/>
    </row>
    <row r="203" spans="2:2" s="51" customFormat="1">
      <c r="B203" s="52"/>
    </row>
    <row r="204" spans="2:2" s="51" customFormat="1">
      <c r="B204" s="52"/>
    </row>
    <row r="205" spans="2:2" s="51" customFormat="1">
      <c r="B205" s="52"/>
    </row>
    <row r="206" spans="2:2" s="51" customFormat="1">
      <c r="B206" s="52"/>
    </row>
    <row r="207" spans="2:2" s="51" customFormat="1">
      <c r="B207" s="52"/>
    </row>
    <row r="208" spans="2:2" s="51" customFormat="1">
      <c r="B208" s="52"/>
    </row>
    <row r="209" spans="2:2" s="51" customFormat="1">
      <c r="B209" s="52"/>
    </row>
    <row r="210" spans="2:2" s="51" customFormat="1">
      <c r="B210" s="52"/>
    </row>
    <row r="211" spans="2:2" s="51" customFormat="1">
      <c r="B211" s="52"/>
    </row>
    <row r="212" spans="2:2" s="51" customFormat="1">
      <c r="B212" s="52"/>
    </row>
    <row r="213" spans="2:2" s="51" customFormat="1">
      <c r="B213" s="52"/>
    </row>
    <row r="214" spans="2:2" s="51" customFormat="1">
      <c r="B214" s="52"/>
    </row>
    <row r="215" spans="2:2" s="51" customFormat="1">
      <c r="B215" s="52"/>
    </row>
    <row r="216" spans="2:2" s="51" customFormat="1">
      <c r="B216" s="52"/>
    </row>
    <row r="217" spans="2:2" s="51" customFormat="1">
      <c r="B217" s="52"/>
    </row>
    <row r="218" spans="2:2" s="51" customFormat="1">
      <c r="B218" s="52"/>
    </row>
    <row r="219" spans="2:2" s="51" customFormat="1">
      <c r="B219" s="52"/>
    </row>
    <row r="220" spans="2:2" s="51" customFormat="1">
      <c r="B220" s="52"/>
    </row>
    <row r="221" spans="2:2" s="51" customFormat="1">
      <c r="B221" s="52"/>
    </row>
    <row r="222" spans="2:2" s="51" customFormat="1">
      <c r="B222" s="52"/>
    </row>
    <row r="223" spans="2:2" s="51" customFormat="1">
      <c r="B223" s="52"/>
    </row>
    <row r="224" spans="2:2" s="51" customFormat="1">
      <c r="B224" s="52"/>
    </row>
    <row r="225" spans="2:2" s="51" customFormat="1">
      <c r="B225" s="52"/>
    </row>
    <row r="226" spans="2:2" s="51" customFormat="1">
      <c r="B226" s="52"/>
    </row>
    <row r="227" spans="2:2" s="51" customFormat="1">
      <c r="B227" s="52"/>
    </row>
    <row r="228" spans="2:2" s="51" customFormat="1">
      <c r="B228" s="52"/>
    </row>
    <row r="229" spans="2:2" s="51" customFormat="1">
      <c r="B229" s="52"/>
    </row>
    <row r="230" spans="2:2" s="51" customFormat="1">
      <c r="B230" s="52"/>
    </row>
    <row r="231" spans="2:2" s="51" customFormat="1">
      <c r="B231" s="52"/>
    </row>
    <row r="232" spans="2:2" s="51" customFormat="1">
      <c r="B232" s="52"/>
    </row>
    <row r="233" spans="2:2" s="51" customFormat="1">
      <c r="B233" s="52"/>
    </row>
    <row r="234" spans="2:2" s="51" customFormat="1">
      <c r="B234" s="52"/>
    </row>
    <row r="235" spans="2:2" s="51" customFormat="1">
      <c r="B235" s="52"/>
    </row>
    <row r="236" spans="2:2" s="51" customFormat="1">
      <c r="B236" s="52"/>
    </row>
    <row r="237" spans="2:2" s="51" customFormat="1">
      <c r="B237" s="52"/>
    </row>
    <row r="238" spans="2:2" s="51" customFormat="1">
      <c r="B238" s="52"/>
    </row>
    <row r="239" spans="2:2" s="51" customFormat="1">
      <c r="B239" s="52"/>
    </row>
    <row r="240" spans="2:2" s="51" customFormat="1">
      <c r="B240" s="52"/>
    </row>
    <row r="241" spans="2:2" s="51" customFormat="1">
      <c r="B241" s="52"/>
    </row>
    <row r="242" spans="2:2" s="51" customFormat="1">
      <c r="B242" s="52"/>
    </row>
    <row r="243" spans="2:2" s="51" customFormat="1">
      <c r="B243" s="52"/>
    </row>
    <row r="244" spans="2:2" s="51" customFormat="1">
      <c r="B244" s="52"/>
    </row>
    <row r="245" spans="2:2" s="51" customFormat="1">
      <c r="B245" s="52"/>
    </row>
    <row r="246" spans="2:2" s="51" customFormat="1">
      <c r="B246" s="52"/>
    </row>
    <row r="247" spans="2:2" s="51" customFormat="1">
      <c r="B247" s="52"/>
    </row>
    <row r="248" spans="2:2" s="51" customFormat="1">
      <c r="B248" s="52"/>
    </row>
    <row r="249" spans="2:2" s="51" customFormat="1">
      <c r="B249" s="52"/>
    </row>
    <row r="250" spans="2:2" s="51" customFormat="1">
      <c r="B250" s="52"/>
    </row>
    <row r="251" spans="2:2" s="51" customFormat="1">
      <c r="B251" s="52"/>
    </row>
    <row r="252" spans="2:2" s="51" customFormat="1">
      <c r="B252" s="52"/>
    </row>
    <row r="253" spans="2:2" s="51" customFormat="1">
      <c r="B253" s="52"/>
    </row>
    <row r="254" spans="2:2" s="51" customFormat="1">
      <c r="B254" s="52"/>
    </row>
    <row r="255" spans="2:2" s="51" customFormat="1">
      <c r="B255" s="52"/>
    </row>
    <row r="256" spans="2:2" s="51" customFormat="1">
      <c r="B256" s="52"/>
    </row>
    <row r="257" spans="2:2" s="51" customFormat="1">
      <c r="B257" s="52"/>
    </row>
    <row r="258" spans="2:2" s="51" customFormat="1">
      <c r="B258" s="52"/>
    </row>
    <row r="259" spans="2:2" s="51" customFormat="1">
      <c r="B259" s="52"/>
    </row>
    <row r="260" spans="2:2" s="51" customFormat="1">
      <c r="B260" s="52"/>
    </row>
    <row r="261" spans="2:2" s="51" customFormat="1">
      <c r="B261" s="52"/>
    </row>
    <row r="262" spans="2:2" s="51" customFormat="1">
      <c r="B262" s="52"/>
    </row>
    <row r="263" spans="2:2" s="51" customFormat="1">
      <c r="B263" s="52"/>
    </row>
    <row r="264" spans="2:2" s="51" customFormat="1">
      <c r="B264" s="52"/>
    </row>
    <row r="265" spans="2:2" s="51" customFormat="1">
      <c r="B265" s="52"/>
    </row>
    <row r="266" spans="2:2" s="51" customFormat="1">
      <c r="B266" s="52"/>
    </row>
    <row r="267" spans="2:2" s="51" customFormat="1">
      <c r="B267" s="52"/>
    </row>
    <row r="268" spans="2:2" s="51" customFormat="1">
      <c r="B268" s="52"/>
    </row>
    <row r="269" spans="2:2" s="51" customFormat="1">
      <c r="B269" s="52"/>
    </row>
    <row r="270" spans="2:2" s="51" customFormat="1">
      <c r="B270" s="52"/>
    </row>
    <row r="271" spans="2:2" s="51" customFormat="1">
      <c r="B271" s="52"/>
    </row>
    <row r="272" spans="2:2" s="51" customFormat="1">
      <c r="B272" s="52"/>
    </row>
    <row r="273" spans="2:2" s="51" customFormat="1">
      <c r="B273" s="52"/>
    </row>
    <row r="274" spans="2:2" s="51" customFormat="1">
      <c r="B274" s="52"/>
    </row>
    <row r="275" spans="2:2" s="51" customFormat="1">
      <c r="B275" s="52"/>
    </row>
    <row r="276" spans="2:2" s="51" customFormat="1">
      <c r="B276" s="52"/>
    </row>
    <row r="277" spans="2:2" s="51" customFormat="1">
      <c r="B277" s="52"/>
    </row>
    <row r="278" spans="2:2" s="51" customFormat="1">
      <c r="B278" s="52"/>
    </row>
    <row r="279" spans="2:2" s="51" customFormat="1">
      <c r="B279" s="52"/>
    </row>
    <row r="280" spans="2:2" s="51" customFormat="1">
      <c r="B280" s="52"/>
    </row>
    <row r="281" spans="2:2" s="51" customFormat="1">
      <c r="B281" s="52"/>
    </row>
    <row r="282" spans="2:2" s="51" customFormat="1">
      <c r="B282" s="52"/>
    </row>
    <row r="283" spans="2:2" s="51" customFormat="1">
      <c r="B283" s="52"/>
    </row>
    <row r="284" spans="2:2" s="51" customFormat="1">
      <c r="B284" s="52"/>
    </row>
    <row r="285" spans="2:2" s="51" customFormat="1">
      <c r="B285" s="52"/>
    </row>
    <row r="286" spans="2:2" s="51" customFormat="1">
      <c r="B286" s="52"/>
    </row>
    <row r="287" spans="2:2" s="51" customFormat="1">
      <c r="B287" s="52"/>
    </row>
    <row r="288" spans="2:2" s="51" customFormat="1">
      <c r="B288" s="52"/>
    </row>
    <row r="289" spans="2:2" s="51" customFormat="1">
      <c r="B289" s="52"/>
    </row>
    <row r="290" spans="2:2" s="51" customFormat="1">
      <c r="B290" s="52"/>
    </row>
    <row r="291" spans="2:2" s="51" customFormat="1">
      <c r="B291" s="52"/>
    </row>
    <row r="292" spans="2:2" s="51" customFormat="1">
      <c r="B292" s="52"/>
    </row>
    <row r="293" spans="2:2" s="51" customFormat="1">
      <c r="B293" s="52"/>
    </row>
    <row r="294" spans="2:2" s="51" customFormat="1">
      <c r="B294" s="52"/>
    </row>
    <row r="295" spans="2:2" s="51" customFormat="1">
      <c r="B295" s="52"/>
    </row>
    <row r="296" spans="2:2" s="51" customFormat="1">
      <c r="B296" s="52"/>
    </row>
    <row r="297" spans="2:2" s="51" customFormat="1">
      <c r="B297" s="52"/>
    </row>
    <row r="298" spans="2:2" s="51" customFormat="1">
      <c r="B298" s="52"/>
    </row>
    <row r="299" spans="2:2" s="51" customFormat="1">
      <c r="B299" s="52"/>
    </row>
    <row r="300" spans="2:2" s="51" customFormat="1">
      <c r="B300" s="52"/>
    </row>
    <row r="301" spans="2:2" s="51" customFormat="1">
      <c r="B301" s="52"/>
    </row>
    <row r="302" spans="2:2" s="51" customFormat="1">
      <c r="B302" s="52"/>
    </row>
    <row r="303" spans="2:2" s="51" customFormat="1">
      <c r="B303" s="52"/>
    </row>
    <row r="304" spans="2:2" s="51" customFormat="1">
      <c r="B304" s="52"/>
    </row>
    <row r="305" spans="2:2" s="51" customFormat="1">
      <c r="B305" s="52"/>
    </row>
    <row r="306" spans="2:2" s="51" customFormat="1">
      <c r="B306" s="52"/>
    </row>
    <row r="307" spans="2:2" s="51" customFormat="1">
      <c r="B307" s="52"/>
    </row>
    <row r="308" spans="2:2" s="51" customFormat="1">
      <c r="B308" s="52"/>
    </row>
    <row r="309" spans="2:2" s="51" customFormat="1">
      <c r="B309" s="52"/>
    </row>
    <row r="310" spans="2:2" s="51" customFormat="1">
      <c r="B310" s="52"/>
    </row>
    <row r="311" spans="2:2" s="51" customFormat="1">
      <c r="B311" s="52"/>
    </row>
    <row r="312" spans="2:2" s="51" customFormat="1">
      <c r="B312" s="52"/>
    </row>
    <row r="313" spans="2:2" s="51" customFormat="1">
      <c r="B313" s="52"/>
    </row>
    <row r="314" spans="2:2" s="51" customFormat="1">
      <c r="B314" s="52"/>
    </row>
    <row r="315" spans="2:2" s="51" customFormat="1">
      <c r="B315" s="52"/>
    </row>
    <row r="316" spans="2:2" s="51" customFormat="1">
      <c r="B316" s="52"/>
    </row>
    <row r="317" spans="2:2" s="51" customFormat="1">
      <c r="B317" s="52"/>
    </row>
    <row r="318" spans="2:2" s="51" customFormat="1">
      <c r="B318" s="52"/>
    </row>
    <row r="319" spans="2:2" s="51" customFormat="1">
      <c r="B319" s="52"/>
    </row>
    <row r="320" spans="2:2" s="51" customFormat="1">
      <c r="B320" s="52"/>
    </row>
    <row r="321" spans="2:2" s="51" customFormat="1">
      <c r="B321" s="52"/>
    </row>
    <row r="322" spans="2:2" s="51" customFormat="1">
      <c r="B322" s="52"/>
    </row>
    <row r="323" spans="2:2" s="51" customFormat="1">
      <c r="B323" s="52"/>
    </row>
    <row r="324" spans="2:2" s="51" customFormat="1">
      <c r="B324" s="52"/>
    </row>
    <row r="325" spans="2:2" s="51" customFormat="1">
      <c r="B325" s="52"/>
    </row>
    <row r="326" spans="2:2" s="51" customFormat="1">
      <c r="B326" s="52"/>
    </row>
    <row r="327" spans="2:2" s="51" customFormat="1">
      <c r="B327" s="52"/>
    </row>
    <row r="328" spans="2:2" s="51" customFormat="1">
      <c r="B328" s="52"/>
    </row>
    <row r="329" spans="2:2" s="51" customFormat="1">
      <c r="B329" s="52"/>
    </row>
    <row r="330" spans="2:2" s="51" customFormat="1">
      <c r="B330" s="52"/>
    </row>
    <row r="331" spans="2:2" s="51" customFormat="1">
      <c r="B331" s="52"/>
    </row>
    <row r="332" spans="2:2" s="51" customFormat="1">
      <c r="B332" s="52"/>
    </row>
    <row r="333" spans="2:2" s="51" customFormat="1">
      <c r="B333" s="52"/>
    </row>
    <row r="334" spans="2:2" s="51" customFormat="1">
      <c r="B334" s="52"/>
    </row>
    <row r="335" spans="2:2" s="51" customFormat="1">
      <c r="B335" s="52"/>
    </row>
    <row r="336" spans="2:2" s="51" customFormat="1">
      <c r="B336" s="52"/>
    </row>
    <row r="337" spans="2:2" s="51" customFormat="1">
      <c r="B337" s="52"/>
    </row>
    <row r="338" spans="2:2" s="51" customFormat="1">
      <c r="B338" s="52"/>
    </row>
    <row r="339" spans="2:2" s="51" customFormat="1">
      <c r="B339" s="52"/>
    </row>
    <row r="340" spans="2:2" s="51" customFormat="1">
      <c r="B340" s="52"/>
    </row>
    <row r="341" spans="2:2" s="51" customFormat="1">
      <c r="B341" s="52"/>
    </row>
    <row r="342" spans="2:2" s="51" customFormat="1">
      <c r="B342" s="52"/>
    </row>
    <row r="343" spans="2:2" s="51" customFormat="1">
      <c r="B343" s="52"/>
    </row>
    <row r="344" spans="2:2" s="51" customFormat="1">
      <c r="B344" s="52"/>
    </row>
    <row r="345" spans="2:2" s="51" customFormat="1">
      <c r="B345" s="52"/>
    </row>
    <row r="346" spans="2:2" s="51" customFormat="1">
      <c r="B346" s="52"/>
    </row>
    <row r="347" spans="2:2" s="51" customFormat="1">
      <c r="B347" s="52"/>
    </row>
    <row r="348" spans="2:2" s="51" customFormat="1">
      <c r="B348" s="52"/>
    </row>
    <row r="349" spans="2:2" s="51" customFormat="1">
      <c r="B349" s="52"/>
    </row>
    <row r="350" spans="2:2" s="51" customFormat="1">
      <c r="B350" s="52"/>
    </row>
    <row r="351" spans="2:2" s="51" customFormat="1">
      <c r="B351" s="52"/>
    </row>
    <row r="352" spans="2:2" s="51" customFormat="1">
      <c r="B352" s="52"/>
    </row>
    <row r="353" spans="2:2" s="51" customFormat="1">
      <c r="B353" s="52"/>
    </row>
    <row r="354" spans="2:2" s="51" customFormat="1">
      <c r="B354" s="52"/>
    </row>
    <row r="355" spans="2:2" s="51" customFormat="1">
      <c r="B355" s="52"/>
    </row>
    <row r="356" spans="2:2" s="51" customFormat="1">
      <c r="B356" s="52"/>
    </row>
    <row r="357" spans="2:2" s="51" customFormat="1">
      <c r="B357" s="52"/>
    </row>
    <row r="358" spans="2:2" s="51" customFormat="1">
      <c r="B358" s="52"/>
    </row>
    <row r="359" spans="2:2" s="51" customFormat="1">
      <c r="B359" s="52"/>
    </row>
    <row r="360" spans="2:2" s="51" customFormat="1">
      <c r="B360" s="52"/>
    </row>
    <row r="361" spans="2:2" s="51" customFormat="1">
      <c r="B361" s="52"/>
    </row>
    <row r="362" spans="2:2" s="51" customFormat="1">
      <c r="B362" s="52"/>
    </row>
    <row r="363" spans="2:2" s="51" customFormat="1">
      <c r="B363" s="52"/>
    </row>
    <row r="364" spans="2:2" s="51" customFormat="1">
      <c r="B364" s="52"/>
    </row>
    <row r="365" spans="2:2" s="51" customFormat="1">
      <c r="B365" s="52"/>
    </row>
    <row r="366" spans="2:2" s="51" customFormat="1">
      <c r="B366" s="52"/>
    </row>
    <row r="367" spans="2:2" s="51" customFormat="1">
      <c r="B367" s="52"/>
    </row>
    <row r="368" spans="2:2" s="51" customFormat="1">
      <c r="B368" s="52"/>
    </row>
    <row r="369" spans="2:2" s="51" customFormat="1">
      <c r="B369" s="52"/>
    </row>
    <row r="370" spans="2:2" s="51" customFormat="1">
      <c r="B370" s="52"/>
    </row>
    <row r="371" spans="2:2" s="51" customFormat="1">
      <c r="B371" s="52"/>
    </row>
    <row r="372" spans="2:2" s="51" customFormat="1">
      <c r="B372" s="52"/>
    </row>
    <row r="373" spans="2:2" s="51" customFormat="1">
      <c r="B373" s="52"/>
    </row>
    <row r="374" spans="2:2" s="51" customFormat="1">
      <c r="B374" s="52"/>
    </row>
    <row r="375" spans="2:2" s="51" customFormat="1">
      <c r="B375" s="52"/>
    </row>
    <row r="376" spans="2:2" s="51" customFormat="1">
      <c r="B376" s="52"/>
    </row>
    <row r="377" spans="2:2" s="51" customFormat="1">
      <c r="B377" s="52"/>
    </row>
    <row r="378" spans="2:2" s="51" customFormat="1">
      <c r="B378" s="52"/>
    </row>
    <row r="379" spans="2:2" s="51" customFormat="1">
      <c r="B379" s="52"/>
    </row>
    <row r="380" spans="2:2" s="51" customFormat="1">
      <c r="B380" s="52"/>
    </row>
    <row r="381" spans="2:2" s="51" customFormat="1">
      <c r="B381" s="52"/>
    </row>
    <row r="382" spans="2:2" s="51" customFormat="1">
      <c r="B382" s="52"/>
    </row>
    <row r="383" spans="2:2" s="51" customFormat="1">
      <c r="B383" s="52"/>
    </row>
    <row r="384" spans="2:2" s="51" customFormat="1">
      <c r="B384" s="52"/>
    </row>
    <row r="385" spans="2:2" s="51" customFormat="1">
      <c r="B385" s="52"/>
    </row>
    <row r="386" spans="2:2" s="51" customFormat="1">
      <c r="B386" s="52"/>
    </row>
    <row r="387" spans="2:2" s="51" customFormat="1">
      <c r="B387" s="52"/>
    </row>
    <row r="388" spans="2:2" s="51" customFormat="1">
      <c r="B388" s="52"/>
    </row>
    <row r="389" spans="2:2" s="51" customFormat="1">
      <c r="B389" s="52"/>
    </row>
    <row r="390" spans="2:2" s="51" customFormat="1">
      <c r="B390" s="52"/>
    </row>
    <row r="391" spans="2:2" s="51" customFormat="1">
      <c r="B391" s="52"/>
    </row>
    <row r="392" spans="2:2" s="51" customFormat="1">
      <c r="B392" s="52"/>
    </row>
    <row r="393" spans="2:2" s="51" customFormat="1">
      <c r="B393" s="52"/>
    </row>
    <row r="394" spans="2:2" s="51" customFormat="1">
      <c r="B394" s="52"/>
    </row>
    <row r="395" spans="2:2" s="51" customFormat="1">
      <c r="B395" s="52"/>
    </row>
    <row r="396" spans="2:2" s="51" customFormat="1">
      <c r="B396" s="52"/>
    </row>
    <row r="397" spans="2:2" s="51" customFormat="1">
      <c r="B397" s="52"/>
    </row>
    <row r="398" spans="2:2" s="51" customFormat="1">
      <c r="B398" s="52"/>
    </row>
    <row r="399" spans="2:2" s="51" customFormat="1">
      <c r="B399" s="52"/>
    </row>
    <row r="400" spans="2:2" s="51" customFormat="1">
      <c r="B400" s="52"/>
    </row>
    <row r="401" spans="2:2" s="51" customFormat="1">
      <c r="B401" s="52"/>
    </row>
    <row r="402" spans="2:2" s="51" customFormat="1">
      <c r="B402" s="52"/>
    </row>
    <row r="403" spans="2:2" s="51" customFormat="1">
      <c r="B403" s="52"/>
    </row>
    <row r="404" spans="2:2" s="51" customFormat="1">
      <c r="B404" s="52"/>
    </row>
    <row r="405" spans="2:2" s="51" customFormat="1">
      <c r="B405" s="52"/>
    </row>
    <row r="406" spans="2:2" s="51" customFormat="1">
      <c r="B406" s="52"/>
    </row>
    <row r="407" spans="2:2" s="51" customFormat="1">
      <c r="B407" s="52"/>
    </row>
    <row r="408" spans="2:2" s="51" customFormat="1">
      <c r="B408" s="52"/>
    </row>
    <row r="409" spans="2:2" s="51" customFormat="1">
      <c r="B409" s="52"/>
    </row>
    <row r="410" spans="2:2" s="51" customFormat="1">
      <c r="B410" s="52"/>
    </row>
    <row r="411" spans="2:2" s="51" customFormat="1">
      <c r="B411" s="52"/>
    </row>
    <row r="412" spans="2:2" s="51" customFormat="1">
      <c r="B412" s="52"/>
    </row>
    <row r="413" spans="2:2" s="51" customFormat="1">
      <c r="B413" s="52"/>
    </row>
    <row r="414" spans="2:2" s="51" customFormat="1">
      <c r="B414" s="52"/>
    </row>
    <row r="415" spans="2:2" s="51" customFormat="1">
      <c r="B415" s="52"/>
    </row>
    <row r="416" spans="2:2" s="51" customFormat="1">
      <c r="B416" s="52"/>
    </row>
    <row r="417" spans="2:2" s="51" customFormat="1">
      <c r="B417" s="52"/>
    </row>
    <row r="418" spans="2:2" s="51" customFormat="1">
      <c r="B418" s="52"/>
    </row>
    <row r="419" spans="2:2" s="51" customFormat="1">
      <c r="B419" s="52"/>
    </row>
    <row r="420" spans="2:2" s="51" customFormat="1">
      <c r="B420" s="52"/>
    </row>
    <row r="421" spans="2:2" s="51" customFormat="1">
      <c r="B421" s="52"/>
    </row>
    <row r="422" spans="2:2" s="51" customFormat="1">
      <c r="B422" s="52"/>
    </row>
    <row r="423" spans="2:2" s="51" customFormat="1">
      <c r="B423" s="52"/>
    </row>
    <row r="424" spans="2:2" s="51" customFormat="1">
      <c r="B424" s="52"/>
    </row>
    <row r="425" spans="2:2" s="51" customFormat="1">
      <c r="B425" s="52"/>
    </row>
    <row r="426" spans="2:2" s="51" customFormat="1">
      <c r="B426" s="52"/>
    </row>
    <row r="427" spans="2:2" s="51" customFormat="1">
      <c r="B427" s="52"/>
    </row>
    <row r="428" spans="2:2" s="51" customFormat="1">
      <c r="B428" s="52"/>
    </row>
    <row r="429" spans="2:2" s="51" customFormat="1">
      <c r="B429" s="52"/>
    </row>
    <row r="430" spans="2:2" s="51" customFormat="1">
      <c r="B430" s="52"/>
    </row>
    <row r="431" spans="2:2" s="51" customFormat="1">
      <c r="B431" s="52"/>
    </row>
    <row r="432" spans="2:2" s="51" customFormat="1">
      <c r="B432" s="52"/>
    </row>
    <row r="433" spans="2:2" s="51" customFormat="1">
      <c r="B433" s="52"/>
    </row>
    <row r="434" spans="2:2" s="51" customFormat="1">
      <c r="B434" s="52"/>
    </row>
    <row r="435" spans="2:2" s="51" customFormat="1">
      <c r="B435" s="52"/>
    </row>
    <row r="436" spans="2:2" s="51" customFormat="1">
      <c r="B436" s="52"/>
    </row>
    <row r="437" spans="2:2" s="51" customFormat="1">
      <c r="B437" s="52"/>
    </row>
    <row r="438" spans="2:2" s="51" customFormat="1">
      <c r="B438" s="52"/>
    </row>
    <row r="439" spans="2:2" s="51" customFormat="1">
      <c r="B439" s="52"/>
    </row>
    <row r="440" spans="2:2" s="51" customFormat="1">
      <c r="B440" s="52"/>
    </row>
    <row r="441" spans="2:2" s="51" customFormat="1">
      <c r="B441" s="52"/>
    </row>
    <row r="442" spans="2:2" s="51" customFormat="1">
      <c r="B442" s="52"/>
    </row>
    <row r="443" spans="2:2" s="51" customFormat="1">
      <c r="B443" s="52"/>
    </row>
    <row r="444" spans="2:2" s="51" customFormat="1">
      <c r="B444" s="52"/>
    </row>
    <row r="445" spans="2:2" s="51" customFormat="1">
      <c r="B445" s="52"/>
    </row>
    <row r="446" spans="2:2" s="51" customFormat="1">
      <c r="B446" s="52"/>
    </row>
    <row r="447" spans="2:2" s="51" customFormat="1">
      <c r="B447" s="52"/>
    </row>
    <row r="448" spans="2:2" s="51" customFormat="1">
      <c r="B448" s="52"/>
    </row>
    <row r="449" spans="2:2" s="51" customFormat="1">
      <c r="B449" s="52"/>
    </row>
    <row r="450" spans="2:2" s="51" customFormat="1">
      <c r="B450" s="52"/>
    </row>
    <row r="451" spans="2:2" s="51" customFormat="1">
      <c r="B451" s="52"/>
    </row>
    <row r="452" spans="2:2" s="51" customFormat="1">
      <c r="B452" s="52"/>
    </row>
    <row r="453" spans="2:2" s="51" customFormat="1">
      <c r="B453" s="52"/>
    </row>
    <row r="454" spans="2:2" s="51" customFormat="1">
      <c r="B454" s="52"/>
    </row>
    <row r="455" spans="2:2" s="51" customFormat="1">
      <c r="B455" s="52"/>
    </row>
    <row r="456" spans="2:2" s="51" customFormat="1">
      <c r="B456" s="52"/>
    </row>
    <row r="457" spans="2:2" s="51" customFormat="1">
      <c r="B457" s="52"/>
    </row>
    <row r="458" spans="2:2" s="51" customFormat="1">
      <c r="B458" s="52"/>
    </row>
    <row r="459" spans="2:2" s="51" customFormat="1">
      <c r="B459" s="52"/>
    </row>
    <row r="460" spans="2:2" s="51" customFormat="1">
      <c r="B460" s="52"/>
    </row>
    <row r="461" spans="2:2" s="51" customFormat="1">
      <c r="B461" s="52"/>
    </row>
    <row r="462" spans="2:2" s="51" customFormat="1">
      <c r="B462" s="52"/>
    </row>
    <row r="463" spans="2:2" s="51" customFormat="1">
      <c r="B463" s="52"/>
    </row>
    <row r="464" spans="2:2" s="51" customFormat="1">
      <c r="B464" s="52"/>
    </row>
    <row r="465" spans="2:2" s="51" customFormat="1">
      <c r="B465" s="52"/>
    </row>
    <row r="466" spans="2:2" s="51" customFormat="1">
      <c r="B466" s="52"/>
    </row>
    <row r="467" spans="2:2" s="51" customFormat="1">
      <c r="B467" s="52"/>
    </row>
    <row r="468" spans="2:2" s="51" customFormat="1">
      <c r="B468" s="52"/>
    </row>
    <row r="469" spans="2:2" s="51" customFormat="1">
      <c r="B469" s="52"/>
    </row>
    <row r="470" spans="2:2" s="51" customFormat="1">
      <c r="B470" s="52"/>
    </row>
    <row r="471" spans="2:2" s="51" customFormat="1">
      <c r="B471" s="52"/>
    </row>
    <row r="472" spans="2:2" s="51" customFormat="1">
      <c r="B472" s="52"/>
    </row>
    <row r="473" spans="2:2" s="51" customFormat="1">
      <c r="B473" s="52"/>
    </row>
    <row r="474" spans="2:2" s="51" customFormat="1">
      <c r="B474" s="52"/>
    </row>
    <row r="475" spans="2:2" s="51" customFormat="1">
      <c r="B475" s="52"/>
    </row>
    <row r="476" spans="2:2" s="51" customFormat="1">
      <c r="B476" s="52"/>
    </row>
    <row r="477" spans="2:2" s="51" customFormat="1">
      <c r="B477" s="52"/>
    </row>
    <row r="478" spans="2:2" s="51" customFormat="1">
      <c r="B478" s="52"/>
    </row>
    <row r="479" spans="2:2" s="51" customFormat="1">
      <c r="B479" s="52"/>
    </row>
    <row r="480" spans="2:2" s="51" customFormat="1">
      <c r="B480" s="52"/>
    </row>
    <row r="481" spans="2:2" s="51" customFormat="1">
      <c r="B481" s="52"/>
    </row>
    <row r="482" spans="2:2" s="51" customFormat="1">
      <c r="B482" s="52"/>
    </row>
    <row r="483" spans="2:2" s="51" customFormat="1">
      <c r="B483" s="52"/>
    </row>
    <row r="484" spans="2:2" s="51" customFormat="1">
      <c r="B484" s="52"/>
    </row>
    <row r="485" spans="2:2" s="51" customFormat="1">
      <c r="B485" s="52"/>
    </row>
    <row r="486" spans="2:2" s="51" customFormat="1">
      <c r="B486" s="52"/>
    </row>
    <row r="487" spans="2:2" s="51" customFormat="1">
      <c r="B487" s="52"/>
    </row>
    <row r="488" spans="2:2" s="51" customFormat="1">
      <c r="B488" s="52"/>
    </row>
    <row r="489" spans="2:2" s="51" customFormat="1">
      <c r="B489" s="52"/>
    </row>
    <row r="490" spans="2:2" s="51" customFormat="1">
      <c r="B490" s="52"/>
    </row>
    <row r="491" spans="2:2" s="51" customFormat="1">
      <c r="B491" s="52"/>
    </row>
    <row r="492" spans="2:2" s="51" customFormat="1">
      <c r="B492" s="52"/>
    </row>
    <row r="493" spans="2:2" s="51" customFormat="1">
      <c r="B493" s="52"/>
    </row>
    <row r="494" spans="2:2" s="51" customFormat="1">
      <c r="B494" s="52"/>
    </row>
    <row r="495" spans="2:2" s="51" customFormat="1">
      <c r="B495" s="52"/>
    </row>
    <row r="496" spans="2:2" s="51" customFormat="1">
      <c r="B496" s="52"/>
    </row>
    <row r="497" spans="2:2" s="51" customFormat="1">
      <c r="B497" s="52"/>
    </row>
    <row r="498" spans="2:2" s="51" customFormat="1">
      <c r="B498" s="52"/>
    </row>
    <row r="499" spans="2:2" s="51" customFormat="1">
      <c r="B499" s="52"/>
    </row>
    <row r="500" spans="2:2" s="51" customFormat="1">
      <c r="B500" s="52"/>
    </row>
    <row r="501" spans="2:2" s="51" customFormat="1">
      <c r="B501" s="52"/>
    </row>
    <row r="502" spans="2:2" s="51" customFormat="1">
      <c r="B502" s="52"/>
    </row>
    <row r="503" spans="2:2" s="51" customFormat="1">
      <c r="B503" s="52"/>
    </row>
    <row r="504" spans="2:2" s="51" customFormat="1">
      <c r="B504" s="52"/>
    </row>
    <row r="505" spans="2:2" s="51" customFormat="1">
      <c r="B505" s="52"/>
    </row>
    <row r="506" spans="2:2" s="51" customFormat="1">
      <c r="B506" s="52"/>
    </row>
    <row r="507" spans="2:2" s="51" customFormat="1">
      <c r="B507" s="52"/>
    </row>
    <row r="508" spans="2:2" s="51" customFormat="1">
      <c r="B508" s="52"/>
    </row>
    <row r="509" spans="2:2" s="51" customFormat="1">
      <c r="B509" s="52"/>
    </row>
    <row r="510" spans="2:2" s="51" customFormat="1">
      <c r="B510" s="52"/>
    </row>
    <row r="511" spans="2:2" s="51" customFormat="1">
      <c r="B511" s="52"/>
    </row>
    <row r="512" spans="2:2" s="51" customFormat="1">
      <c r="B512" s="52"/>
    </row>
    <row r="513" spans="2:2" s="51" customFormat="1">
      <c r="B513" s="52"/>
    </row>
    <row r="514" spans="2:2" s="51" customFormat="1">
      <c r="B514" s="52"/>
    </row>
    <row r="515" spans="2:2" s="51" customFormat="1">
      <c r="B515" s="52"/>
    </row>
    <row r="516" spans="2:2" s="51" customFormat="1">
      <c r="B516" s="52"/>
    </row>
    <row r="517" spans="2:2" s="51" customFormat="1">
      <c r="B517" s="52"/>
    </row>
    <row r="518" spans="2:2" s="51" customFormat="1">
      <c r="B518" s="52"/>
    </row>
    <row r="519" spans="2:2" s="51" customFormat="1">
      <c r="B519" s="52"/>
    </row>
    <row r="520" spans="2:2" s="51" customFormat="1">
      <c r="B520" s="52"/>
    </row>
    <row r="521" spans="2:2" s="51" customFormat="1">
      <c r="B521" s="52"/>
    </row>
    <row r="522" spans="2:2" s="51" customFormat="1">
      <c r="B522" s="52"/>
    </row>
    <row r="523" spans="2:2" s="51" customFormat="1">
      <c r="B523" s="52"/>
    </row>
    <row r="524" spans="2:2" s="51" customFormat="1">
      <c r="B524" s="52"/>
    </row>
    <row r="525" spans="2:2" s="51" customFormat="1">
      <c r="B525" s="52"/>
    </row>
    <row r="526" spans="2:2" s="51" customFormat="1">
      <c r="B526" s="52"/>
    </row>
    <row r="527" spans="2:2" s="51" customFormat="1">
      <c r="B527" s="52"/>
    </row>
    <row r="528" spans="2:2" s="51" customFormat="1">
      <c r="B528" s="52"/>
    </row>
    <row r="529" spans="2:2" s="51" customFormat="1">
      <c r="B529" s="52"/>
    </row>
    <row r="530" spans="2:2" s="51" customFormat="1">
      <c r="B530" s="52"/>
    </row>
    <row r="531" spans="2:2" s="51" customFormat="1">
      <c r="B531" s="52"/>
    </row>
    <row r="532" spans="2:2" s="51" customFormat="1">
      <c r="B532" s="52"/>
    </row>
    <row r="533" spans="2:2" s="51" customFormat="1">
      <c r="B533" s="52"/>
    </row>
    <row r="534" spans="2:2" s="51" customFormat="1">
      <c r="B534" s="52"/>
    </row>
    <row r="535" spans="2:2" s="51" customFormat="1">
      <c r="B535" s="52"/>
    </row>
    <row r="536" spans="2:2" s="51" customFormat="1">
      <c r="B536" s="52"/>
    </row>
    <row r="537" spans="2:2" s="51" customFormat="1">
      <c r="B537" s="52"/>
    </row>
    <row r="538" spans="2:2" s="51" customFormat="1">
      <c r="B538" s="52"/>
    </row>
    <row r="539" spans="2:2" s="51" customFormat="1">
      <c r="B539" s="52"/>
    </row>
    <row r="540" spans="2:2" s="51" customFormat="1">
      <c r="B540" s="52"/>
    </row>
    <row r="541" spans="2:2" s="51" customFormat="1">
      <c r="B541" s="52"/>
    </row>
    <row r="542" spans="2:2" s="51" customFormat="1">
      <c r="B542" s="52"/>
    </row>
    <row r="543" spans="2:2" s="51" customFormat="1">
      <c r="B543" s="52"/>
    </row>
    <row r="544" spans="2:2" s="51" customFormat="1">
      <c r="B544" s="52"/>
    </row>
    <row r="545" spans="2:2" s="51" customFormat="1">
      <c r="B545" s="52"/>
    </row>
    <row r="546" spans="2:2" s="51" customFormat="1">
      <c r="B546" s="52"/>
    </row>
    <row r="547" spans="2:2" s="51" customFormat="1">
      <c r="B547" s="52"/>
    </row>
    <row r="548" spans="2:2" s="51" customFormat="1">
      <c r="B548" s="52"/>
    </row>
    <row r="549" spans="2:2" s="51" customFormat="1">
      <c r="B549" s="52"/>
    </row>
    <row r="550" spans="2:2" s="51" customFormat="1">
      <c r="B550" s="52"/>
    </row>
    <row r="551" spans="2:2" s="51" customFormat="1">
      <c r="B551" s="52"/>
    </row>
    <row r="552" spans="2:2" s="51" customFormat="1">
      <c r="B552" s="52"/>
    </row>
    <row r="553" spans="2:2" s="51" customFormat="1">
      <c r="B553" s="52"/>
    </row>
    <row r="554" spans="2:2" s="51" customFormat="1">
      <c r="B554" s="52"/>
    </row>
    <row r="555" spans="2:2" s="51" customFormat="1">
      <c r="B555" s="52"/>
    </row>
    <row r="556" spans="2:2" s="51" customFormat="1">
      <c r="B556" s="52"/>
    </row>
    <row r="557" spans="2:2" s="51" customFormat="1">
      <c r="B557" s="52"/>
    </row>
    <row r="558" spans="2:2" s="51" customFormat="1">
      <c r="B558" s="52"/>
    </row>
    <row r="559" spans="2:2" s="51" customFormat="1">
      <c r="B559" s="52"/>
    </row>
    <row r="560" spans="2:2" s="51" customFormat="1">
      <c r="B560" s="52"/>
    </row>
    <row r="561" spans="2:2" s="51" customFormat="1">
      <c r="B561" s="52"/>
    </row>
    <row r="562" spans="2:2" s="51" customFormat="1">
      <c r="B562" s="52"/>
    </row>
    <row r="563" spans="2:2" s="51" customFormat="1">
      <c r="B563" s="52"/>
    </row>
    <row r="564" spans="2:2" s="51" customFormat="1">
      <c r="B564" s="52"/>
    </row>
    <row r="565" spans="2:2" s="51" customFormat="1">
      <c r="B565" s="52"/>
    </row>
    <row r="566" spans="2:2" s="51" customFormat="1">
      <c r="B566" s="52"/>
    </row>
    <row r="567" spans="2:2" s="51" customFormat="1">
      <c r="B567" s="52"/>
    </row>
    <row r="568" spans="2:2" s="51" customFormat="1">
      <c r="B568" s="52"/>
    </row>
    <row r="569" spans="2:2" s="51" customFormat="1">
      <c r="B569" s="52"/>
    </row>
    <row r="570" spans="2:2" s="51" customFormat="1">
      <c r="B570" s="52"/>
    </row>
    <row r="571" spans="2:2" s="51" customFormat="1">
      <c r="B571" s="52"/>
    </row>
    <row r="572" spans="2:2" s="51" customFormat="1">
      <c r="B572" s="52"/>
    </row>
    <row r="573" spans="2:2" s="51" customFormat="1">
      <c r="B573" s="52"/>
    </row>
    <row r="574" spans="2:2" s="51" customFormat="1">
      <c r="B574" s="52"/>
    </row>
    <row r="575" spans="2:2" s="51" customFormat="1">
      <c r="B575" s="52"/>
    </row>
    <row r="576" spans="2:2" s="51" customFormat="1">
      <c r="B576" s="52"/>
    </row>
    <row r="577" spans="2:2" s="51" customFormat="1">
      <c r="B577" s="52"/>
    </row>
    <row r="578" spans="2:2" s="51" customFormat="1">
      <c r="B578" s="52"/>
    </row>
    <row r="579" spans="2:2" s="51" customFormat="1">
      <c r="B579" s="52"/>
    </row>
    <row r="580" spans="2:2" s="51" customFormat="1">
      <c r="B580" s="52"/>
    </row>
    <row r="581" spans="2:2" s="51" customFormat="1">
      <c r="B581" s="52"/>
    </row>
    <row r="582" spans="2:2" s="51" customFormat="1">
      <c r="B582" s="52"/>
    </row>
    <row r="583" spans="2:2" s="51" customFormat="1">
      <c r="B583" s="52"/>
    </row>
    <row r="584" spans="2:2" s="51" customFormat="1">
      <c r="B584" s="52"/>
    </row>
    <row r="585" spans="2:2" s="51" customFormat="1">
      <c r="B585" s="52"/>
    </row>
    <row r="586" spans="2:2" s="51" customFormat="1">
      <c r="B586" s="52"/>
    </row>
    <row r="587" spans="2:2" s="51" customFormat="1">
      <c r="B587" s="52"/>
    </row>
    <row r="588" spans="2:2" s="51" customFormat="1">
      <c r="B588" s="52"/>
    </row>
    <row r="589" spans="2:2" s="51" customFormat="1">
      <c r="B589" s="52"/>
    </row>
    <row r="590" spans="2:2" s="51" customFormat="1">
      <c r="B590" s="52"/>
    </row>
    <row r="591" spans="2:2" s="51" customFormat="1">
      <c r="B591" s="52"/>
    </row>
    <row r="592" spans="2:2" s="51" customFormat="1">
      <c r="B592" s="52"/>
    </row>
    <row r="593" spans="2:2" s="51" customFormat="1">
      <c r="B593" s="52"/>
    </row>
    <row r="594" spans="2:2" s="51" customFormat="1">
      <c r="B594" s="52"/>
    </row>
    <row r="595" spans="2:2" s="51" customFormat="1">
      <c r="B595" s="52"/>
    </row>
    <row r="596" spans="2:2" s="51" customFormat="1">
      <c r="B596" s="52"/>
    </row>
    <row r="597" spans="2:2" s="51" customFormat="1">
      <c r="B597" s="52"/>
    </row>
    <row r="598" spans="2:2" s="51" customFormat="1">
      <c r="B598" s="52"/>
    </row>
    <row r="599" spans="2:2" s="51" customFormat="1">
      <c r="B599" s="52"/>
    </row>
    <row r="600" spans="2:2" s="51" customFormat="1">
      <c r="B600" s="52"/>
    </row>
    <row r="601" spans="2:2" s="51" customFormat="1">
      <c r="B601" s="52"/>
    </row>
    <row r="602" spans="2:2" s="51" customFormat="1">
      <c r="B602" s="52"/>
    </row>
    <row r="603" spans="2:2" s="51" customFormat="1">
      <c r="B603" s="52"/>
    </row>
    <row r="604" spans="2:2" s="51" customFormat="1">
      <c r="B604" s="52"/>
    </row>
    <row r="605" spans="2:2" s="51" customFormat="1">
      <c r="B605" s="52"/>
    </row>
    <row r="606" spans="2:2" s="51" customFormat="1">
      <c r="B606" s="52"/>
    </row>
    <row r="607" spans="2:2" s="51" customFormat="1">
      <c r="B607" s="52"/>
    </row>
    <row r="608" spans="2:2" s="51" customFormat="1">
      <c r="B608" s="52"/>
    </row>
    <row r="609" spans="2:2" s="51" customFormat="1">
      <c r="B609" s="52"/>
    </row>
    <row r="610" spans="2:2" s="51" customFormat="1">
      <c r="B610" s="52"/>
    </row>
    <row r="611" spans="2:2" s="51" customFormat="1">
      <c r="B611" s="52"/>
    </row>
    <row r="612" spans="2:2" s="51" customFormat="1">
      <c r="B612" s="52"/>
    </row>
    <row r="613" spans="2:2" s="51" customFormat="1">
      <c r="B613" s="52"/>
    </row>
    <row r="614" spans="2:2" s="51" customFormat="1">
      <c r="B614" s="52"/>
    </row>
    <row r="615" spans="2:2" s="51" customFormat="1">
      <c r="B615" s="52"/>
    </row>
    <row r="616" spans="2:2" s="51" customFormat="1">
      <c r="B616" s="52"/>
    </row>
    <row r="617" spans="2:2" s="51" customFormat="1">
      <c r="B617" s="52"/>
    </row>
    <row r="618" spans="2:2" s="51" customFormat="1">
      <c r="B618" s="52"/>
    </row>
    <row r="619" spans="2:2" s="51" customFormat="1">
      <c r="B619" s="52"/>
    </row>
    <row r="620" spans="2:2" s="51" customFormat="1">
      <c r="B620" s="52"/>
    </row>
  </sheetData>
  <sheetProtection sheet="1" objects="1" scenarios="1"/>
  <conditionalFormatting sqref="B8 B17:B18 B23:B24 B12">
    <cfRule type="containsText" dxfId="369" priority="17" operator="containsText" text="Verified">
      <formula>NOT(ISERROR(SEARCH("Verified",B8)))</formula>
    </cfRule>
    <cfRule type="containsText" dxfId="368" priority="18" operator="containsText" text="Not Complete">
      <formula>NOT(ISERROR(SEARCH("Not Complete",B8)))</formula>
    </cfRule>
  </conditionalFormatting>
  <conditionalFormatting sqref="B13">
    <cfRule type="containsText" dxfId="367" priority="15" operator="containsText" text="Verified">
      <formula>NOT(ISERROR(SEARCH("Verified",B13)))</formula>
    </cfRule>
    <cfRule type="containsText" dxfId="366" priority="16" operator="containsText" text="Not Complete">
      <formula>NOT(ISERROR(SEARCH("Not Complete",B13)))</formula>
    </cfRule>
  </conditionalFormatting>
  <conditionalFormatting sqref="B16">
    <cfRule type="containsText" dxfId="365" priority="13" operator="containsText" text="Verified">
      <formula>NOT(ISERROR(SEARCH("Verified",B16)))</formula>
    </cfRule>
    <cfRule type="containsText" dxfId="364" priority="14" operator="containsText" text="Not Complete">
      <formula>NOT(ISERROR(SEARCH("Not Complete",B16)))</formula>
    </cfRule>
  </conditionalFormatting>
  <conditionalFormatting sqref="B19">
    <cfRule type="containsText" dxfId="363" priority="11" operator="containsText" text="Verified">
      <formula>NOT(ISERROR(SEARCH("Verified",B19)))</formula>
    </cfRule>
    <cfRule type="containsText" dxfId="362" priority="12" operator="containsText" text="Not Complete">
      <formula>NOT(ISERROR(SEARCH("Not Complete",B19)))</formula>
    </cfRule>
  </conditionalFormatting>
  <conditionalFormatting sqref="B22">
    <cfRule type="containsText" dxfId="361" priority="9" operator="containsText" text="Verified">
      <formula>NOT(ISERROR(SEARCH("Verified",B22)))</formula>
    </cfRule>
    <cfRule type="containsText" dxfId="360" priority="10" operator="containsText" text="Not Complete">
      <formula>NOT(ISERROR(SEARCH("Not Complete",B22)))</formula>
    </cfRule>
  </conditionalFormatting>
  <conditionalFormatting sqref="B20:B21">
    <cfRule type="containsText" dxfId="359" priority="1" operator="containsText" text="Verified">
      <formula>NOT(ISERROR(SEARCH("Verified",B20)))</formula>
    </cfRule>
    <cfRule type="containsText" dxfId="358" priority="2" operator="containsText" text="Not Complete">
      <formula>NOT(ISERROR(SEARCH("Not Complete",B20)))</formula>
    </cfRule>
  </conditionalFormatting>
  <conditionalFormatting sqref="B4:B7">
    <cfRule type="containsText" dxfId="357" priority="7" operator="containsText" text="Verified">
      <formula>NOT(ISERROR(SEARCH("Verified",B4)))</formula>
    </cfRule>
    <cfRule type="containsText" dxfId="356" priority="8" operator="containsText" text="Not Complete">
      <formula>NOT(ISERROR(SEARCH("Not Complete",B4)))</formula>
    </cfRule>
  </conditionalFormatting>
  <conditionalFormatting sqref="B9:B11">
    <cfRule type="containsText" dxfId="355" priority="5" operator="containsText" text="Verified">
      <formula>NOT(ISERROR(SEARCH("Verified",B9)))</formula>
    </cfRule>
    <cfRule type="containsText" dxfId="354" priority="6" operator="containsText" text="Not Complete">
      <formula>NOT(ISERROR(SEARCH("Not Complete",B9)))</formula>
    </cfRule>
  </conditionalFormatting>
  <conditionalFormatting sqref="B14:B15">
    <cfRule type="containsText" dxfId="353" priority="3" operator="containsText" text="Verified">
      <formula>NOT(ISERROR(SEARCH("Verified",B14)))</formula>
    </cfRule>
    <cfRule type="containsText" dxfId="352" priority="4" operator="containsText" text="Not Complete">
      <formula>NOT(ISERROR(SEARCH("Not Complete",B14)))</formula>
    </cfRule>
  </conditionalFormatting>
  <dataValidations count="1">
    <dataValidation type="list" allowBlank="1" showInputMessage="1" showErrorMessage="1" sqref="B4:B23" xr:uid="{69CDEC54-BEB4-1141-B058-8655DC8D8CD2}">
      <formula1>"Verified,Not Complete"</formula1>
    </dataValidation>
  </dataValidations>
  <pageMargins left="0.7" right="0.7" top="0.75" bottom="0.75" header="0.3" footer="0.3"/>
  <pageSetup paperSize="9" orientation="portrait" horizontalDpi="75" verticalDpi="75"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926"/>
  <sheetViews>
    <sheetView showZeros="0" zoomScale="140" zoomScaleNormal="140" zoomScalePageLayoutView="125" workbookViewId="0">
      <selection activeCell="A14" sqref="A14:XFD14"/>
    </sheetView>
  </sheetViews>
  <sheetFormatPr baseColWidth="10" defaultColWidth="8.83203125" defaultRowHeight="15"/>
  <cols>
    <col min="1" max="1" width="172.6640625" style="1" customWidth="1"/>
    <col min="2" max="2" width="42.5" style="1" customWidth="1"/>
    <col min="3" max="16384" width="8.83203125" style="1"/>
  </cols>
  <sheetData>
    <row r="1" spans="1:1">
      <c r="A1" s="1" t="s">
        <v>537</v>
      </c>
    </row>
    <row r="2" spans="1:1">
      <c r="A2" s="5" t="str">
        <f>"workflowName.mgmt=vvd/vvd-std-rega-mgmt.json"</f>
        <v>workflowName.mgmt=vvd/vvd-std-rega-mgmt.json</v>
      </c>
    </row>
    <row r="3" spans="1:1">
      <c r="A3" s="5" t="str">
        <f>"workflowName.compute=vvd/vvd-std-rega-comp.json"</f>
        <v>workflowName.compute=vvd/vvd-std-rega-comp.json</v>
      </c>
    </row>
    <row r="4" spans="1:1" s="6" customFormat="1">
      <c r="A4" s="5" t="str">
        <f>IF('Run Parameters'!F19="No","CeipEnabled=false","CeipEnabled=true")</f>
        <v>CeipEnabled=true</v>
      </c>
    </row>
    <row r="5" spans="1:1" s="6" customFormat="1"/>
    <row r="6" spans="1:1" s="2" customFormat="1">
      <c r="A6" s="2" t="s">
        <v>116</v>
      </c>
    </row>
    <row r="7" spans="1:1" s="2" customFormat="1">
      <c r="A7" s="2" t="s">
        <v>411</v>
      </c>
    </row>
    <row r="8" spans="1:1" s="2" customFormat="1">
      <c r="A8" s="4" t="str">
        <f>IF('Management Workloads'!M8="n/a","vcloud-suite-license@key=","vcloud-suite-license@key="&amp;'Management Workloads'!M8)</f>
        <v>vcloud-suite-license@key=</v>
      </c>
    </row>
    <row r="9" spans="1:1">
      <c r="A9" s="1" t="s">
        <v>478</v>
      </c>
    </row>
    <row r="10" spans="1:1">
      <c r="A10" s="5" t="str">
        <f>IF('Management Workloads'!M10="n/a","mgmt-vcenter-6-license@key=","mgmt-vcenter-6-license@key="&amp;'Management Workloads'!M10)</f>
        <v>mgmt-vcenter-6-license@key=</v>
      </c>
    </row>
    <row r="11" spans="1:1">
      <c r="A11" s="1" t="s">
        <v>479</v>
      </c>
    </row>
    <row r="12" spans="1:1">
      <c r="A12" s="5" t="str">
        <f>IF('Management Workloads'!M13="n/a","compute-vcenter-6-license@key=","compute-vcenter-6-license@key="&amp;'Management Workloads'!M13)</f>
        <v>compute-vcenter-6-license@key=</v>
      </c>
    </row>
    <row r="13" spans="1:1">
      <c r="A13" s="4" t="str">
        <f>IF('Management Workloads'!M12="n/a","nsx-license@key=","nsx-license@key="&amp;'Management Workloads'!M12)</f>
        <v>nsx-license@key=</v>
      </c>
    </row>
    <row r="14" spans="1:1" s="2" customFormat="1">
      <c r="A14" s="4" t="str">
        <f>IF('Management Workloads'!M15="n/a","compute-nsx-license@key=","compute-nsx-license@key="&amp;'Management Workloads'!M15)</f>
        <v>compute-nsx-license@key=</v>
      </c>
    </row>
    <row r="15" spans="1:1" s="9" customFormat="1">
      <c r="A15" s="4" t="str">
        <f>IF('Management Workloads'!M9="n/a","vsan-license@key=","vsan-license@key="&amp;'Management Workloads'!M9)</f>
        <v>vsan-license@key=</v>
      </c>
    </row>
    <row r="16" spans="1:1" s="9" customFormat="1">
      <c r="A16" s="4" t="str">
        <f>IF('Management Workloads'!M30="n/a","vrops-suite-license@key=","vrops-suite-license@key="&amp;'Management Workloads'!M30)</f>
        <v>vrops-suite-license@key=</v>
      </c>
    </row>
    <row r="17" spans="1:1" s="9" customFormat="1">
      <c r="A17" s="4" t="str">
        <f>IF('Management Workloads'!M35="n/a","log-insight-license@key=","log-insight-license@key="&amp;'Management Workloads'!M35)</f>
        <v>log-insight-license@key=</v>
      </c>
    </row>
    <row r="18" spans="1:1" s="9" customFormat="1" ht="16">
      <c r="A18" s="10" t="str">
        <f>IF('Management Workloads'!M41="n/a","vra-license@key=","vra-license@key="&amp;'Management Workloads'!M41)</f>
        <v>vra-license@key=</v>
      </c>
    </row>
    <row r="19" spans="1:1" s="9" customFormat="1">
      <c r="A19" s="4" t="str">
        <f>IF('Management Workloads'!M52="n/a","vrb-license@key=","vrb-license@key="&amp;'Management Workloads'!M52)</f>
        <v>vrb-license@key=</v>
      </c>
    </row>
    <row r="20" spans="1:1" s="9" customFormat="1">
      <c r="A20" s="4" t="str">
        <f>IF('Management Workloads'!M57="n/a","srm-license@key=","srm-license@key="&amp;'Management Workloads'!M57)</f>
        <v>srm-license@key=</v>
      </c>
    </row>
    <row r="21" spans="1:1" s="9" customFormat="1"/>
    <row r="22" spans="1:1" s="2" customFormat="1">
      <c r="A22" s="2" t="s">
        <v>127</v>
      </c>
    </row>
    <row r="23" spans="1:1" s="2" customFormat="1">
      <c r="A23" s="2" t="s">
        <v>97</v>
      </c>
    </row>
    <row r="24" spans="1:1">
      <c r="A24" s="5" t="str">
        <f>IF('Deploy Parameters'!F10="n/a","ntp-server@address=","ntp-server@address="&amp;'Deploy Parameters'!F10)</f>
        <v>ntp-server@address=0.ntp.sfo01.rainpole.local</v>
      </c>
    </row>
    <row r="25" spans="1:1">
      <c r="A25" s="5" t="str">
        <f>IF('Deploy Parameters'!F11="n/a","remote-site-ntp-server@address=","remote-site-ntp-server@address="&amp;'Deploy Parameters'!F11)</f>
        <v>remote-site-ntp-server@address=1.ntp.sfo01.rainpole.local</v>
      </c>
    </row>
    <row r="26" spans="1:1">
      <c r="A26" s="1" t="s">
        <v>415</v>
      </c>
    </row>
    <row r="27" spans="1:1">
      <c r="A27" s="1" t="s">
        <v>535</v>
      </c>
    </row>
    <row r="28" spans="1:1">
      <c r="A28" s="1" t="s">
        <v>536</v>
      </c>
    </row>
    <row r="29" spans="1:1">
      <c r="A29" s="1" t="s">
        <v>96</v>
      </c>
    </row>
    <row r="30" spans="1:1">
      <c r="A30" s="5" t="str">
        <f>IF('Deploy Parameters'!G6="n/a","active-directory-deployment.address=","active-directory-deployment.address="&amp;'Deploy Parameters'!G6)</f>
        <v>active-directory-deployment.address=172.16.11.4</v>
      </c>
    </row>
    <row r="32" spans="1:1">
      <c r="A32" s="1" t="s">
        <v>102</v>
      </c>
    </row>
    <row r="33" spans="1:1">
      <c r="A33" s="1" t="s">
        <v>103</v>
      </c>
    </row>
    <row r="34" spans="1:1">
      <c r="A34" s="5" t="str">
        <f>IF('Deploy Parameters'!J11="n/a","ldapADIdentitySource.domainName=","ldapADIdentitySource.domainName="&amp;'Deploy Parameters'!J11)</f>
        <v>ldapADIdentitySource.domainName=rainpole.local</v>
      </c>
    </row>
    <row r="35" spans="1:1">
      <c r="A35" s="5" t="str">
        <f>IF('Deploy Parameters'!J12="n/a","ldapADIdentitySource.domainAlias=","ldapADIdentitySource.domainAlias="&amp;'Deploy Parameters'!J12)</f>
        <v>ldapADIdentitySource.domainAlias=RAINPOLE</v>
      </c>
    </row>
    <row r="36" spans="1:1">
      <c r="A36" s="5" t="str">
        <f>IF('Deploy Parameters'!J13="n/a","ldapADIdentitySource.baseDnUsers=","ldapADIdentitySource.baseDnUsers="&amp;'Deploy Parameters'!J13)</f>
        <v>ldapADIdentitySource.baseDnUsers=dc=rainpole,dc=local</v>
      </c>
    </row>
    <row r="37" spans="1:1">
      <c r="A37" s="5" t="str">
        <f>IF('Deploy Parameters'!J14="n/a","ldapADIdentitySource.baseDnGroups=","ldapADIdentitySource.baseDnGroups="&amp;'Deploy Parameters'!J14)</f>
        <v>ldapADIdentitySource.baseDnGroups=cn=Users,dc=rainpole,dc=local</v>
      </c>
    </row>
    <row r="38" spans="1:1">
      <c r="A38" s="5" t="str">
        <f>IF('Deploy Parameters'!J18="n/a","ldapADIdentitySource.subDomainBaseDnUsers=","ldapADIdentitySource.subDomainBaseDnUsers="&amp;'Deploy Parameters'!J18)</f>
        <v>ldapADIdentitySource.subDomainBaseDnUsers=dc=sfo01,dc=rainpole,dc=local</v>
      </c>
    </row>
    <row r="39" spans="1:1">
      <c r="A39" s="5" t="str">
        <f>IF('Deploy Parameters'!J19="n/a","ldapADIdentitySource.subDomainBaseDnGroups=","ldapADIdentitySource.subDomainBaseDnGroups="&amp;'Deploy Parameters'!J19)</f>
        <v>ldapADIdentitySource.subDomainBaseDnGroups=cn=Users,dc=sfo01,dc=rainpole,dc=local</v>
      </c>
    </row>
    <row r="40" spans="1:1">
      <c r="A40" s="5" t="str">
        <f>IF('Deploy Parameters'!J15="n/a","ldapADIdentitySource.primaryServerURL=","ldapADIdentitySource.primaryServerURL="&amp;'Deploy Parameters'!J15)</f>
        <v>ldapADIdentitySource.primaryServerURL=ldap://dc01rpl.rainpole.local:389</v>
      </c>
    </row>
    <row r="41" spans="1:1">
      <c r="A41" s="5" t="str">
        <f>IF('Deploy Parameters'!J20="n/a","ldapADIdentitySource.secondaryServerURL=","ldapADIdentitySource.secondaryServerURL="&amp;'Deploy Parameters'!J20)</f>
        <v>ldapADIdentitySource.secondaryServerURL=ldap://dc01sfo.sfo01.rainpole.local:389</v>
      </c>
    </row>
    <row r="42" spans="1:1">
      <c r="A42" s="5" t="str">
        <f>IF('Deploy Parameters'!J16="n/a","ldapADIdentitySource.subDomainPrefix=","ldapADIdentitySource.subDomainPrefix="&amp;'Deploy Parameters'!J16)</f>
        <v>ldapADIdentitySource.subDomainPrefix=sfo01</v>
      </c>
    </row>
    <row r="43" spans="1:1">
      <c r="A43" s="5" t="str">
        <f>IF('Deploy Parameters'!J17="n/a","ldapADIdentitySource.subDomainAlias=","ldapADIdentitySource.subDomainAlias="&amp;'Deploy Parameters'!J17)</f>
        <v>ldapADIdentitySource.subDomainAlias=SFO01</v>
      </c>
    </row>
    <row r="44" spans="1:1">
      <c r="A44" s="5" t="str">
        <f>"ldapADIdentitySource.useSubDomainForUsers="&amp;'Deploy Parameters'!J21</f>
        <v>ldapADIdentitySource.useSubDomainForUsers=false</v>
      </c>
    </row>
    <row r="46" spans="1:1">
      <c r="A46" s="1" t="s">
        <v>590</v>
      </c>
    </row>
    <row r="47" spans="1:1">
      <c r="A47" s="7" t="str">
        <f>IF('Deploy Parameters'!J23="n/a","sso-site-name@value=","sso-site-name@value="&amp;'Deploy Parameters'!J23)</f>
        <v>sso-site-name@value=sfo01</v>
      </c>
    </row>
    <row r="48" spans="1:1">
      <c r="A48" s="12" t="str">
        <f>IF('Deploy Parameters'!J23="n/a","compute-sso-site-name@value=","compute-sso-site-name@value="&amp;'Deploy Parameters'!J23)</f>
        <v>compute-sso-site-name@value=sfo01</v>
      </c>
    </row>
    <row r="49" spans="1:1">
      <c r="A49" s="1" t="s">
        <v>591</v>
      </c>
    </row>
    <row r="50" spans="1:1">
      <c r="A50" s="5" t="str">
        <f>"region-name@value="&amp;'Deploy Parameters'!J23</f>
        <v>region-name@value=sfo01</v>
      </c>
    </row>
    <row r="52" spans="1:1">
      <c r="A52" s="1" t="s">
        <v>104</v>
      </c>
    </row>
    <row r="53" spans="1:1">
      <c r="A53" s="1" t="s">
        <v>105</v>
      </c>
    </row>
    <row r="54" spans="1:1">
      <c r="A54" s="5" t="str">
        <f>"domain-join-ad-user.username="&amp;'Users and Groups'!B18</f>
        <v>domain-join-ad-user.username=svc-domain-join</v>
      </c>
    </row>
    <row r="55" spans="1:1">
      <c r="A55" s="5" t="str">
        <f>"domain-join-ad-user.password="&amp;'Users and Groups'!C18</f>
        <v>domain-join-ad-user.password=VMware1!</v>
      </c>
    </row>
    <row r="56" spans="1:1">
      <c r="A56" s="1" t="s">
        <v>106</v>
      </c>
    </row>
    <row r="57" spans="1:1">
      <c r="A57" s="5" t="str">
        <f>"svc-nsxmanager-ad-user.username="&amp;'Users and Groups'!B23</f>
        <v>svc-nsxmanager-ad-user.username=svc-nsxmanager</v>
      </c>
    </row>
    <row r="58" spans="1:1">
      <c r="A58" s="5" t="str">
        <f>"svc-nsxmanager-ad-user.password="&amp;'Users and Groups'!C23</f>
        <v>svc-nsxmanager-ad-user.password=VMware1!</v>
      </c>
    </row>
    <row r="61" spans="1:1">
      <c r="A61" s="1" t="s">
        <v>115</v>
      </c>
    </row>
    <row r="62" spans="1:1">
      <c r="A62" s="1" t="s">
        <v>39</v>
      </c>
    </row>
    <row r="63" spans="1:1">
      <c r="A63" s="5" t="str">
        <f>"esxi.username="&amp;'Users and Groups'!B17</f>
        <v>esxi.username=root</v>
      </c>
    </row>
    <row r="64" spans="1:1">
      <c r="A64" s="5" t="str">
        <f>"esxi.password="&amp;'Users and Groups'!C17</f>
        <v>esxi.password=VMware1!</v>
      </c>
    </row>
    <row r="65" spans="1:1">
      <c r="A65" s="6"/>
    </row>
    <row r="66" spans="1:1">
      <c r="A66" s="6" t="s">
        <v>155</v>
      </c>
    </row>
    <row r="67" spans="1:1">
      <c r="A67" s="5" t="str">
        <f>"vcenter-root-credentials@password="&amp;'Users and Groups'!C20</f>
        <v>vcenter-root-credentials@password=VMware1!</v>
      </c>
    </row>
    <row r="68" spans="1:1">
      <c r="A68" s="6" t="s">
        <v>156</v>
      </c>
    </row>
    <row r="69" spans="1:1">
      <c r="A69" s="5" t="str">
        <f>"vcenter-admin-credentials@password="&amp;'Users and Groups'!C19</f>
        <v>vcenter-admin-credentials@password=VMware1!</v>
      </c>
    </row>
    <row r="70" spans="1:1">
      <c r="A70" s="5" t="s">
        <v>240</v>
      </c>
    </row>
    <row r="71" spans="1:1">
      <c r="A71" s="5" t="str">
        <f>"vCenterAdmins-ad-group.name="&amp;'Users and Groups'!B8</f>
        <v>vCenterAdmins-ad-group.name=ug-vCenterAdmins</v>
      </c>
    </row>
    <row r="72" spans="1:1">
      <c r="A72" s="6"/>
    </row>
    <row r="73" spans="1:1">
      <c r="A73" s="6" t="s">
        <v>157</v>
      </c>
    </row>
    <row r="74" spans="1:1">
      <c r="A74" s="5" t="str">
        <f>"nsx-admin-credentials@password="&amp;'Users and Groups'!C21</f>
        <v>nsx-admin-credentials@password=VMware1!</v>
      </c>
    </row>
    <row r="75" spans="1:1">
      <c r="A75" s="6" t="s">
        <v>1122</v>
      </c>
    </row>
    <row r="76" spans="1:1">
      <c r="A76" s="5" t="str">
        <f>"nsx-cli-privilege-password@value="&amp;'Users and Groups'!C22</f>
        <v>nsx-cli-privilege-password@value=VMware1!</v>
      </c>
    </row>
    <row r="77" spans="1:1">
      <c r="A77" s="6"/>
    </row>
    <row r="78" spans="1:1">
      <c r="A78" s="6" t="s">
        <v>231</v>
      </c>
    </row>
    <row r="79" spans="1:1" ht="16">
      <c r="A79" s="8" t="str">
        <f>"physical-nic-dedicated-to-mgmt-dvs@value="&amp;'Deploy Parameters'!F34</f>
        <v>physical-nic-dedicated-to-mgmt-dvs@value=vmnic1</v>
      </c>
    </row>
    <row r="80" spans="1:1" ht="16">
      <c r="A80" s="8" t="str">
        <f>"physical-nic-dedicated-to-edge-dvs@value="&amp;'Deploy Parameters'!F37</f>
        <v>physical-nic-dedicated-to-edge-dvs@value=vmnic1</v>
      </c>
    </row>
    <row r="81" spans="1:1">
      <c r="A81" s="15" t="s">
        <v>1006</v>
      </c>
    </row>
    <row r="82" spans="1:1">
      <c r="A82" s="15" t="s">
        <v>503</v>
      </c>
    </row>
    <row r="83" spans="1:1">
      <c r="A83" s="16" t="str">
        <f>IF('Deploy Parameters'!F35="n/a","management-hosts-vss-name@value=","management-hosts-vss-name@value="&amp;'Deploy Parameters'!F35)</f>
        <v>management-hosts-vss-name@value=vSwitch0</v>
      </c>
    </row>
    <row r="84" spans="1:1">
      <c r="A84" s="16" t="str">
        <f>"management-hosts-vmnic="&amp;'Deploy Parameters'!F36</f>
        <v>management-hosts-vmnic=vmnic0</v>
      </c>
    </row>
    <row r="85" spans="1:1">
      <c r="A85" s="15" t="s">
        <v>1007</v>
      </c>
    </row>
    <row r="86" spans="1:1">
      <c r="A86" s="16" t="str">
        <f>IF('Deploy Parameters'!F38="n/a","edge-hosts-vss-name@value=","edge-hosts-vss-name@value="&amp;'Deploy Parameters'!F38)</f>
        <v>edge-hosts-vss-name@value=vSwitch0</v>
      </c>
    </row>
    <row r="87" spans="1:1">
      <c r="A87" s="16" t="str">
        <f>"compute-hosts-vmnic="&amp;'Deploy Parameters'!F39</f>
        <v>compute-hosts-vmnic=vmnic0</v>
      </c>
    </row>
    <row r="88" spans="1:1">
      <c r="A88" s="6"/>
    </row>
    <row r="89" spans="1:1">
      <c r="A89" s="6" t="s">
        <v>236</v>
      </c>
    </row>
    <row r="90" spans="1:1">
      <c r="A90" s="7" t="str">
        <f>IF('Deploy Parameters'!F42="n/a","management-vsan-datastore-name@value=","management-vsan-datastore-name@value="&amp;'Deploy Parameters'!F42)</f>
        <v>management-vsan-datastore-name@value=sfo01-m01-vsan</v>
      </c>
    </row>
    <row r="91" spans="1:1">
      <c r="A91" s="7" t="str">
        <f>IF('Deploy Parameters'!F43="n/a","edge-vsan-datastore-name@value=","edge-vsan-datastore-name@value="&amp;'Deploy Parameters'!F43)</f>
        <v>edge-vsan-datastore-name@value=sfo01-w01-vsan</v>
      </c>
    </row>
    <row r="92" spans="1:1">
      <c r="A92" s="6"/>
    </row>
    <row r="93" spans="1:1">
      <c r="A93" s="1" t="s">
        <v>562</v>
      </c>
    </row>
    <row r="94" spans="1:1">
      <c r="A94" s="5" t="str">
        <f>IF('Hosts and Networks'!H7="n/a","esxi.mgmt-1.address=","esxi.mgmt-1.address="&amp;'Hosts and Networks'!H7)</f>
        <v>esxi.mgmt-1.address=172.16.11.101</v>
      </c>
    </row>
    <row r="95" spans="1:1">
      <c r="A95" s="5" t="str">
        <f>IF('Hosts and Networks'!H6="n/a","esxi.mgmt-1.hostname=","esxi.mgmt-1.hostname="&amp;'Hosts and Networks'!H6)</f>
        <v>esxi.mgmt-1.hostname=sfo01m01esx01.sfo01.rainpole.local</v>
      </c>
    </row>
    <row r="96" spans="1:1">
      <c r="A96" s="5" t="str">
        <f>IF('Hosts and Networks'!I7="n/a","esxi.mgmt-2.address=","esxi.mgmt-2.address="&amp;'Hosts and Networks'!I7)</f>
        <v>esxi.mgmt-2.address=172.16.11.102</v>
      </c>
    </row>
    <row r="97" spans="1:1">
      <c r="A97" s="5" t="str">
        <f>IF('Hosts and Networks'!I6="n/a","esxi.mgmt-2.hostname=","esxi.mgmt-2.hostname="&amp;'Hosts and Networks'!I6)</f>
        <v>esxi.mgmt-2.hostname=sfo01m01esx02.sfo01.rainpole.local</v>
      </c>
    </row>
    <row r="98" spans="1:1">
      <c r="A98" s="5" t="str">
        <f>IF('Hosts and Networks'!J7="n/a","esxi.mgmt-3.address=","esxi.mgmt-3.address="&amp;'Hosts and Networks'!J7)</f>
        <v>esxi.mgmt-3.address=172.16.11.103</v>
      </c>
    </row>
    <row r="99" spans="1:1">
      <c r="A99" s="5" t="str">
        <f>IF('Hosts and Networks'!J6="n/a","esxi.mgmt-3.hostname=","esxi.mgmt-3.hostname="&amp;'Hosts and Networks'!J6)</f>
        <v>esxi.mgmt-3.hostname=sfo01m01esx03.sfo01.rainpole.local</v>
      </c>
    </row>
    <row r="100" spans="1:1">
      <c r="A100" s="5" t="str">
        <f>IF('Hosts and Networks'!K7="n/a","esxi.mgmt-4.address=","esxi.mgmt-4.address="&amp;'Hosts and Networks'!K7)</f>
        <v>esxi.mgmt-4.address=172.16.11.104</v>
      </c>
    </row>
    <row r="101" spans="1:1">
      <c r="A101" s="5" t="str">
        <f>IF('Hosts and Networks'!K6="n/a","esxi.mgmt-4.hostname=","esxi.mgmt-4.hostname="&amp;'Hosts and Networks'!K6)</f>
        <v>esxi.mgmt-4.hostname=sfo01m01esx04.sfo01.rainpole.local</v>
      </c>
    </row>
    <row r="102" spans="1:1">
      <c r="A102" s="5" t="str">
        <f>IF('Hosts and Networks'!L7="n/a","esxi.mgmt-5.address=","esxi.mgmt-5.address="&amp;'Hosts and Networks'!L7)</f>
        <v>esxi.mgmt-5.address=</v>
      </c>
    </row>
    <row r="103" spans="1:1">
      <c r="A103" s="5" t="str">
        <f>IF('Hosts and Networks'!L6="n/a","esxi.mgmt-5.hostname=","esxi.mgmt-5.hostname="&amp;'Hosts and Networks'!L6)</f>
        <v>esxi.mgmt-5.hostname=</v>
      </c>
    </row>
    <row r="104" spans="1:1">
      <c r="A104" s="5" t="str">
        <f>IF('Hosts and Networks'!M7="n/a","esxi.mgmt-6.address=","esxi.mgmt-6.address="&amp;'Hosts and Networks'!M7)</f>
        <v>esxi.mgmt-6.address=</v>
      </c>
    </row>
    <row r="105" spans="1:1">
      <c r="A105" s="5" t="str">
        <f>IF('Hosts and Networks'!M6="n/a","esxi.mgmt-6.hostname=","esxi.mgmt-6.hostname="&amp;'Hosts and Networks'!M6)</f>
        <v>esxi.mgmt-6.hostname=</v>
      </c>
    </row>
    <row r="106" spans="1:1">
      <c r="A106" s="5" t="str">
        <f>(IF('Hosts and Networks'!N7="n/a","esxi.mgmt-7.address=","esxi.mgmt-7.address="&amp;'Hosts and Networks'!N7))</f>
        <v>esxi.mgmt-7.address=</v>
      </c>
    </row>
    <row r="107" spans="1:1">
      <c r="A107" s="5" t="str">
        <f>IF('Hosts and Networks'!N6="n/a","esxi.mgmt-7.hostname=","esxi.mgmt-7.hostname="&amp;'Hosts and Networks'!N6)</f>
        <v>esxi.mgmt-7.hostname=</v>
      </c>
    </row>
    <row r="108" spans="1:1">
      <c r="A108" s="5" t="str">
        <f>IF('Hosts and Networks'!O7="n/a","esxi.mgmt-8.address=","esxi.mgmt-8.address="&amp;'Hosts and Networks'!O7)</f>
        <v>esxi.mgmt-8.address=</v>
      </c>
    </row>
    <row r="109" spans="1:1">
      <c r="A109" s="5" t="str">
        <f>IF('Hosts and Networks'!O6="n/a","esxi.mgmt-8.hostname=","esxi.mgmt-8.hostname="&amp;'Hosts and Networks'!O6)</f>
        <v>esxi.mgmt-8.hostname=</v>
      </c>
    </row>
    <row r="110" spans="1:1">
      <c r="A110" s="1" t="s">
        <v>113</v>
      </c>
    </row>
    <row r="111" spans="1:1">
      <c r="A111" s="5" t="str">
        <f>IF('Deploy Parameters'!F13="n/a","datastore-mgmt-high.name=","datastore-mgmt-high.name="&amp;'Deploy Parameters'!F13)</f>
        <v>datastore-mgmt-high.name=sfo01-m01-nfs01</v>
      </c>
    </row>
    <row r="112" spans="1:1">
      <c r="A112" s="1" t="s">
        <v>160</v>
      </c>
    </row>
    <row r="113" spans="1:1">
      <c r="A113" s="5" t="str">
        <f>"mgmtVmotionNetwork.cidrNotation="&amp;'Hosts and Networks'!D9</f>
        <v>mgmtVmotionNetwork.cidrNotation=172.16.12.0/24</v>
      </c>
    </row>
    <row r="114" spans="1:1">
      <c r="A114" s="5" t="str">
        <f>"mgmtVmotionNetwork.gateway="&amp;'Hosts and Networks'!E9</f>
        <v>mgmtVmotionNetwork.gateway=172.16.12.253</v>
      </c>
    </row>
    <row r="115" spans="1:1">
      <c r="A115" s="5" t="str">
        <f>IF('Hosts and Networks'!H9="n/a","esx-mgmt-1VmotionVmkernelIp.address=","esx-mgmt-1VmotionVmkernelIp.address="&amp;'Hosts and Networks'!H9)</f>
        <v>esx-mgmt-1VmotionVmkernelIp.address=172.16.12.101</v>
      </c>
    </row>
    <row r="116" spans="1:1">
      <c r="A116" s="5" t="str">
        <f>IF('Hosts and Networks'!I9="n/a","esx-mgmt-2VmotionVmkernelIp.address=","esx-mgmt-2VmotionVmkernelIp.address="&amp;'Hosts and Networks'!I9)</f>
        <v>esx-mgmt-2VmotionVmkernelIp.address=172.16.12.102</v>
      </c>
    </row>
    <row r="117" spans="1:1">
      <c r="A117" s="5" t="str">
        <f>IF('Hosts and Networks'!J9="n/a","esx-mgmt-3VmotionVmkernelIp.address=","esx-mgmt-3VmotionVmkernelIp.address="&amp;'Hosts and Networks'!J9)</f>
        <v>esx-mgmt-3VmotionVmkernelIp.address=172.16.12.103</v>
      </c>
    </row>
    <row r="118" spans="1:1">
      <c r="A118" s="5" t="str">
        <f>IF('Hosts and Networks'!K9="n/a","esx-mgmt-4VmotionVmkernelIp.address=","esx-mgmt-4VmotionVmkernelIp.address="&amp;'Hosts and Networks'!K9)</f>
        <v>esx-mgmt-4VmotionVmkernelIp.address=172.16.12.104</v>
      </c>
    </row>
    <row r="119" spans="1:1">
      <c r="A119" s="5" t="str">
        <f>IF('Hosts and Networks'!L9="n/a","esx-mgmt-5VmotionVmkernelIp.address=","esx-mgmt-5VmotionVmkernelIp.address="&amp;'Hosts and Networks'!L9)</f>
        <v>esx-mgmt-5VmotionVmkernelIp.address=</v>
      </c>
    </row>
    <row r="120" spans="1:1">
      <c r="A120" s="5" t="str">
        <f>IF('Hosts and Networks'!M9="n/a","esx-mgmt-6VmotionVmkernelIp.address=","esx-mgmt-6VmotionVmkernelIp.address="&amp;'Hosts and Networks'!M9)</f>
        <v>esx-mgmt-6VmotionVmkernelIp.address=</v>
      </c>
    </row>
    <row r="121" spans="1:1">
      <c r="A121" s="5" t="str">
        <f>IF('Hosts and Networks'!N9="n/a","esx-mgmt-7VmotionVmkernelIp.address=","esx-mgmt-7VmotionVmkernelIp.address="&amp;'Hosts and Networks'!N9)</f>
        <v>esx-mgmt-7VmotionVmkernelIp.address=</v>
      </c>
    </row>
    <row r="122" spans="1:1">
      <c r="A122" s="5" t="str">
        <f>IF('Hosts and Networks'!O9="n/a","esx-mgmt-8VmotionVmkernelIp.address=","esx-mgmt-8VmotionVmkernelIp.address="&amp;'Hosts and Networks'!O9)</f>
        <v>esx-mgmt-8VmotionVmkernelIp.address=</v>
      </c>
    </row>
    <row r="123" spans="1:1">
      <c r="A123" s="1" t="s">
        <v>161</v>
      </c>
    </row>
    <row r="124" spans="1:1">
      <c r="A124" s="5" t="str">
        <f>IF('Hosts and Networks'!D10="n/a","mgmtVsanNetwork.cidrNotation=","mgmtVsanNetwork.cidrNotation="&amp;'Hosts and Networks'!D10)</f>
        <v>mgmtVsanNetwork.cidrNotation=172.16.13.0/24</v>
      </c>
    </row>
    <row r="125" spans="1:1">
      <c r="A125" s="5" t="str">
        <f>IF('Hosts and Networks'!E10="n/a","mgmtVsanNetwork.gateway=","mgmtVsanNetwork.gateway="&amp;'Hosts and Networks'!E10)</f>
        <v>mgmtVsanNetwork.gateway=172.16.13.253</v>
      </c>
    </row>
    <row r="126" spans="1:1">
      <c r="A126" s="5" t="str">
        <f>IF('Hosts and Networks'!H10="n/a","esx-mgmt-1VsanVmkernelIp.address=","esx-mgmt-1VsanVmkernelIp.address="&amp;'Hosts and Networks'!H10)</f>
        <v>esx-mgmt-1VsanVmkernelIp.address=172.16.13.101</v>
      </c>
    </row>
    <row r="127" spans="1:1">
      <c r="A127" s="5" t="str">
        <f>IF('Hosts and Networks'!I10="n/a","esx-mgmt-2VsanVmkernelIp.address=","esx-mgmt-2VsanVmkernelIp.address="&amp;'Hosts and Networks'!I10)</f>
        <v>esx-mgmt-2VsanVmkernelIp.address=172.16.13.102</v>
      </c>
    </row>
    <row r="128" spans="1:1">
      <c r="A128" s="5" t="str">
        <f>IF('Hosts and Networks'!J10="n/a","esx-mgmt-3VsanVmkernelIp.address=","esx-mgmt-3VsanVmkernelIp.address="&amp;'Hosts and Networks'!J10)</f>
        <v>esx-mgmt-3VsanVmkernelIp.address=172.16.13.103</v>
      </c>
    </row>
    <row r="129" spans="1:1">
      <c r="A129" s="5" t="str">
        <f>IF('Hosts and Networks'!K10="n/a","esx-mgmt-4VsanVmkernelIp.address=","esx-mgmt-4VsanVmkernelIp.address="&amp;'Hosts and Networks'!K10)</f>
        <v>esx-mgmt-4VsanVmkernelIp.address=172.16.13.104</v>
      </c>
    </row>
    <row r="130" spans="1:1">
      <c r="A130" s="5" t="str">
        <f>IF('Hosts and Networks'!L10="n/a","esx-mgmt-5VsanVmkernelIp.address=","esx-mgmt-5VsanVmkernelIp.address="&amp;'Hosts and Networks'!L10)</f>
        <v>esx-mgmt-5VsanVmkernelIp.address=</v>
      </c>
    </row>
    <row r="131" spans="1:1">
      <c r="A131" s="5" t="str">
        <f>IF('Hosts and Networks'!M10="n/a","esx-mgmt-6VsanVmkernelIp.address=","esx-mgmt-6VsanVmkernelIp.address="&amp;'Hosts and Networks'!M10)</f>
        <v>esx-mgmt-6VsanVmkernelIp.address=</v>
      </c>
    </row>
    <row r="132" spans="1:1">
      <c r="A132" s="5" t="str">
        <f>IF('Hosts and Networks'!N10="n/a","esx-mgmt-7VsanVmkernelIp.address=","esx-mgmt-7VsanVmkernelIp.address="&amp;'Hosts and Networks'!N10)</f>
        <v>esx-mgmt-7VsanVmkernelIp.address=</v>
      </c>
    </row>
    <row r="133" spans="1:1">
      <c r="A133" s="5" t="str">
        <f>IF('Hosts and Networks'!O10="n/a","esx-mgmt-8VsanVmkernelIp.address=","esx-mgmt-8VsanVmkernelIp.address="&amp;'Hosts and Networks'!O10)</f>
        <v>esx-mgmt-8VsanVmkernelIp.address=</v>
      </c>
    </row>
    <row r="134" spans="1:1">
      <c r="A134" s="1" t="s">
        <v>474</v>
      </c>
    </row>
    <row r="135" spans="1:1">
      <c r="A135" s="5" t="str">
        <f>IF('Hosts and Networks'!H11="n/a","esx-mgmt-1ReplicationVmkernelIp.address=","esx-mgmt-1ReplicationVmkernelIp.address="&amp;'Hosts and Networks'!H11)</f>
        <v>esx-mgmt-1ReplicationVmkernelIp.address=172.16.16.101</v>
      </c>
    </row>
    <row r="136" spans="1:1">
      <c r="A136" s="5" t="str">
        <f>IF('Hosts and Networks'!I11="n/a","esx-mgmt-2ReplicationVmkernelIp.address=","esx-mgmt-2ReplicationVmkernelIp.address="&amp;'Hosts and Networks'!I11)</f>
        <v>esx-mgmt-2ReplicationVmkernelIp.address=172.16.16.102</v>
      </c>
    </row>
    <row r="137" spans="1:1">
      <c r="A137" s="5" t="str">
        <f>IF('Hosts and Networks'!J11="n/a","esx-mgmt-3ReplicationVmkernelIp.address=","esx-mgmt-3ReplicationVmkernelIp.address="&amp;'Hosts and Networks'!J11)</f>
        <v>esx-mgmt-3ReplicationVmkernelIp.address=172.16.16.103</v>
      </c>
    </row>
    <row r="138" spans="1:1">
      <c r="A138" s="5" t="str">
        <f>IF('Hosts and Networks'!K11="n/a","esx-mgmt-4ReplicationVmkernelIp.address=","esx-mgmt-4ReplicationVmkernelIp.address="&amp;'Hosts and Networks'!K11)</f>
        <v>esx-mgmt-4ReplicationVmkernelIp.address=172.16.16.104</v>
      </c>
    </row>
    <row r="139" spans="1:1">
      <c r="A139" s="5" t="str">
        <f>IF('Hosts and Networks'!L11="n/a","esx-mgmt-5ReplicationVmkernelIp.address=","esx-mgmt-5ReplicationVmkernelIp.address="&amp;'Hosts and Networks'!L11)</f>
        <v>esx-mgmt-5ReplicationVmkernelIp.address=</v>
      </c>
    </row>
    <row r="140" spans="1:1">
      <c r="A140" s="5" t="str">
        <f>IF('Hosts and Networks'!M11="n/a","esx-mgmt-6ReplicationVmkernelIp.address=","esx-mgmt-6ReplicationVmkernelIp.address="&amp;'Hosts and Networks'!M11)</f>
        <v>esx-mgmt-6ReplicationVmkernelIp.address=</v>
      </c>
    </row>
    <row r="141" spans="1:1">
      <c r="A141" s="5" t="str">
        <f>IF('Hosts and Networks'!N11="n/a","esx-mgmt-7ReplicationVmkernelIp.address=","esx-mgmt-7ReplicationVmkernelIp.address="&amp;'Hosts and Networks'!N11)</f>
        <v>esx-mgmt-7ReplicationVmkernelIp.address=</v>
      </c>
    </row>
    <row r="142" spans="1:1">
      <c r="A142" s="5" t="str">
        <f>IF('Hosts and Networks'!O11="n/a","esx-mgmt-8ReplicationVmkernelIp.address=","esx-mgmt-8ReplicationVmkernelIp.address="&amp;'Hosts and Networks'!O11)</f>
        <v>esx-mgmt-8ReplicationVmkernelIp.address=</v>
      </c>
    </row>
    <row r="143" spans="1:1" s="6" customFormat="1"/>
    <row r="144" spans="1:1">
      <c r="A144" s="1" t="s">
        <v>981</v>
      </c>
    </row>
    <row r="145" spans="1:1">
      <c r="A145" s="5" t="str">
        <f>IF('Hosts and Networks'!H18="n/a","esxi.edge-1.address=","esxi.edge-1.address="&amp;'Hosts and Networks'!H18)</f>
        <v>esxi.edge-1.address=172.16.31.101</v>
      </c>
    </row>
    <row r="146" spans="1:1">
      <c r="A146" s="5" t="str">
        <f>IF('Hosts and Networks'!H17="n/a","esxi.edge-1.hostname=","esxi.edge-1.hostname="&amp;'Hosts and Networks'!H17)</f>
        <v>esxi.edge-1.hostname=sfo01w01esx01.sfo01.rainpole.local</v>
      </c>
    </row>
    <row r="147" spans="1:1">
      <c r="A147" s="5" t="str">
        <f>IF('Hosts and Networks'!I18="n/a","esxi.edge-2.address=","esxi.edge-2.address="&amp;'Hosts and Networks'!I18)</f>
        <v>esxi.edge-2.address=172.16.31.102</v>
      </c>
    </row>
    <row r="148" spans="1:1">
      <c r="A148" s="5" t="str">
        <f>IF('Hosts and Networks'!I17="n/a","esxi.edge-2.hostname=","esxi.edge-2.hostname="&amp;'Hosts and Networks'!I17)</f>
        <v>esxi.edge-2.hostname=sfo01w01esx02.sfo01.rainpole.local</v>
      </c>
    </row>
    <row r="149" spans="1:1">
      <c r="A149" s="5" t="str">
        <f>IF('Hosts and Networks'!J18="n/a","esxi.edge-3.address=","esxi.edge-3.address="&amp;'Hosts and Networks'!J18)</f>
        <v>esxi.edge-3.address=172.16.31.103</v>
      </c>
    </row>
    <row r="150" spans="1:1">
      <c r="A150" s="5" t="str">
        <f>IF('Hosts and Networks'!J17="n/a","esxi.edge-3.hostname=","esxi.edge-3.hostname="&amp;'Hosts and Networks'!J17)</f>
        <v>esxi.edge-3.hostname=sfo01w01esx03.sfo01.rainpole.local</v>
      </c>
    </row>
    <row r="151" spans="1:1">
      <c r="A151" s="5" t="str">
        <f>IF('Hosts and Networks'!K18="n/a","esxi.edge-4.address=","esxi.edge-4.address="&amp;'Hosts and Networks'!K18)</f>
        <v>esxi.edge-4.address=172.16.31.104</v>
      </c>
    </row>
    <row r="152" spans="1:1">
      <c r="A152" s="5" t="str">
        <f>IF('Hosts and Networks'!K17="n/a","esxi.edge-4.hostname=","esxi.edge-4.hostname="&amp;'Hosts and Networks'!K17)</f>
        <v>esxi.edge-4.hostname=sfo01w01esx04.sfo01.rainpole.local</v>
      </c>
    </row>
    <row r="153" spans="1:1">
      <c r="A153" s="5" t="str">
        <f>IF('Hosts and Networks'!L18="n/a","esxi.edge-5.address=","esxi.edge-5.address="&amp;'Hosts and Networks'!L18)</f>
        <v>esxi.edge-5.address=</v>
      </c>
    </row>
    <row r="154" spans="1:1">
      <c r="A154" s="5" t="str">
        <f>IF('Hosts and Networks'!L17="n/a","esxi.edge-5.hostname=","esxi.edge-5.hostname="&amp;'Hosts and Networks'!L17)</f>
        <v>esxi.edge-5.hostname=</v>
      </c>
    </row>
    <row r="155" spans="1:1">
      <c r="A155" s="5" t="str">
        <f>IF('Hosts and Networks'!M18="n/a","esxi.edge-6.address=","esxi.edge-6.address="&amp;'Hosts and Networks'!M18)</f>
        <v>esxi.edge-6.address=</v>
      </c>
    </row>
    <row r="156" spans="1:1">
      <c r="A156" s="5" t="str">
        <f>IF('Hosts and Networks'!M17="n/a","esxi.edge-6.hostname=","esxi.edge-6.hostname="&amp;'Hosts and Networks'!M17)</f>
        <v>esxi.edge-6.hostname=</v>
      </c>
    </row>
    <row r="157" spans="1:1">
      <c r="A157" s="5" t="str">
        <f>IF('Hosts and Networks'!N18="n/a","esxi.edge-7.address=","esxi.edge-7.address="&amp;'Hosts and Networks'!N18)</f>
        <v>esxi.edge-7.address=</v>
      </c>
    </row>
    <row r="158" spans="1:1">
      <c r="A158" s="5" t="str">
        <f>IF('Hosts and Networks'!N17="n/a","esxi.edge-7.hostname=","esxi.edge-7.hostname="&amp;'Hosts and Networks'!N17)</f>
        <v>esxi.edge-7.hostname=</v>
      </c>
    </row>
    <row r="159" spans="1:1">
      <c r="A159" s="5" t="str">
        <f>IF('Hosts and Networks'!O18="n/a","esxi.edge-8.address=","esxi.edge-8.address="&amp;'Hosts and Networks'!O18)</f>
        <v>esxi.edge-8.address=</v>
      </c>
    </row>
    <row r="160" spans="1:1">
      <c r="A160" s="5" t="str">
        <f>IF('Hosts and Networks'!O17="n/a","esxi.edge-8.hostname=","esxi.edge-8.hostname="&amp;'Hosts and Networks'!O17)</f>
        <v>esxi.edge-8.hostname=</v>
      </c>
    </row>
    <row r="161" spans="1:1">
      <c r="A161" s="1" t="s">
        <v>114</v>
      </c>
    </row>
    <row r="162" spans="1:1">
      <c r="A162" s="5" t="str">
        <f>IF('Deploy Parameters'!F14="n/a","datastore-edge-high.name=","datastore-edge-high.name="&amp;'Deploy Parameters'!F14)</f>
        <v>datastore-edge-high.name=sfo01-w01-nfs01</v>
      </c>
    </row>
    <row r="163" spans="1:1">
      <c r="A163" s="1" t="s">
        <v>980</v>
      </c>
    </row>
    <row r="164" spans="1:1">
      <c r="A164" s="5" t="str">
        <f>IF('Hosts and Networks'!D20="n/a","edgeVmotionNetwork.cidrNotation=","edgeVmotionNetwork.cidrNotation="&amp;'Hosts and Networks'!D20)</f>
        <v>edgeVmotionNetwork.cidrNotation=172.16.32.0/24</v>
      </c>
    </row>
    <row r="165" spans="1:1">
      <c r="A165" s="5" t="str">
        <f>"edgeVmotionNetwork.gateway="&amp;'Hosts and Networks'!E20</f>
        <v>edgeVmotionNetwork.gateway=172.16.32.253</v>
      </c>
    </row>
    <row r="166" spans="1:1">
      <c r="A166" s="5" t="str">
        <f>IF('Hosts and Networks'!H20="n/a","esx-edge-1VmotionVmkernelIp.address=","esx-edge-1VmotionVmkernelIp.address="&amp;'Hosts and Networks'!H20)</f>
        <v>esx-edge-1VmotionVmkernelIp.address=172.16.32.101</v>
      </c>
    </row>
    <row r="167" spans="1:1">
      <c r="A167" s="5" t="str">
        <f>IF('Hosts and Networks'!I20="n/a","esx-edge-2VmotionVmkernelIp.address=","esx-edge-2VmotionVmkernelIp.address="&amp;'Hosts and Networks'!I20)</f>
        <v>esx-edge-2VmotionVmkernelIp.address=172.16.32.102</v>
      </c>
    </row>
    <row r="168" spans="1:1">
      <c r="A168" s="5" t="str">
        <f>IF('Hosts and Networks'!J20="n/a","esx-edge-3VmotionVmkernelIp.address=","esx-edge-3VmotionVmkernelIp.address="&amp;'Hosts and Networks'!J20)</f>
        <v>esx-edge-3VmotionVmkernelIp.address=172.16.32.103</v>
      </c>
    </row>
    <row r="169" spans="1:1">
      <c r="A169" s="5" t="str">
        <f>IF('Hosts and Networks'!K20="n/a","esx-edge-4VmotionVmkernelIp.address=","esx-edge-4VmotionVmkernelIp.address="&amp;'Hosts and Networks'!K20)</f>
        <v>esx-edge-4VmotionVmkernelIp.address=172.16.32.104</v>
      </c>
    </row>
    <row r="170" spans="1:1">
      <c r="A170" s="5" t="str">
        <f>IF('Hosts and Networks'!L20="n/a","esx-edge-5VmotionVmkernelIp.address=","esx-edge-5VmotionVmkernelIp.address="&amp;'Hosts and Networks'!L20)</f>
        <v>esx-edge-5VmotionVmkernelIp.address=</v>
      </c>
    </row>
    <row r="171" spans="1:1">
      <c r="A171" s="5" t="str">
        <f>IF('Hosts and Networks'!M20="n/a","esx-edge-6VmotionVmkernelIp.address=","esx-edge-6VmotionVmkernelIp.address="&amp;'Hosts and Networks'!M20)</f>
        <v>esx-edge-6VmotionVmkernelIp.address=</v>
      </c>
    </row>
    <row r="172" spans="1:1">
      <c r="A172" s="5" t="str">
        <f>IF('Hosts and Networks'!N20="n/a","esx-edge-7VmotionVmkernelIp.address=","esx-edge-7VmotionVmkernelIp.address="&amp;'Hosts and Networks'!N20)</f>
        <v>esx-edge-7VmotionVmkernelIp.address=</v>
      </c>
    </row>
    <row r="173" spans="1:1">
      <c r="A173" s="5" t="str">
        <f>IF('Hosts and Networks'!O20="n/a","esx-edge-8VmotionVmkernelIp.address=","esx-edge-8VmotionVmkernelIp.address="&amp;'Hosts and Networks'!O20)</f>
        <v>esx-edge-8VmotionVmkernelIp.address=</v>
      </c>
    </row>
    <row r="174" spans="1:1">
      <c r="A174" s="1" t="s">
        <v>982</v>
      </c>
    </row>
    <row r="175" spans="1:1">
      <c r="A175" s="5" t="str">
        <f>IF('Hosts and Networks'!D21="n/a","edgeVsanNetwork.cidrNotation=","edgeVsanNetwork.cidrNotation="&amp;'Hosts and Networks'!D21)</f>
        <v>edgeVsanNetwork.cidrNotation=172.16.33.0/24</v>
      </c>
    </row>
    <row r="176" spans="1:1">
      <c r="A176" s="5" t="str">
        <f>IF('Hosts and Networks'!E21="n/a","edgeVsanNetwork.gateway=","edgeVsanNetwork.gateway="&amp;'Hosts and Networks'!E21)</f>
        <v>edgeVsanNetwork.gateway=172.16.33.253</v>
      </c>
    </row>
    <row r="177" spans="1:1">
      <c r="A177" s="5" t="str">
        <f>IF('Hosts and Networks'!H21="n/a","esx-edge-1VsanVmkernelIp.address=","esx-edge-1VsanVmkernelIp.address="&amp;'Hosts and Networks'!H21)</f>
        <v>esx-edge-1VsanVmkernelIp.address=172.16.33.101</v>
      </c>
    </row>
    <row r="178" spans="1:1">
      <c r="A178" s="5" t="str">
        <f>IF('Hosts and Networks'!I21="n/a","esx-edge-2VsanVmkernelIp.address=","esx-edge-2VsanVmkernelIp.address="&amp;'Hosts and Networks'!I21)</f>
        <v>esx-edge-2VsanVmkernelIp.address=172.16.33.102</v>
      </c>
    </row>
    <row r="179" spans="1:1">
      <c r="A179" s="5" t="str">
        <f>IF('Hosts and Networks'!J21="n/a","esx-edge-3VsanVmkernelIp.address=","esx-edge-3VsanVmkernelIp.address="&amp;'Hosts and Networks'!J21)</f>
        <v>esx-edge-3VsanVmkernelIp.address=172.16.33.103</v>
      </c>
    </row>
    <row r="180" spans="1:1">
      <c r="A180" s="5" t="str">
        <f>IF('Hosts and Networks'!K21="n/a","esx-edge-4VsanVmkernelIp.address=","esx-edge-4VsanVmkernelIp.address="&amp;'Hosts and Networks'!K21)</f>
        <v>esx-edge-4VsanVmkernelIp.address=172.16.33.104</v>
      </c>
    </row>
    <row r="181" spans="1:1">
      <c r="A181" s="5" t="str">
        <f>IF('Hosts and Networks'!L21="n/a","esx-edge-5VsanVmkernelIp.address=","esx-edge-5VsanVmkernelIp.address="&amp;'Hosts and Networks'!L21)</f>
        <v>esx-edge-5VsanVmkernelIp.address=</v>
      </c>
    </row>
    <row r="182" spans="1:1">
      <c r="A182" s="5" t="str">
        <f>IF('Hosts and Networks'!M21="n/a","esx-edge-6VsanVmkernelIp.address=","esx-edge-6VsanVmkernelIp.address="&amp;'Hosts and Networks'!M21)</f>
        <v>esx-edge-6VsanVmkernelIp.address=</v>
      </c>
    </row>
    <row r="183" spans="1:1">
      <c r="A183" s="5" t="str">
        <f>IF('Hosts and Networks'!N21="n/a","esx-edge-7VsanVmkernelIp.address=","esx-edge-7VsanVmkernelIp.address="&amp;'Hosts and Networks'!N21)</f>
        <v>esx-edge-7VsanVmkernelIp.address=</v>
      </c>
    </row>
    <row r="184" spans="1:1">
      <c r="A184" s="5" t="str">
        <f>IF('Hosts and Networks'!O21="n/a","esx-edge-8VsanVmkernelIp.address=","esx-edge-8VsanVmkernelIp.address="&amp;'Hosts and Networks'!O21)</f>
        <v>esx-edge-8VsanVmkernelIp.address=</v>
      </c>
    </row>
    <row r="186" spans="1:1">
      <c r="A186" s="1" t="s">
        <v>983</v>
      </c>
    </row>
    <row r="187" spans="1:1">
      <c r="A187" s="16" t="str">
        <f>IF('Hosts and Networks'!D8="n/a","storageNetwork.cidrNotation=","storageNetwork.cidrNotation="&amp;'Hosts and Networks'!D8)</f>
        <v>storageNetwork.cidrNotation=172.16.15.0/24</v>
      </c>
    </row>
    <row r="188" spans="1:1">
      <c r="A188" s="16" t="str">
        <f>IF('Hosts and Networks'!H8="n/a","esx-mgmt-1StorageVmkernelIp.address=","esx-mgmt-1StorageVmkernelIp.address="&amp;'Hosts and Networks'!H8)</f>
        <v>esx-mgmt-1StorageVmkernelIp.address=172.16.15.101</v>
      </c>
    </row>
    <row r="189" spans="1:1">
      <c r="A189" s="16" t="str">
        <f>IF('Hosts and Networks'!I8="n/a","esx-mgmt-2StorageVmkernelIp.address=","esx-mgmt-2StorageVmkernelIp.address="&amp;'Hosts and Networks'!I8)</f>
        <v>esx-mgmt-2StorageVmkernelIp.address=172.16.15.102</v>
      </c>
    </row>
    <row r="190" spans="1:1">
      <c r="A190" s="16" t="str">
        <f>IF('Hosts and Networks'!J8="n/a","esx-mgmt-3StorageVmkernelIp.address=","esx-mgmt-3StorageVmkernelIp.address="&amp;'Hosts and Networks'!J8)</f>
        <v>esx-mgmt-3StorageVmkernelIp.address=172.16.15.103</v>
      </c>
    </row>
    <row r="191" spans="1:1">
      <c r="A191" s="16" t="str">
        <f>IF('Hosts and Networks'!K8="n/a","esx-mgmt-4StorageVmkernelIp.address=","esx-mgmt-4StorageVmkernelIp.address="&amp;'Hosts and Networks'!K8)</f>
        <v>esx-mgmt-4StorageVmkernelIp.address=172.16.15.104</v>
      </c>
    </row>
    <row r="192" spans="1:1">
      <c r="A192" s="16" t="str">
        <f>IF('Hosts and Networks'!L8="n/a","esx-mgmt-5StorageVmkernelIp.address=","esx-mgmt-5StorageVmkernelIp.address="&amp;'Hosts and Networks'!L8)</f>
        <v>esx-mgmt-5StorageVmkernelIp.address=</v>
      </c>
    </row>
    <row r="193" spans="1:1">
      <c r="A193" s="16" t="str">
        <f>IF('Hosts and Networks'!M8="n/a","esx-mgmt-6StorageVmkernelIp.address=","esx-mgmt-6StorageVmkernelIp.address="&amp;'Hosts and Networks'!M8)</f>
        <v>esx-mgmt-6StorageVmkernelIp.address=</v>
      </c>
    </row>
    <row r="194" spans="1:1">
      <c r="A194" s="16" t="str">
        <f>IF('Hosts and Networks'!N8="n/a","esx-mgmt-7StorageVmkernelIp.address=","esx-mgmt-7StorageVmkernelIp.address="&amp;'Hosts and Networks'!N8)</f>
        <v>esx-mgmt-7StorageVmkernelIp.address=</v>
      </c>
    </row>
    <row r="195" spans="1:1">
      <c r="A195" s="16" t="str">
        <f>IF('Hosts and Networks'!O8="n/a","esx-mgmt-8StorageVmkernelIp.address=","esx-mgmt-8StorageVmkernelIp.address="&amp;'Hosts and Networks'!O8)</f>
        <v>esx-mgmt-8StorageVmkernelIp.address=</v>
      </c>
    </row>
    <row r="196" spans="1:1">
      <c r="A196" s="1" t="s">
        <v>984</v>
      </c>
    </row>
    <row r="197" spans="1:1">
      <c r="A197" s="16" t="str">
        <f>IF('Hosts and Networks'!H19="n/a","esx-edge-1StorageVmkernelIp.address=","esx-edge-1StorageVmkernelIp.address="&amp;'Hosts and Networks'!H19)</f>
        <v>esx-edge-1StorageVmkernelIp.address=172.16.25.101</v>
      </c>
    </row>
    <row r="198" spans="1:1">
      <c r="A198" s="16" t="str">
        <f>IF('Hosts and Networks'!I19="n/a","esx-edge-2StorageVmkernelIp.address=","esx-edge-2StorageVmkernelIp.address="&amp;'Hosts and Networks'!I19)</f>
        <v>esx-edge-2StorageVmkernelIp.address=172.16.25.102</v>
      </c>
    </row>
    <row r="199" spans="1:1">
      <c r="A199" s="16" t="str">
        <f>IF('Hosts and Networks'!J19="n/a","esx-edge-3StorageVmkernelIp.address=","esx-edge-3StorageVmkernelIp.address="&amp;'Hosts and Networks'!J19)</f>
        <v>esx-edge-3StorageVmkernelIp.address=172.16.25.103</v>
      </c>
    </row>
    <row r="200" spans="1:1">
      <c r="A200" s="16" t="str">
        <f>IF('Hosts and Networks'!K19="n/a","esx-edge-4StorageVmkernelIp.address=","esx-edge-4StorageVmkernelIp.address="&amp;'Hosts and Networks'!K19)</f>
        <v>esx-edge-4StorageVmkernelIp.address=172.16.25.104</v>
      </c>
    </row>
    <row r="201" spans="1:1">
      <c r="A201" s="16" t="str">
        <f>IF('Hosts and Networks'!L19="n/a","esx-edge-5StorageVmkernelIp.address=","esx-edge-5StorageVmkernelIp.address="&amp;'Hosts and Networks'!L19)</f>
        <v>esx-edge-5StorageVmkernelIp.address=</v>
      </c>
    </row>
    <row r="202" spans="1:1">
      <c r="A202" s="16" t="str">
        <f>IF('Hosts and Networks'!M19="n/a","esx-edge-6StorageVmkernelIp.address=","esx-edge-6StorageVmkernelIp.address="&amp;'Hosts and Networks'!M19)</f>
        <v>esx-edge-6StorageVmkernelIp.address=</v>
      </c>
    </row>
    <row r="203" spans="1:1">
      <c r="A203" s="16" t="str">
        <f>IF('Hosts and Networks'!N19="n/a","esx-edge-7StorageVmkernelIp.address=","esx-edge-7StorageVmkernelIp.address="&amp;'Hosts and Networks'!N19)</f>
        <v>esx-edge-7StorageVmkernelIp.address=</v>
      </c>
    </row>
    <row r="204" spans="1:1">
      <c r="A204" s="16" t="str">
        <f>IF('Hosts and Networks'!O19="n/a","esx-edge-8StorageVmkernelIp.address=","esx-edge-8StorageVmkernelIp.address="&amp;'Hosts and Networks'!O19)</f>
        <v>esx-edge-8StorageVmkernelIp.address=</v>
      </c>
    </row>
    <row r="205" spans="1:1">
      <c r="A205" s="21"/>
    </row>
    <row r="206" spans="1:1">
      <c r="A206" s="1" t="s">
        <v>237</v>
      </c>
    </row>
    <row r="207" spans="1:1">
      <c r="A207" s="5" t="str">
        <f>"vtepManagementNetwork.gateway="&amp;'Hosts and Networks'!E12</f>
        <v>vtepManagementNetwork.gateway=172.16.14.253</v>
      </c>
    </row>
    <row r="208" spans="1:1">
      <c r="A208" s="5" t="str">
        <f>"vtepManagementNetwork.primaryDns="&amp;'Deploy Parameters'!F8</f>
        <v>vtepManagementNetwork.primaryDns=172.16.11.4</v>
      </c>
    </row>
    <row r="209" spans="1:1">
      <c r="A209" s="5" t="str">
        <f>IF('Deploy Parameters'!F9="n/a","vtepManagementNetwork.secondaryDns=","vtepManagementNetwork.secondaryDns="&amp;'Deploy Parameters'!F9)</f>
        <v>vtepManagementNetwork.secondaryDns=172.16.11.5</v>
      </c>
    </row>
    <row r="210" spans="1:1">
      <c r="A210" s="5" t="str">
        <f>IF('Deploy Parameters'!J16="n/a","vtepManagementNetwork.searchDomain="&amp;'Deploy Parameters'!J6,"vtepManagementNetwork.searchDomain="&amp;'Deploy Parameters'!J7)</f>
        <v>vtepManagementNetwork.searchDomain=sfo01.rainpole.local</v>
      </c>
    </row>
    <row r="211" spans="1:1">
      <c r="A211" s="5" t="str">
        <f>"vtepManagementNetwork.cidrNotation="&amp;'Hosts and Networks'!D12</f>
        <v>vtepManagementNetwork.cidrNotation=172.16.14.0/24</v>
      </c>
    </row>
    <row r="213" spans="1:1">
      <c r="A213" s="1" t="s">
        <v>238</v>
      </c>
    </row>
    <row r="214" spans="1:1">
      <c r="A214" s="5" t="str">
        <f>"vtepEdgeNetwork.gateway="&amp;'Hosts and Networks'!E22</f>
        <v>vtepEdgeNetwork.gateway=172.16.34.253</v>
      </c>
    </row>
    <row r="215" spans="1:1">
      <c r="A215" s="5" t="str">
        <f>"vtepEdgeNetwork.primaryDns="&amp;'Deploy Parameters'!F8</f>
        <v>vtepEdgeNetwork.primaryDns=172.16.11.4</v>
      </c>
    </row>
    <row r="216" spans="1:1">
      <c r="A216" s="5" t="str">
        <f>IF('Deploy Parameters'!F9="n/a","vtepEdgeNetwork.secondaryDns=","vtepEdgeNetwork.secondaryDns="&amp;'Deploy Parameters'!F9)</f>
        <v>vtepEdgeNetwork.secondaryDns=172.16.11.5</v>
      </c>
    </row>
    <row r="217" spans="1:1">
      <c r="A217" s="5" t="str">
        <f>IF('Deploy Parameters'!J16="n/a","vtepEdgeNetwork.searchDomain="&amp;'Deploy Parameters'!J6,"vtepEdgeNetwork.searchDomain="&amp;'Deploy Parameters'!J7)</f>
        <v>vtepEdgeNetwork.searchDomain=sfo01.rainpole.local</v>
      </c>
    </row>
    <row r="218" spans="1:1">
      <c r="A218" s="5" t="str">
        <f>"vtepEdgeNetwork.cidrNotation="&amp;'Hosts and Networks'!D22</f>
        <v>vtepEdgeNetwork.cidrNotation=172.16.34.0/24</v>
      </c>
    </row>
    <row r="220" spans="1:1">
      <c r="A220" s="1" t="s">
        <v>943</v>
      </c>
    </row>
    <row r="221" spans="1:1">
      <c r="A221" s="5" t="str">
        <f>IF('Hosts and Networks'!E8="n/a","StorageManagementNetwork.gateway=","StorageManagementNetwork.gateway="&amp;'Hosts and Networks'!E8)</f>
        <v>StorageManagementNetwork.gateway=172.16.15.253</v>
      </c>
    </row>
    <row r="222" spans="1:1">
      <c r="A222" s="5" t="str">
        <f>IF('Hosts and Networks'!E19="n/a","StorageComputeNetwork.gateway=","StorageComputeNetwork.gateway="&amp;'Hosts and Networks'!E19)</f>
        <v>StorageComputeNetwork.gateway=172.16.25.253</v>
      </c>
    </row>
    <row r="224" spans="1:1">
      <c r="A224" s="1" t="s">
        <v>239</v>
      </c>
    </row>
    <row r="225" spans="1:1">
      <c r="A225" s="5" t="str">
        <f>IF('Deploy Parameters'!G49="n/a","nsx-management-vtep-ip-pool.startAddress=","nsx-management-vtep-ip-pool.startAddress="&amp;'Deploy Parameters'!G49)</f>
        <v>nsx-management-vtep-ip-pool.startAddress=172.16.14.101</v>
      </c>
    </row>
    <row r="226" spans="1:1">
      <c r="A226" s="5" t="str">
        <f>IF('Deploy Parameters'!G50="n/a","nsx-management-vtep-ip-pool.endAddress=","nsx-management-vtep-ip-pool.endAddress="&amp;'Deploy Parameters'!G50)</f>
        <v>nsx-management-vtep-ip-pool.endAddress=172.16.14.116</v>
      </c>
    </row>
    <row r="228" spans="1:1">
      <c r="A228" s="1" t="s">
        <v>98</v>
      </c>
    </row>
    <row r="229" spans="1:1">
      <c r="A229" s="5" t="str">
        <f>IF('Deploy Parameters'!J26="n/a","mgmt-datacenter-name=","mgmt-datacenter-name="&amp;'Deploy Parameters'!J26)</f>
        <v>mgmt-datacenter-name=sfo01-m01dc</v>
      </c>
    </row>
    <row r="230" spans="1:1">
      <c r="A230" s="5" t="str">
        <f>IF('Deploy Parameters'!J27="n/a","comp-datacenter-name=","comp-datacenter-name="&amp;'Deploy Parameters'!J27)</f>
        <v>comp-datacenter-name=sfo01-w01dc</v>
      </c>
    </row>
    <row r="231" spans="1:1">
      <c r="A231" s="5" t="str">
        <f>IF('Deploy Parameters'!J28="n/a","management-cluster-name=","management-cluster-name="&amp;'Deploy Parameters'!J28)</f>
        <v>management-cluster-name=sfo01-m01-mgmt01</v>
      </c>
    </row>
    <row r="232" spans="1:1">
      <c r="A232" s="5" t="str">
        <f>IF('Deploy Parameters'!J29="n/a","collapsed-compute-edge-cluster-name=","collapsed-compute-edge-cluster-name="&amp;'Deploy Parameters'!J29)</f>
        <v>collapsed-compute-edge-cluster-name=sfo01-w01-shared01</v>
      </c>
    </row>
    <row r="234" spans="1:1">
      <c r="A234" s="1" t="s">
        <v>99</v>
      </c>
    </row>
    <row r="235" spans="1:1">
      <c r="A235" s="1" t="s">
        <v>100</v>
      </c>
    </row>
    <row r="236" spans="1:1">
      <c r="A236" s="1" t="s">
        <v>101</v>
      </c>
    </row>
    <row r="237" spans="1:1">
      <c r="A237" s="5" t="str">
        <f>IF('Deploy Parameters'!K28="n/a","evc-mode-management-cluster@value=","evc-mode-management-cluster@value="&amp;'Deploy Parameters'!K28)</f>
        <v>evc-mode-management-cluster@value=</v>
      </c>
    </row>
    <row r="238" spans="1:1">
      <c r="A238" s="5" t="str">
        <f>IF('Deploy Parameters'!K29="n/a","evc-mode-collapsed-edge-compute-cluster@value=","evc-mode-collapsed-edge-compute-cluster@value="&amp;'Deploy Parameters'!K29)</f>
        <v>evc-mode-collapsed-edge-compute-cluster@value=</v>
      </c>
    </row>
    <row r="240" spans="1:1">
      <c r="A240" s="1" t="s">
        <v>560</v>
      </c>
    </row>
    <row r="241" spans="1:1">
      <c r="A241" s="16" t="str">
        <f>IF('Deploy Parameters'!J37="n/a","management-host-profile-name@value=","management-host-profile-name@value="&amp;'Deploy Parameters'!J37)</f>
        <v>management-host-profile-name@value=sfo01-m01hp-mgmt01</v>
      </c>
    </row>
    <row r="242" spans="1:1">
      <c r="A242" s="16" t="str">
        <f>IF('Deploy Parameters'!J38="n/a","compute-host-profile-name@value=","compute-host-profile-name@value="&amp;'Deploy Parameters'!J38)</f>
        <v>compute-host-profile-name@value=sfo01-w01hp-comp01</v>
      </c>
    </row>
    <row r="243" spans="1:1">
      <c r="A243" s="21"/>
    </row>
    <row r="244" spans="1:1">
      <c r="A244" s="1" t="s">
        <v>862</v>
      </c>
    </row>
    <row r="245" spans="1:1">
      <c r="A245" s="16" t="str">
        <f>IF('Deploy Parameters'!J23="n/a","mgmt-vm-folder-name@value=","mgmt-vm-folder-name@value="&amp;'Deploy Parameters'!J23&amp;"-m01fd-mgmt")</f>
        <v>mgmt-vm-folder-name@value=sfo01-m01fd-mgmt</v>
      </c>
    </row>
    <row r="246" spans="1:1">
      <c r="A246" s="16" t="str">
        <f>IF('Deploy Parameters'!J23="n/a","nsx-vm-folder-name@value=","nsx-vm-folder-name@value="&amp;'Deploy Parameters'!J23&amp;"-m01fd-nsx")</f>
        <v>nsx-vm-folder-name@value=sfo01-m01fd-nsx</v>
      </c>
    </row>
    <row r="247" spans="1:1">
      <c r="A247" s="16" t="str">
        <f>IF('Deploy Parameters'!J23="n/a","availability-vm-folder-name@value=","availability-vm-folder-name@value="&amp;'Deploy Parameters'!J23&amp;"-m01fd-bcdr")</f>
        <v>availability-vm-folder-name@value=sfo01-m01fd-bcdr</v>
      </c>
    </row>
    <row r="248" spans="1:1">
      <c r="A248" s="16" t="str">
        <f>IF('Deploy Parameters'!J23="n/a","vra-vm-folder-name@value=","vra-vm-folder-name@value="&amp;'Deploy Parameters'!J23&amp;"-m01fd-vra")</f>
        <v>vra-vm-folder-name@value=sfo01-m01fd-vra</v>
      </c>
    </row>
    <row r="249" spans="1:1">
      <c r="A249" s="16" t="str">
        <f>IF('Deploy Parameters'!J23="n/a","vra-ias-vm-folder-name@value=","vra-ias-vm-folder-name@value="&amp;'Deploy Parameters'!J23&amp;"-m01fd-vraias")</f>
        <v>vra-ias-vm-folder-name@value=sfo01-m01fd-vraias</v>
      </c>
    </row>
    <row r="250" spans="1:1">
      <c r="A250" s="16" t="str">
        <f>IF('Deploy Parameters'!J23="n/a","vrops-vm-folder-name@value=","vrops-vm-folder-name@value="&amp;'Deploy Parameters'!J23&amp;"-m01fd-vrops")</f>
        <v>vrops-vm-folder-name@value=sfo01-m01fd-vrops</v>
      </c>
    </row>
    <row r="251" spans="1:1">
      <c r="A251" s="16" t="str">
        <f>IF('Deploy Parameters'!J23="n/a","vrops-rc-vm-folder-name@value=","vrops-rc-vm-folder-name@value="&amp;'Deploy Parameters'!J23&amp;"-m01fd-vropsrc")</f>
        <v>vrops-rc-vm-folder-name@value=sfo01-m01fd-vropsrc</v>
      </c>
    </row>
    <row r="252" spans="1:1">
      <c r="A252" s="16" t="str">
        <f>IF('Deploy Parameters'!J23="n/a","vrli-vm-folder-name@value=","vrli-vm-folder-name@value="&amp;'Deploy Parameters'!J23&amp;"-m01fd-vrli")</f>
        <v>vrli-vm-folder-name@value=sfo01-m01fd-vrli</v>
      </c>
    </row>
    <row r="253" spans="1:1">
      <c r="A253" s="1" t="s">
        <v>863</v>
      </c>
    </row>
    <row r="254" spans="1:1">
      <c r="A254" s="16" t="str">
        <f>IF('Deploy Parameters'!J23="n/a","nsx-comp-vm-folder-name@value=","nsx-comp-vm-folder-name@value="&amp;'Deploy Parameters'!J23&amp;"-w01fd-nsx")</f>
        <v>nsx-comp-vm-folder-name@value=sfo01-w01fd-nsx</v>
      </c>
    </row>
    <row r="255" spans="1:1">
      <c r="A255" s="21"/>
    </row>
    <row r="256" spans="1:1">
      <c r="A256" s="1" t="s">
        <v>206</v>
      </c>
    </row>
    <row r="257" spans="1:1" ht="16">
      <c r="A257" s="8" t="str">
        <f>IF('Deploy Parameters'!J31="n/a","vds-management-initial-configuration@dvSwitchName=","vds-management-initial-configuration@dvSwitchName="&amp;'Deploy Parameters'!J31)</f>
        <v>vds-management-initial-configuration@dvSwitchName=sfo01-m01-vds01</v>
      </c>
    </row>
    <row r="258" spans="1:1">
      <c r="A258" s="5" t="str">
        <f>IF('Deploy Parameters'!J33="n/a","vds-edge-initial-configuration@dvSwitchName=","vds-edge-initial-configuration@dvSwitchName="&amp;'Deploy Parameters'!J33)</f>
        <v>vds-edge-initial-configuration@dvSwitchName=sfo01-w01-vds01</v>
      </c>
    </row>
    <row r="259" spans="1:1">
      <c r="A259" s="1" t="s">
        <v>340</v>
      </c>
    </row>
    <row r="260" spans="1:1">
      <c r="A260" s="5" t="str">
        <f>IF('Hosts and Networks'!C7="n/a","vds-management-initial-configuration@dvPortGroups[1].name=","vds-management-initial-configuration@dvPortGroups[1].name="&amp;'Hosts and Networks'!C7)</f>
        <v>vds-management-initial-configuration@dvPortGroups[1].name=sfo01-m01-vds01-management</v>
      </c>
    </row>
    <row r="261" spans="1:1">
      <c r="A261" s="5" t="str">
        <f>IF('Hosts and Networks'!C10="n/a","vds-management-initial-configuration@dvPortGroups[2].name=","vds-management-initial-configuration@dvPortGroups[2].name="&amp;'Hosts and Networks'!C10)</f>
        <v>vds-management-initial-configuration@dvPortGroups[2].name=sfo01-m01-vds01-vsan</v>
      </c>
    </row>
    <row r="262" spans="1:1">
      <c r="A262" s="5" t="str">
        <f>IF('Hosts and Networks'!C9="n/a","vds-management-initial-configuration@dvPortGroups[3].name=","vds-management-initial-configuration@dvPortGroups[3].name="&amp;'Hosts and Networks'!C9)</f>
        <v>vds-management-initial-configuration@dvPortGroups[3].name=sfo01-m01-vds01-vmotion</v>
      </c>
    </row>
    <row r="263" spans="1:1">
      <c r="A263" s="5" t="str">
        <f>IF('Hosts and Networks'!C8="n/a","vds-management-initial-configuration@dvPortGroups[4].name=","vds-management-initial-configuration@dvPortGroups[4].name="&amp;'Hosts and Networks'!C8)</f>
        <v>vds-management-initial-configuration@dvPortGroups[4].name=sfo01-m01-vds01-nfs</v>
      </c>
    </row>
    <row r="264" spans="1:1">
      <c r="A264" s="7" t="str">
        <f>IF('Hosts and Networks'!C11="n/a","vds-management-initial-configuration@dvPortGroups[5].name=","vds-management-initial-configuration@dvPortGroups[5].name="&amp;'Hosts and Networks'!C11)</f>
        <v>vds-management-initial-configuration@dvPortGroups[5].name=sfo01-m01-vds01-replication</v>
      </c>
    </row>
    <row r="265" spans="1:1">
      <c r="A265" s="5" t="str">
        <f>IF('Hosts and Networks'!C13="n/a","vds-management-initial-configuration@dvPortGroups[6].name=","vds-management-initial-configuration@dvPortGroups[6].name="&amp;'Hosts and Networks'!C13)</f>
        <v>vds-management-initial-configuration@dvPortGroups[6].name=sfo01-m01-vds01-uplink01</v>
      </c>
    </row>
    <row r="266" spans="1:1">
      <c r="A266" s="5" t="str">
        <f>IF('Hosts and Networks'!C14="n/a","vds-management-initial-configuration@dvPortGroups[7].name=","vds-management-initial-configuration@dvPortGroups[7].name="&amp;'Hosts and Networks'!C14)</f>
        <v>vds-management-initial-configuration@dvPortGroups[7].name=sfo01-m01-vds01-uplink02</v>
      </c>
    </row>
    <row r="267" spans="1:1">
      <c r="A267" s="1" t="s">
        <v>341</v>
      </c>
    </row>
    <row r="268" spans="1:1">
      <c r="A268" s="5" t="str">
        <f>IF('Hosts and Networks'!C18="n/a","vds-edge-initial-configuration@dvPortGroups[0].name=","vds-edge-initial-configuration@dvPortGroups[0].name="&amp;'Hosts and Networks'!C18)</f>
        <v>vds-edge-initial-configuration@dvPortGroups[0].name=sfo01-w01-vds01-management</v>
      </c>
    </row>
    <row r="269" spans="1:1">
      <c r="A269" s="5" t="str">
        <f>IF('Hosts and Networks'!C21="n/a","vds-edge-initial-configuration@dvPortGroups[1].name=","vds-edge-initial-configuration@dvPortGroups[1].name="&amp;'Hosts and Networks'!C21)</f>
        <v>vds-edge-initial-configuration@dvPortGroups[1].name=sfo01-w01-vds01-vsan</v>
      </c>
    </row>
    <row r="270" spans="1:1">
      <c r="A270" s="5" t="str">
        <f>IF('Hosts and Networks'!C20="n/a","vds-edge-initial-configuration@dvPortGroups[2].name=","vds-edge-initial-configuration@dvPortGroups[2].name="&amp;'Hosts and Networks'!C20)</f>
        <v>vds-edge-initial-configuration@dvPortGroups[2].name=sfo01-w01-vds01-vmotion</v>
      </c>
    </row>
    <row r="271" spans="1:1">
      <c r="A271" s="5" t="str">
        <f>IF('Hosts and Networks'!C19="n/a","vds-edge-initial-configuration@dvPortGroups[3].name=","vds-edge-initial-configuration@dvPortGroups[3].name="&amp;'Hosts and Networks'!C19)</f>
        <v>vds-edge-initial-configuration@dvPortGroups[3].name=sfo01-w01-vds01-nfs</v>
      </c>
    </row>
    <row r="272" spans="1:1">
      <c r="A272" s="5" t="str">
        <f>IF('Hosts and Networks'!C23="n/a","vds-edge-initial-configuration@dvPortGroups[4].name=","vds-edge-initial-configuration@dvPortGroups[4].name="&amp;'Hosts and Networks'!C23)</f>
        <v>vds-edge-initial-configuration@dvPortGroups[4].name=sfo01-w01-vds01-uplink01</v>
      </c>
    </row>
    <row r="273" spans="1:1">
      <c r="A273" s="5" t="str">
        <f>IF('Hosts and Networks'!C24="n/a","vds-edge-initial-configuration@dvPortGroups[5].name=","vds-edge-initial-configuration@dvPortGroups[5].name="&amp;'Hosts and Networks'!C24)</f>
        <v>vds-edge-initial-configuration@dvPortGroups[5].name=sfo01-w01-vds01-uplink02</v>
      </c>
    </row>
    <row r="275" spans="1:1">
      <c r="A275" s="1" t="s">
        <v>40</v>
      </c>
    </row>
    <row r="276" spans="1:1">
      <c r="A276" s="5" t="str">
        <f>IF('Hosts and Networks'!E7="n/a","managementNetwork.gateway=","managementNetwork.gateway="&amp;'Hosts and Networks'!E7)</f>
        <v>managementNetwork.gateway=172.16.11.253</v>
      </c>
    </row>
    <row r="277" spans="1:1">
      <c r="A277" s="5" t="str">
        <f>"managementNetwork.primaryDns="&amp;'Deploy Parameters'!F8</f>
        <v>managementNetwork.primaryDns=172.16.11.4</v>
      </c>
    </row>
    <row r="278" spans="1:1">
      <c r="A278" s="5" t="str">
        <f>IF('Deploy Parameters'!F9="n/a","managementNetwork.secondaryDns=","managementNetwork.secondaryDns="&amp;'Deploy Parameters'!F9)</f>
        <v>managementNetwork.secondaryDns=172.16.11.5</v>
      </c>
    </row>
    <row r="279" spans="1:1">
      <c r="A279" s="5" t="str">
        <f>IF('Deploy Parameters'!J16="n/a","managementNetwork.searchDomain="&amp;'Deploy Parameters'!J6,"managementNetwork.searchDomain="&amp;'Deploy Parameters'!J7)</f>
        <v>managementNetwork.searchDomain=sfo01.rainpole.local</v>
      </c>
    </row>
    <row r="280" spans="1:1">
      <c r="A280" s="5" t="str">
        <f>"managementNetwork.cidrNotation="&amp;'Hosts and Networks'!D7</f>
        <v>managementNetwork.cidrNotation=172.16.11.0/24</v>
      </c>
    </row>
    <row r="282" spans="1:1">
      <c r="A282" s="1" t="s">
        <v>454</v>
      </c>
    </row>
    <row r="283" spans="1:1">
      <c r="A283" s="5" t="str">
        <f>IF('Hosts and Networks'!E11="n/a","# mgmtReplicationNetwork.gateway=","mgmtReplicationNetwork.gateway="&amp;'Hosts and Networks'!E11)</f>
        <v>mgmtReplicationNetwork.gateway=172.16.16.253</v>
      </c>
    </row>
    <row r="284" spans="1:1">
      <c r="A284" s="5" t="str">
        <f>IF('Hosts and Networks'!D11="n/a","# mgmtReplicationNetwork.cidrNotation=","mgmtReplicationNetwork.cidrNotation="&amp;'Hosts and Networks'!D11)</f>
        <v>mgmtReplicationNetwork.cidrNotation=172.16.16.0/24</v>
      </c>
    </row>
    <row r="285" spans="1:1" s="6" customFormat="1"/>
    <row r="286" spans="1:1">
      <c r="A286" s="1" t="s">
        <v>987</v>
      </c>
    </row>
    <row r="287" spans="1:1">
      <c r="A287" s="5" t="str">
        <f>IF('Hosts and Networks'!E18="n/a","edgeNetwork.gateway=","edgeNetwork.gateway="&amp;'Hosts and Networks'!E18)</f>
        <v>edgeNetwork.gateway=172.16.31.253</v>
      </c>
    </row>
    <row r="288" spans="1:1">
      <c r="A288" s="5" t="str">
        <f>"edgeNetwork.primaryDns="&amp;'Deploy Parameters'!F8</f>
        <v>edgeNetwork.primaryDns=172.16.11.4</v>
      </c>
    </row>
    <row r="289" spans="1:1">
      <c r="A289" s="5" t="str">
        <f>IF('Deploy Parameters'!F9="n/a","edgeNetwork.secondaryDns=","edgeNetwork.secondaryDns="&amp;'Deploy Parameters'!F9)</f>
        <v>edgeNetwork.secondaryDns=172.16.11.5</v>
      </c>
    </row>
    <row r="290" spans="1:1">
      <c r="A290" s="5" t="str">
        <f>IF('Deploy Parameters'!J16="n/a","edgeNetwork.searchDomain="&amp;'Deploy Parameters'!J6,"edgeNetwork.searchDomain="&amp;'Deploy Parameters'!J7)</f>
        <v>edgeNetwork.searchDomain=sfo01.rainpole.local</v>
      </c>
    </row>
    <row r="291" spans="1:1">
      <c r="A291" s="5" t="str">
        <f>"edgeNetwork.cidrNotation="&amp;'Hosts and Networks'!D18</f>
        <v>edgeNetwork.cidrNotation=172.16.31.0/24</v>
      </c>
    </row>
    <row r="293" spans="1:1">
      <c r="A293" s="1" t="s">
        <v>42</v>
      </c>
    </row>
    <row r="294" spans="1:1">
      <c r="A294" s="5" t="str">
        <f>"nsx-controllers-ip-pool.startAddress="&amp;'Deploy Parameters'!G47</f>
        <v>nsx-controllers-ip-pool.startAddress=172.16.11.118</v>
      </c>
    </row>
    <row r="295" spans="1:1">
      <c r="A295" s="5" t="str">
        <f>"nsx-controllers-ip-pool.endAddress="&amp;'Deploy Parameters'!G48</f>
        <v>nsx-controllers-ip-pool.endAddress=172.16.11.120</v>
      </c>
    </row>
    <row r="296" spans="1:1">
      <c r="A296" s="5" t="str">
        <f>"nsx-controllers-ip-pool-edge.startAddress="&amp;'Deploy Parameters'!K47</f>
        <v>nsx-controllers-ip-pool-edge.startAddress=172.16.31.118</v>
      </c>
    </row>
    <row r="297" spans="1:1">
      <c r="A297" s="5" t="str">
        <f>"nsx-controllers-ip-pool-edge.endAddress="&amp;'Deploy Parameters'!K48</f>
        <v>nsx-controllers-ip-pool-edge.endAddress=172.16.31.120</v>
      </c>
    </row>
    <row r="299" spans="1:1">
      <c r="A299" s="1" t="s">
        <v>968</v>
      </c>
    </row>
    <row r="300" spans="1:1">
      <c r="A300" s="5" t="str">
        <f>"nsxControllers.mgmt="&amp;'Deploy Parameters'!J23&amp;"m01nsxc0%s"</f>
        <v>nsxControllers.mgmt=sfo01m01nsxc0%s</v>
      </c>
    </row>
    <row r="301" spans="1:1">
      <c r="A301" s="5" t="str">
        <f>"nsxControllers.compute="&amp;'Deploy Parameters'!J23&amp;"w01nsxc0%s"</f>
        <v>nsxControllers.compute=sfo01w01nsxc0%s</v>
      </c>
    </row>
    <row r="302" spans="1:1">
      <c r="A302" s="6"/>
    </row>
    <row r="303" spans="1:1">
      <c r="A303" s="1" t="s">
        <v>216</v>
      </c>
    </row>
    <row r="304" spans="1:1">
      <c r="A304" s="5" t="str">
        <f>IF('Deploy Parameters'!F52="n/a","ftp-host-address@value=","ftp-host-address@value="&amp;'Deploy Parameters'!F52)</f>
        <v>ftp-host-address@value=ftp.sfo01.rainpole.local</v>
      </c>
    </row>
    <row r="305" spans="1:1">
      <c r="A305" s="5" t="str">
        <f>IF('Deploy Parameters'!F53="n/a","mgmt-nsx-ftp-backup-directory@value=","mgmt-nsx-ftp-backup-directory@value="&amp;'Deploy Parameters'!F53)</f>
        <v>mgmt-nsx-ftp-backup-directory@value=sfo01-m01-NSXBackup</v>
      </c>
    </row>
    <row r="306" spans="1:1">
      <c r="A306" s="5" t="str">
        <f>IF('Deploy Parameters'!F54="n/a","comp-nsx-ftp-backup-directory@value=","comp-nsx-ftp-backup-directory@value="&amp;'Deploy Parameters'!F54)</f>
        <v>comp-nsx-ftp-backup-directory@value=sfo01-w01-NSXBackup</v>
      </c>
    </row>
    <row r="307" spans="1:1">
      <c r="A307" s="5" t="str">
        <f>IF('Deploy Parameters'!F55="n/a","ftp-credentials@username=","ftp-credentials@username="&amp;'Deploy Parameters'!F55)</f>
        <v>ftp-credentials@username=administrator</v>
      </c>
    </row>
    <row r="308" spans="1:1">
      <c r="A308" s="5" t="str">
        <f>IF('Deploy Parameters'!F56="n/a","ftp-credentials@password=","ftp-credentials@password="&amp;'Deploy Parameters'!F56)</f>
        <v>ftp-credentials@password=VMware1!</v>
      </c>
    </row>
    <row r="310" spans="1:1">
      <c r="A310" s="1" t="s">
        <v>142</v>
      </c>
    </row>
    <row r="311" spans="1:1">
      <c r="A311" s="1" t="s">
        <v>144</v>
      </c>
    </row>
    <row r="312" spans="1:1">
      <c r="A312" s="5" t="str">
        <f>"vlan-mgmt-management.vlanId="&amp;'Hosts and Networks'!B7</f>
        <v>vlan-mgmt-management.vlanId=1611</v>
      </c>
    </row>
    <row r="313" spans="1:1">
      <c r="A313" s="5" t="str">
        <f>"vlan-edge-management.vlanId="&amp;'Hosts and Networks'!B18</f>
        <v>vlan-edge-management.vlanId=1631</v>
      </c>
    </row>
    <row r="314" spans="1:1">
      <c r="A314" s="1" t="s">
        <v>143</v>
      </c>
    </row>
    <row r="315" spans="1:1">
      <c r="A315" s="5" t="str">
        <f>IF('Hosts and Networks'!B9="n/a","vlan-management-vmotion.vlanId=","vlan-management-vmotion.vlanId="&amp;'Hosts and Networks'!B9)</f>
        <v>vlan-management-vmotion.vlanId=1612</v>
      </c>
    </row>
    <row r="316" spans="1:1">
      <c r="A316" s="5" t="str">
        <f>IF('Hosts and Networks'!B20="n/a","vlan-edge-vmotion.vlanId=","vlan-edge-vmotion.vlanId="&amp;'Hosts and Networks'!B20)</f>
        <v>vlan-edge-vmotion.vlanId=1632</v>
      </c>
    </row>
    <row r="317" spans="1:1">
      <c r="A317" s="5" t="str">
        <f>IF('Hosts and Networks'!B11="n/a","vlan-management-replication.vlanId=","vlan-management-replication.vlanId="&amp;'Hosts and Networks'!B11)</f>
        <v>vlan-management-replication.vlanId=1616</v>
      </c>
    </row>
    <row r="318" spans="1:1">
      <c r="A318" s="1" t="s">
        <v>145</v>
      </c>
    </row>
    <row r="319" spans="1:1">
      <c r="A319" s="5" t="str">
        <f>"vlan-management-vxlan.vlanId="&amp;'Hosts and Networks'!B12</f>
        <v>vlan-management-vxlan.vlanId=1614</v>
      </c>
    </row>
    <row r="320" spans="1:1">
      <c r="A320" s="5" t="str">
        <f>"vlan-edge-vxlan.vlanId="&amp;'Hosts and Networks'!B22</f>
        <v>vlan-edge-vxlan.vlanId=1634</v>
      </c>
    </row>
    <row r="321" spans="1:1">
      <c r="A321" s="1" t="s">
        <v>146</v>
      </c>
    </row>
    <row r="322" spans="1:1">
      <c r="A322" s="5" t="str">
        <f>IF('Hosts and Networks'!B8="n/a","vlan-management-storage.vlanId=","vlan-management-storage.vlanId="&amp;'Hosts and Networks'!B8)</f>
        <v>vlan-management-storage.vlanId=1615</v>
      </c>
    </row>
    <row r="323" spans="1:1">
      <c r="A323" s="5" t="str">
        <f>IF('Hosts and Networks'!B19="n/a","vlan-edge-storage.vlanId=","vlan-edge-storage.vlanId="&amp;'Hosts and Networks'!B19)</f>
        <v>vlan-edge-storage.vlanId=1625</v>
      </c>
    </row>
    <row r="324" spans="1:1">
      <c r="A324" s="1" t="s">
        <v>147</v>
      </c>
    </row>
    <row r="325" spans="1:1">
      <c r="A325" s="5" t="str">
        <f>IF('Hosts and Networks'!B10="n/a","vlan-management-vsan.vlanId=","vlan-management-vsan.vlanId="&amp;'Hosts and Networks'!B10)</f>
        <v>vlan-management-vsan.vlanId=1613</v>
      </c>
    </row>
    <row r="326" spans="1:1">
      <c r="A326" s="5" t="str">
        <f>IF('Hosts and Networks'!B21="n/a","vlan-edge-vsan.vlanId=","vlan-edge-vsan.vlanId="&amp;'Hosts and Networks'!B21)</f>
        <v>vlan-edge-vsan.vlanId=1633</v>
      </c>
    </row>
    <row r="327" spans="1:1">
      <c r="A327" s="1" t="s">
        <v>269</v>
      </c>
    </row>
    <row r="328" spans="1:1">
      <c r="A328" s="5" t="str">
        <f>"vlan-management-uplink-01.vlanId="&amp;'Hosts and Networks'!B13</f>
        <v>vlan-management-uplink-01.vlanId=2711</v>
      </c>
    </row>
    <row r="329" spans="1:1">
      <c r="A329" s="5" t="str">
        <f>"vlan-edge-uplink-01.vlanId="&amp;'Hosts and Networks'!B23</f>
        <v>vlan-edge-uplink-01.vlanId=1635</v>
      </c>
    </row>
    <row r="330" spans="1:1">
      <c r="A330" s="1" t="s">
        <v>270</v>
      </c>
    </row>
    <row r="331" spans="1:1">
      <c r="A331" s="5" t="str">
        <f>"vlan-management-uplink-02.vlanId="&amp;'Hosts and Networks'!B14</f>
        <v>vlan-management-uplink-02.vlanId=2712</v>
      </c>
    </row>
    <row r="332" spans="1:1">
      <c r="A332" s="5" t="str">
        <f>"vlan-edge-uplink-02.vlanId="&amp;'Hosts and Networks'!B24</f>
        <v>vlan-edge-uplink-02.vlanId=2713</v>
      </c>
    </row>
    <row r="334" spans="1:1">
      <c r="A334" s="1" t="s">
        <v>148</v>
      </c>
    </row>
    <row r="335" spans="1:1">
      <c r="A335" s="1" t="s">
        <v>149</v>
      </c>
    </row>
    <row r="336" spans="1:1">
      <c r="A336" s="5" t="str">
        <f>"vlan-mgmt-management-mtu@mtu="&amp;'Hosts and Networks'!F7</f>
        <v>vlan-mgmt-management-mtu@mtu=9000</v>
      </c>
    </row>
    <row r="337" spans="1:1">
      <c r="A337" s="5" t="str">
        <f>"vlan-edge-management-mtu@mtu="&amp;'Hosts and Networks'!F18</f>
        <v>vlan-edge-management-mtu@mtu=9000</v>
      </c>
    </row>
    <row r="338" spans="1:1">
      <c r="A338" s="1" t="s">
        <v>43</v>
      </c>
    </row>
    <row r="339" spans="1:1">
      <c r="A339" s="5" t="str">
        <f>"vlan-management-storage-mtu@mtu="&amp;'Hosts and Networks'!F8</f>
        <v>vlan-management-storage-mtu@mtu=9000</v>
      </c>
    </row>
    <row r="340" spans="1:1">
      <c r="A340" s="5" t="str">
        <f>"vlan-edge-storage-mtu@mtu="&amp;'Hosts and Networks'!F19</f>
        <v>vlan-edge-storage-mtu@mtu=9000</v>
      </c>
    </row>
    <row r="341" spans="1:1">
      <c r="A341" s="12" t="str">
        <f>"vds-mgmt-mtu@mtu="&amp;'Deploy Parameters'!J32</f>
        <v>vds-mgmt-mtu@mtu=9000</v>
      </c>
    </row>
    <row r="342" spans="1:1">
      <c r="A342" s="12" t="str">
        <f>"vds-edge-mtu@mtu="&amp;'Deploy Parameters'!J34</f>
        <v>vds-edge-mtu@mtu=9000</v>
      </c>
    </row>
    <row r="343" spans="1:1" s="2" customFormat="1">
      <c r="A343" s="2" t="s">
        <v>259</v>
      </c>
    </row>
    <row r="344" spans="1:1" s="2" customFormat="1">
      <c r="A344" s="4" t="str">
        <f>"vlan-management-vmotion-mtu@mtu="&amp;'Hosts and Networks'!F9</f>
        <v>vlan-management-vmotion-mtu@mtu=9000</v>
      </c>
    </row>
    <row r="345" spans="1:1" s="2" customFormat="1">
      <c r="A345" s="4" t="str">
        <f>"vlan-edge-vmotion-mtu@mtu="&amp;'Hosts and Networks'!F20</f>
        <v>vlan-edge-vmotion-mtu@mtu=9000</v>
      </c>
    </row>
    <row r="346" spans="1:1" s="2" customFormat="1">
      <c r="A346" s="2" t="s">
        <v>260</v>
      </c>
    </row>
    <row r="347" spans="1:1" s="2" customFormat="1">
      <c r="A347" s="4" t="str">
        <f>IF('Hosts and Networks'!F10="n/a","vlan-management-vsan-mtu@mtu=","vlan-management-vsan-mtu@mtu="&amp;'Hosts and Networks'!F10)</f>
        <v>vlan-management-vsan-mtu@mtu=9000</v>
      </c>
    </row>
    <row r="348" spans="1:1" s="2" customFormat="1">
      <c r="A348" s="4" t="str">
        <f>IF('Hosts and Networks'!F21="n/a","vlan-edge-vsan-mtu@mtu=","vlan-edge-vsan-mtu@mtu="&amp;'Hosts and Networks'!F21)</f>
        <v>vlan-edge-vsan-mtu@mtu=9000</v>
      </c>
    </row>
    <row r="349" spans="1:1" s="2" customFormat="1">
      <c r="A349" s="2" t="s">
        <v>265</v>
      </c>
    </row>
    <row r="350" spans="1:1" s="2" customFormat="1">
      <c r="A350" s="4" t="str">
        <f>"vlan-management-replication-mtu@mtu="&amp;'Hosts and Networks'!F11</f>
        <v>vlan-management-replication-mtu@mtu=9000</v>
      </c>
    </row>
    <row r="351" spans="1:1" s="6" customFormat="1"/>
    <row r="352" spans="1:1">
      <c r="A352" s="1" t="s">
        <v>41</v>
      </c>
    </row>
    <row r="353" spans="1:1">
      <c r="A353" s="5" t="str">
        <f>"vcenterManagementIp.address="&amp;'Deploy Parameters'!G26</f>
        <v>vcenterManagementIp.address=172.16.11.62</v>
      </c>
    </row>
    <row r="354" spans="1:1">
      <c r="A354" s="5" t="str">
        <f>"vcenterManagementPscIp1.address="&amp;'Deploy Parameters'!G27</f>
        <v>vcenterManagementPscIp1.address=172.16.11.61</v>
      </c>
    </row>
    <row r="355" spans="1:1">
      <c r="A355" s="5" t="str">
        <f>"vcenterComputeIp.address="&amp;'Deploy Parameters'!G29</f>
        <v>vcenterComputeIp.address=172.16.11.64</v>
      </c>
    </row>
    <row r="356" spans="1:1">
      <c r="A356" s="5" t="str">
        <f>"vcenterComputePscIp1.address="&amp;'Deploy Parameters'!G30</f>
        <v>vcenterComputePscIp1.address=172.16.11.63</v>
      </c>
    </row>
    <row r="357" spans="1:1">
      <c r="A357" s="5" t="str">
        <f>"nsxManagementIp.address="&amp;'Deploy Parameters'!G46</f>
        <v>nsxManagementIp.address=172.16.11.65</v>
      </c>
    </row>
    <row r="358" spans="1:1">
      <c r="A358" s="5" t="str">
        <f>"nsxComputeIp.address="&amp;'Deploy Parameters'!K46</f>
        <v>nsxComputeIp.address=172.16.11.66</v>
      </c>
    </row>
    <row r="359" spans="1:1">
      <c r="A359" s="6"/>
    </row>
    <row r="360" spans="1:1">
      <c r="A360" s="1" t="s">
        <v>124</v>
      </c>
    </row>
    <row r="361" spans="1:1">
      <c r="A361" s="5" t="str">
        <f>"vcenter-mgmt-deployment-vmname="&amp;'Deploy Parameters'!F26</f>
        <v>vcenter-mgmt-deployment-vmname=sfo01m01vc01</v>
      </c>
    </row>
    <row r="362" spans="1:1">
      <c r="A362" s="5" t="str">
        <f>"psc-vcenter-mgmt-deployment-vmname="&amp;'Deploy Parameters'!F27</f>
        <v>psc-vcenter-mgmt-deployment-vmname=sfo01m01psc01</v>
      </c>
    </row>
    <row r="363" spans="1:1">
      <c r="A363" s="5" t="str">
        <f>"nsx-mgmt-deployment-vmname="&amp;'Deploy Parameters'!F46</f>
        <v>nsx-mgmt-deployment-vmname=sfo01m01nsx01</v>
      </c>
    </row>
    <row r="364" spans="1:1">
      <c r="A364" s="5" t="str">
        <f>"vcenter-compute-deployment-vmname="&amp;'Deploy Parameters'!F29</f>
        <v>vcenter-compute-deployment-vmname=sfo01w01vc01</v>
      </c>
    </row>
    <row r="365" spans="1:1">
      <c r="A365" s="5" t="str">
        <f>"psc-vcenter-compute-deployment-vmname="&amp;'Deploy Parameters'!F30</f>
        <v>psc-vcenter-compute-deployment-vmname=sfo01w01psc01</v>
      </c>
    </row>
    <row r="366" spans="1:1">
      <c r="A366" s="5" t="str">
        <f>"nsx-compute-deployment-vmname="&amp;'Deploy Parameters'!J46</f>
        <v>nsx-compute-deployment-vmname=sfo01w01nsx01</v>
      </c>
    </row>
    <row r="367" spans="1:1" s="6" customFormat="1"/>
    <row r="368" spans="1:1">
      <c r="A368" s="1" t="s">
        <v>437</v>
      </c>
    </row>
    <row r="369" spans="1:1">
      <c r="A369" s="5" t="str">
        <f>IF('Hosts and Networks'!E22="n/a","vtepCollapsedEdgeComputeNetwork.gateway=","vtepCollapsedEdgeComputeNetwork.gateway="&amp;'Hosts and Networks'!E22)</f>
        <v>vtepCollapsedEdgeComputeNetwork.gateway=172.16.34.253</v>
      </c>
    </row>
    <row r="370" spans="1:1">
      <c r="A370" s="5" t="str">
        <f>IF('Deploy Parameters'!F8="n/a","vtepCollapsedEdgeComputeNetwork.primaryDns=","vtepCollapsedEdgeComputeNetwork.primaryDns="&amp;'Deploy Parameters'!F8)</f>
        <v>vtepCollapsedEdgeComputeNetwork.primaryDns=172.16.11.4</v>
      </c>
    </row>
    <row r="371" spans="1:1">
      <c r="A371" s="5" t="str">
        <f>IF('Deploy Parameters'!F9="n/a","vtepCollapsedEdgeComputeNetwork.secondaryDns=","vtepCollapsedEdgeComputeNetwork.secondaryDns="&amp;'Deploy Parameters'!F9)</f>
        <v>vtepCollapsedEdgeComputeNetwork.secondaryDns=172.16.11.5</v>
      </c>
    </row>
    <row r="372" spans="1:1">
      <c r="A372" s="5" t="str">
        <f>IF('Deploy Parameters'!J7="n/a","vtepCollapsedEdgeComputeNetwork.searchDomain=","vtepCollapsedEdgeComputeNetwork.searchDomain="&amp;'Deploy Parameters'!J7)</f>
        <v>vtepCollapsedEdgeComputeNetwork.searchDomain=sfo01.rainpole.local</v>
      </c>
    </row>
    <row r="373" spans="1:1">
      <c r="A373" s="5" t="str">
        <f>IF('Hosts and Networks'!D22="n/a","vtepCollapsedEdgeComputeNetwork.cidrNotation=","vtepCollapsedEdgeComputeNetwork.cidrNotation="&amp;'Hosts and Networks'!D22)</f>
        <v>vtepCollapsedEdgeComputeNetwork.cidrNotation=172.16.34.0/24</v>
      </c>
    </row>
    <row r="375" spans="1:1">
      <c r="A375" s="1" t="s">
        <v>438</v>
      </c>
    </row>
    <row r="376" spans="1:1">
      <c r="A376" s="5" t="str">
        <f>IF('Deploy Parameters'!K49="n/a","nsx-collapsed-edge-compute-vtep-ip-pool.startAddress=","nsx-collapsed-edge-compute-vtep-ip-pool.startAddress="&amp;'Deploy Parameters'!K49)</f>
        <v>nsx-collapsed-edge-compute-vtep-ip-pool.startAddress=172.16.34.101</v>
      </c>
    </row>
    <row r="377" spans="1:1">
      <c r="A377" s="5" t="str">
        <f>IF('Deploy Parameters'!K50="n/a","nsx-collapsed-edge-compute-vtep-ip-pool.endAddress=","nsx-collapsed-edge-compute-vtep-ip-pool.endAddress="&amp;'Deploy Parameters'!K50)</f>
        <v>nsx-collapsed-edge-compute-vtep-ip-pool.endAddress=172.16.34.116</v>
      </c>
    </row>
    <row r="379" spans="1:1">
      <c r="A379" s="1" t="s">
        <v>842</v>
      </c>
    </row>
    <row r="380" spans="1:1">
      <c r="A380" s="5" t="str">
        <f>"sddc-edge-resource-pool@resourcePoolName="&amp;'Deploy Parameters'!J23&amp;"-w01rp-sddc-edge"</f>
        <v>sddc-edge-resource-pool@resourcePoolName=sfo01-w01rp-sddc-edge</v>
      </c>
    </row>
    <row r="381" spans="1:1">
      <c r="A381" s="5" t="str">
        <f>"user-edge-resource-pool@resourcePoolName="&amp;'Deploy Parameters'!J23&amp;"-w01rp-user-edge"</f>
        <v>user-edge-resource-pool@resourcePoolName=sfo01-w01rp-user-edge</v>
      </c>
    </row>
    <row r="382" spans="1:1">
      <c r="A382" s="5" t="str">
        <f>"user-vm-resource-pool@resourcePoolName="&amp;'Deploy Parameters'!J23&amp;"-w01rp-vm-edge"</f>
        <v>user-vm-resource-pool@resourcePoolName=sfo01-w01rp-vm-edge</v>
      </c>
    </row>
    <row r="384" spans="1:1">
      <c r="A384" s="1" t="s">
        <v>416</v>
      </c>
    </row>
    <row r="385" spans="1:1">
      <c r="A385" s="5" t="str">
        <f>"nsx-edge-cli-credentials@password="&amp;'Deploy Parameters'!F96</f>
        <v>nsx-edge-cli-credentials@password=VMware123456!</v>
      </c>
    </row>
    <row r="387" spans="1:1">
      <c r="A387" s="3" t="s">
        <v>516</v>
      </c>
    </row>
    <row r="388" spans="1:1">
      <c r="A388" s="14" t="str">
        <f>IF('Deploy Parameters'!F64="n/a","mgmt-nsx-segment-id-range@rangeStart=","mgmt-nsx-segment-id-range@rangeStart="&amp;'Deploy Parameters'!F64)</f>
        <v>mgmt-nsx-segment-id-range@rangeStart=5000</v>
      </c>
    </row>
    <row r="389" spans="1:1">
      <c r="A389" s="14" t="str">
        <f>IF('Deploy Parameters'!G64="n/a","mgmt-nsx-segment-id-range@rangeEnd=","mgmt-nsx-segment-id-range@rangeEnd="&amp;'Deploy Parameters'!G64)</f>
        <v>mgmt-nsx-segment-id-range@rangeEnd=5200</v>
      </c>
    </row>
    <row r="390" spans="1:1">
      <c r="A390" s="14" t="str">
        <f>IF('Deploy Parameters'!F65="n/a","mgmt-nsx-universal-segment-id-range@rangeStart=","mgmt-nsx-universal-segment-id-range@rangeStart="&amp;'Deploy Parameters'!F65)</f>
        <v>mgmt-nsx-universal-segment-id-range@rangeStart=30000</v>
      </c>
    </row>
    <row r="391" spans="1:1">
      <c r="A391" s="14" t="str">
        <f>IF('Deploy Parameters'!G65="n/a","mgmt-nsx-universal-segment-id-range@rangeEnd=","mgmt-nsx-universal-segment-id-range@rangeEnd="&amp;'Deploy Parameters'!G65)</f>
        <v>mgmt-nsx-universal-segment-id-range@rangeEnd=32000</v>
      </c>
    </row>
    <row r="392" spans="1:1">
      <c r="A392" s="3"/>
    </row>
    <row r="393" spans="1:1">
      <c r="A393" s="3" t="s">
        <v>518</v>
      </c>
    </row>
    <row r="394" spans="1:1">
      <c r="A394" s="18" t="str">
        <f>IF('Deploy Parameters'!F66="n/a","nsx-mgmt-multicast-address-range@rangeStartIp=","nsx-mgmt-multicast-address-range@rangeStartIp="&amp;'Deploy Parameters'!F66)</f>
        <v>nsx-mgmt-multicast-address-range@rangeStartIp=239.1.0.0</v>
      </c>
    </row>
    <row r="395" spans="1:1">
      <c r="A395" s="18" t="str">
        <f>IF('Deploy Parameters'!G66="n/a","nsx-mgmt-multicast-address-range@rangeEndIp=","nsx-mgmt-multicast-address-range@rangeEndIp="&amp;'Deploy Parameters'!G66)</f>
        <v>nsx-mgmt-multicast-address-range@rangeEndIp=239.1.255.255</v>
      </c>
    </row>
    <row r="396" spans="1:1">
      <c r="A396" s="18" t="str">
        <f>IF('Deploy Parameters'!F67="n/a","nsx-mgmt-universal-multicast-address-range@rangeStartIp=","nsx-mgmt-universal-multicast-address-range@rangeStartIp="&amp;'Deploy Parameters'!F67)</f>
        <v>nsx-mgmt-universal-multicast-address-range@rangeStartIp=239.2.0.0</v>
      </c>
    </row>
    <row r="397" spans="1:1">
      <c r="A397" s="18" t="str">
        <f>IF('Deploy Parameters'!G67="n/a","nsx-mgmt-universal-multicast-address-range@rangeEndIp=","nsx-mgmt-universal-multicast-address-range@rangeEndIp="&amp;'Deploy Parameters'!G67)</f>
        <v>nsx-mgmt-universal-multicast-address-range@rangeEndIp=239.2.255.255</v>
      </c>
    </row>
    <row r="398" spans="1:1">
      <c r="A398" s="19"/>
    </row>
    <row r="399" spans="1:1">
      <c r="A399" s="3" t="s">
        <v>517</v>
      </c>
    </row>
    <row r="400" spans="1:1">
      <c r="A400" s="14" t="str">
        <f>IF('Deploy Parameters'!J64="n/a","comp-nsx-segment-id-range@rangeStart=","comp-nsx-segment-id-range@rangeStart="&amp;'Deploy Parameters'!J64)</f>
        <v>comp-nsx-segment-id-range@rangeStart=5600</v>
      </c>
    </row>
    <row r="401" spans="1:1">
      <c r="A401" s="14" t="str">
        <f>IF('Deploy Parameters'!K64="n/a","comp-nsx-segment-id-range@rangeEnd=","comp-nsx-segment-id-range@rangeEnd="&amp;'Deploy Parameters'!K64)</f>
        <v>comp-nsx-segment-id-range@rangeEnd=5800</v>
      </c>
    </row>
    <row r="402" spans="1:1">
      <c r="A402" s="14" t="str">
        <f>IF('Deploy Parameters'!J65="n/a","comp-nsx-universal-segment-id-range@rangeStart=","comp-nsx-universal-segment-id-range@rangeStart="&amp;'Deploy Parameters'!J65)</f>
        <v>comp-nsx-universal-segment-id-range@rangeStart=20000</v>
      </c>
    </row>
    <row r="403" spans="1:1">
      <c r="A403" s="14" t="str">
        <f>IF('Deploy Parameters'!K65="n/a","comp-nsx-universal-segment-id-range@rangeEnd=","comp-nsx-universal-segment-id-range@rangeEnd="&amp;'Deploy Parameters'!K65)</f>
        <v>comp-nsx-universal-segment-id-range@rangeEnd=29000</v>
      </c>
    </row>
    <row r="404" spans="1:1">
      <c r="A404" s="3"/>
    </row>
    <row r="405" spans="1:1">
      <c r="A405" s="3" t="s">
        <v>519</v>
      </c>
    </row>
    <row r="406" spans="1:1">
      <c r="A406" s="18" t="str">
        <f>IF('Deploy Parameters'!J66="n/a","nsx-compute-multicast-address-range@rangeStartIp=","nsx-compute-multicast-address-range@rangeStartIp="&amp;'Deploy Parameters'!J66)</f>
        <v>nsx-compute-multicast-address-range@rangeStartIp=239.3.0.0</v>
      </c>
    </row>
    <row r="407" spans="1:1">
      <c r="A407" s="18" t="str">
        <f>IF('Deploy Parameters'!K66="n/a","nsx-compute-multicast-address-range@rangeEndIp=","nsx-compute-multicast-address-range@rangeEndIp="&amp;'Deploy Parameters'!K66)</f>
        <v>nsx-compute-multicast-address-range@rangeEndIp=239.3.255.255</v>
      </c>
    </row>
    <row r="408" spans="1:1">
      <c r="A408" s="18" t="str">
        <f>IF('Deploy Parameters'!J67="n/a","nsx-compute-universal-multicast-address-range@rangeStartIp=","nsx-compute-universal-multicast-address-range@rangeStartIp="&amp;'Deploy Parameters'!J67)</f>
        <v>nsx-compute-universal-multicast-address-range@rangeStartIp=239.4.0.0</v>
      </c>
    </row>
    <row r="409" spans="1:1">
      <c r="A409" s="18" t="str">
        <f>IF('Deploy Parameters'!K67="n/a","nsx-compute-universal-multicast-address-range@rangeEndIp=","nsx-compute-universal-multicast-address-range@rangeEndIp="&amp;'Deploy Parameters'!K67)</f>
        <v>nsx-compute-universal-multicast-address-range@rangeEndIp=239.4.255.255</v>
      </c>
    </row>
    <row r="410" spans="1:1" s="6" customFormat="1">
      <c r="A410" s="20"/>
    </row>
    <row r="411" spans="1:1">
      <c r="A411" s="1" t="s">
        <v>293</v>
      </c>
    </row>
    <row r="412" spans="1:1">
      <c r="A412" s="5" t="str">
        <f>"region-specific-app-mgmt-logical-switch@name="&amp;'Deploy Parameters'!J52</f>
        <v>region-specific-app-mgmt-logical-switch@name=Mgmt-RegionA01-VXLAN</v>
      </c>
    </row>
    <row r="413" spans="1:1">
      <c r="A413" s="5" t="str">
        <f>"regionSpecificNetwork.gateway="&amp;'Deploy Parameters'!J53</f>
        <v>regionSpecificNetwork.gateway=192.168.31.1</v>
      </c>
    </row>
    <row r="414" spans="1:1">
      <c r="A414" s="5" t="str">
        <f>"regionSpecificNetwork.cidrNotation="&amp;'Deploy Parameters'!K53</f>
        <v>regionSpecificNetwork.cidrNotation=192.168.31.0/24</v>
      </c>
    </row>
    <row r="415" spans="1:1">
      <c r="A415" s="5" t="str">
        <f>IF('Deploy Parameters'!J54="n/a","regionSpecificNetwork.searchDomain=","regionSpecificNetwork.searchDomain="&amp;'Deploy Parameters'!J54)</f>
        <v>regionSpecificNetwork.searchDomain=sfo01.rainpole.local</v>
      </c>
    </row>
    <row r="416" spans="1:1">
      <c r="A416" s="5" t="str">
        <f>IF('Deploy Parameters'!J55="n/a","regionSpecificNetwork.domain=","regionSpecificNetwork.domain="&amp;'Deploy Parameters'!J55)</f>
        <v>regionSpecificNetwork.domain=sfo01.rainpole.local</v>
      </c>
    </row>
    <row r="417" spans="1:1">
      <c r="A417" s="5" t="str">
        <f>"x-region-mgmt-logical-switch@name="&amp;'Deploy Parameters'!J56</f>
        <v>x-region-mgmt-logical-switch@name=Mgmt-xRegion01-VXLAN</v>
      </c>
    </row>
    <row r="418" spans="1:1">
      <c r="A418" s="5" t="str">
        <f>"xRegionNetwork.gateway="&amp;'Deploy Parameters'!J57</f>
        <v>xRegionNetwork.gateway=192.168.11.1</v>
      </c>
    </row>
    <row r="419" spans="1:1">
      <c r="A419" s="5" t="str">
        <f>"xRegionNetwork.cidrNotation="&amp;'Deploy Parameters'!K57</f>
        <v>xRegionNetwork.cidrNotation=192.168.11.0/24</v>
      </c>
    </row>
    <row r="420" spans="1:1">
      <c r="A420" s="5" t="str">
        <f>IF('Deploy Parameters'!J58="n/a","xRegionNetwork.searchDomain=","xRegionNetwork.searchDomain="&amp;'Deploy Parameters'!J58)</f>
        <v>xRegionNetwork.searchDomain=rainpole.local</v>
      </c>
    </row>
    <row r="421" spans="1:1">
      <c r="A421" s="5" t="str">
        <f>IF('Deploy Parameters'!J59="n/a","xRegionNetwork.domain=","xRegionNetwork.domain="&amp;'Deploy Parameters'!J59)</f>
        <v>xRegionNetwork.domain=rainpole.local</v>
      </c>
    </row>
    <row r="422" spans="1:1">
      <c r="A422" s="5" t="str">
        <f>"oneArmLoadBalancerPrimaryIp.address="&amp;'Deploy Parameters'!K60</f>
        <v>oneArmLoadBalancerPrimaryIp.address=192.168.11.2</v>
      </c>
    </row>
    <row r="423" spans="1:1">
      <c r="A423" s="1" t="s">
        <v>410</v>
      </c>
    </row>
    <row r="424" spans="1:1">
      <c r="A424" s="5" t="str">
        <f>IF('Deploy Parameters'!F95="n/a","esg-udlr-mtu@mtu=","esg-udlr-mtu@mtu="&amp;'Deploy Parameters'!F95)</f>
        <v>esg-udlr-mtu@mtu=9000</v>
      </c>
    </row>
    <row r="426" spans="1:1">
      <c r="A426" s="1" t="s">
        <v>271</v>
      </c>
    </row>
    <row r="427" spans="1:1">
      <c r="A427" s="5" t="str">
        <f>"mgmtUplink01Network.cidrNotation="&amp;'Hosts and Networks'!D13</f>
        <v>mgmtUplink01Network.cidrNotation=172.27.11.0/24</v>
      </c>
    </row>
    <row r="428" spans="1:1">
      <c r="A428" s="5" t="str">
        <f>"mgmtUplink01Network.gateway="&amp;'Hosts and Networks'!E13</f>
        <v>mgmtUplink01Network.gateway=172.27.11.253</v>
      </c>
    </row>
    <row r="429" spans="1:1">
      <c r="A429" s="5" t="str">
        <f>"mgmtUplink02Network.cidrNotation="&amp;'Hosts and Networks'!D14</f>
        <v>mgmtUplink02Network.cidrNotation=172.27.12.0/24</v>
      </c>
    </row>
    <row r="430" spans="1:1">
      <c r="A430" s="5" t="str">
        <f>"mgmtUplink02Network.gateway="&amp;'Hosts and Networks'!E14</f>
        <v>mgmtUplink02Network.gateway=172.27.12.253</v>
      </c>
    </row>
    <row r="431" spans="1:1">
      <c r="A431" s="7" t="str">
        <f>"esg-01-mgmt-edge-device-creation-name@value="&amp;'Deploy Parameters'!F73</f>
        <v>esg-01-mgmt-edge-device-creation-name@value=sfo01m01esg01</v>
      </c>
    </row>
    <row r="432" spans="1:1">
      <c r="A432" s="5" t="str">
        <f>"mgmtEsg01Uplink01PrimaryIp.address="&amp;'Deploy Parameters'!F74</f>
        <v>mgmtEsg01Uplink01PrimaryIp.address=172.27.11.2</v>
      </c>
    </row>
    <row r="433" spans="1:1">
      <c r="A433" s="5" t="str">
        <f>"mgmtEsg01Uplink02PrimaryIp.address="&amp;'Deploy Parameters'!F75</f>
        <v>mgmtEsg01Uplink02PrimaryIp.address=172.27.12.3</v>
      </c>
    </row>
    <row r="434" spans="1:1">
      <c r="A434" s="7" t="str">
        <f>"esg-02-mgmt-edge-device-creation-name@value="&amp;'Deploy Parameters'!F77</f>
        <v>esg-02-mgmt-edge-device-creation-name@value=sfo01m01esg02</v>
      </c>
    </row>
    <row r="435" spans="1:1">
      <c r="A435" s="5" t="str">
        <f>"mgmtEsg02Uplink01PrimaryIp.address="&amp;'Deploy Parameters'!F78</f>
        <v>mgmtEsg02Uplink01PrimaryIp.address=172.27.11.3</v>
      </c>
    </row>
    <row r="436" spans="1:1">
      <c r="A436" s="5" t="str">
        <f>"mgmtEsg02Uplink02PrimaryIp.address="&amp;'Deploy Parameters'!F79</f>
        <v>mgmtEsg02Uplink02PrimaryIp.address=172.27.12.2</v>
      </c>
    </row>
    <row r="437" spans="1:1">
      <c r="A437" s="5" t="str">
        <f>"mgmtTor01Uplink01PrimaryIp.address="&amp;'Deploy Parameters'!F81</f>
        <v>mgmtTor01Uplink01PrimaryIp.address=172.27.11.1</v>
      </c>
    </row>
    <row r="438" spans="1:1">
      <c r="A438" s="5" t="str">
        <f>"mgmtTor02Uplink02PrimaryIp.address="&amp;'Deploy Parameters'!F84</f>
        <v>mgmtTor02Uplink02PrimaryIp.address=172.27.12.1</v>
      </c>
    </row>
    <row r="439" spans="1:1">
      <c r="A439" s="7" t="str">
        <f>"mgmt-load-balancer-creation-name@value="&amp;'Deploy Parameters'!J61</f>
        <v>mgmt-load-balancer-creation-name@value=sfo01m01lb01</v>
      </c>
    </row>
    <row r="441" spans="1:1">
      <c r="A441" s="1" t="s">
        <v>291</v>
      </c>
    </row>
    <row r="442" spans="1:1">
      <c r="A442" s="7" t="str">
        <f>"mgmt-udlr-configuration@name="&amp;'Deploy Parameters'!F88</f>
        <v>mgmt-udlr-configuration@name=sfo01m01udlr01</v>
      </c>
    </row>
    <row r="443" spans="1:1">
      <c r="A443" s="5" t="str">
        <f>"mgmtEsg01UdlrPrimaryIp.address="&amp;'Deploy Parameters'!F89</f>
        <v>mgmtEsg01UdlrPrimaryIp.address=192.168.10.1</v>
      </c>
    </row>
    <row r="444" spans="1:1">
      <c r="A444" s="5" t="str">
        <f>"mgmtEsg02UdlrPrimaryIp.address="&amp;'Deploy Parameters'!F90</f>
        <v>mgmtEsg02UdlrPrimaryIp.address=192.168.10.2</v>
      </c>
    </row>
    <row r="445" spans="1:1">
      <c r="A445" s="5" t="str">
        <f>"mgmtUdlrNetwork.cidrNotation="&amp;'Deploy Parameters'!F93</f>
        <v>mgmtUdlrNetwork.cidrNotation=192.168.10.0/24</v>
      </c>
    </row>
    <row r="446" spans="1:1">
      <c r="A446" s="5" t="str">
        <f>IF('Deploy Parameters'!F91="n/a","mgmtUdlrForwardingIp.address=","mgmtUdlrForwardingIp.address="&amp;'Deploy Parameters'!F91)</f>
        <v>mgmtUdlrForwardingIp.address=192.168.10.3</v>
      </c>
    </row>
    <row r="447" spans="1:1">
      <c r="A447" s="5" t="str">
        <f>IF('Deploy Parameters'!F92="n/a","mgmtUdlrProtocolIp.address=","mgmtUdlrProtocolIp.address="&amp;'Deploy Parameters'!F92)</f>
        <v>mgmtUdlrProtocolIp.address=192.168.10.4</v>
      </c>
    </row>
    <row r="449" spans="1:1">
      <c r="A449" s="1" t="s">
        <v>272</v>
      </c>
    </row>
    <row r="450" spans="1:1">
      <c r="A450" s="5" t="str">
        <f>"edgeUplink01Network.cidrNotation="&amp;'Hosts and Networks'!D23</f>
        <v>edgeUplink01Network.cidrNotation=172.16.35.0/24</v>
      </c>
    </row>
    <row r="451" spans="1:1">
      <c r="A451" s="5" t="str">
        <f>"edgeUplink01Network.gateway="&amp;'Hosts and Networks'!E23</f>
        <v>edgeUplink01Network.gateway=172.16.35.253</v>
      </c>
    </row>
    <row r="452" spans="1:1">
      <c r="A452" s="5" t="str">
        <f>"edgeUplink02Network.cidrNotation="&amp;'Hosts and Networks'!D24</f>
        <v>edgeUplink02Network.cidrNotation=172.27.13.0/24</v>
      </c>
    </row>
    <row r="453" spans="1:1">
      <c r="A453" s="5" t="str">
        <f>"edgeUplink02Network.gateway="&amp;'Hosts and Networks'!E24</f>
        <v>edgeUplink02Network.gateway=172.27.13.253</v>
      </c>
    </row>
    <row r="454" spans="1:1">
      <c r="A454" s="7" t="str">
        <f>"esg-01-compute-edge-device-creation-name@value="&amp;'Deploy Parameters'!J73</f>
        <v>esg-01-compute-edge-device-creation-name@value=sfo01w01esg01</v>
      </c>
    </row>
    <row r="455" spans="1:1">
      <c r="A455" s="5" t="str">
        <f>"edgeEsg01Uplink01PrimaryIp.address="&amp;'Deploy Parameters'!J74</f>
        <v>edgeEsg01Uplink01PrimaryIp.address=172.16.35.2</v>
      </c>
    </row>
    <row r="456" spans="1:1">
      <c r="A456" s="5" t="str">
        <f>"edgeEsg01Uplink02PrimaryIp.address="&amp;'Deploy Parameters'!J75</f>
        <v>edgeEsg01Uplink02PrimaryIp.address=172.27.13.3</v>
      </c>
    </row>
    <row r="457" spans="1:1">
      <c r="A457" s="7" t="str">
        <f>"esg-02-compute-edge-device-creation-name@value="&amp;'Deploy Parameters'!J77</f>
        <v>esg-02-compute-edge-device-creation-name@value=sfo01w01esg02</v>
      </c>
    </row>
    <row r="458" spans="1:1">
      <c r="A458" s="5" t="str">
        <f>"edgeEsg02Uplink01PrimaryIp.address="&amp;'Deploy Parameters'!J78</f>
        <v>edgeEsg02Uplink01PrimaryIp.address=172.16.35.3</v>
      </c>
    </row>
    <row r="459" spans="1:1">
      <c r="A459" s="5" t="str">
        <f>"edgeEsg02Uplink02PrimaryIp.address="&amp;'Deploy Parameters'!J79</f>
        <v>edgeEsg02Uplink02PrimaryIp.address=172.27.13.2</v>
      </c>
    </row>
    <row r="460" spans="1:1">
      <c r="A460" s="5" t="str">
        <f>"edgeTor01Uplink01PrimaryIp.address="&amp;'Deploy Parameters'!J81</f>
        <v>edgeTor01Uplink01PrimaryIp.address=172.16.35.1</v>
      </c>
    </row>
    <row r="461" spans="1:1">
      <c r="A461" s="5" t="str">
        <f>"edgeTor02Uplink02PrimaryIp.address="&amp;'Deploy Parameters'!J84</f>
        <v>edgeTor02Uplink02PrimaryIp.address=172.27.13.1</v>
      </c>
    </row>
    <row r="463" spans="1:1">
      <c r="A463" s="1" t="s">
        <v>292</v>
      </c>
    </row>
    <row r="464" spans="1:1">
      <c r="A464" s="5" t="str">
        <f>"compute-edge-udlr-configuration@name="&amp;'Deploy Parameters'!J88</f>
        <v>compute-edge-udlr-configuration@name=sfo01w01udlr01</v>
      </c>
    </row>
    <row r="465" spans="1:1">
      <c r="A465" s="5" t="str">
        <f>"edgeEsg01UdlrPrimaryIp.address="&amp;'Deploy Parameters'!J89</f>
        <v>edgeEsg01UdlrPrimaryIp.address=192.168.100.1</v>
      </c>
    </row>
    <row r="466" spans="1:1">
      <c r="A466" s="5" t="str">
        <f>"edgeEsg02UdlrPrimaryIp.address="&amp;'Deploy Parameters'!J90</f>
        <v>edgeEsg02UdlrPrimaryIp.address=192.168.100.2</v>
      </c>
    </row>
    <row r="467" spans="1:1">
      <c r="A467" s="5" t="str">
        <f>"edgeUdlrNetwork.cidrNotation="&amp;'Deploy Parameters'!J93</f>
        <v>edgeUdlrNetwork.cidrNotation=192.168.100.0/24</v>
      </c>
    </row>
    <row r="468" spans="1:1">
      <c r="A468" s="5" t="str">
        <f>IF('Deploy Parameters'!J91="n/a","edgeUdlrForwardingIp.address=","edgeUdlrForwardingIp.address="&amp;'Deploy Parameters'!J91)</f>
        <v>edgeUdlrForwardingIp.address=192.168.100.3</v>
      </c>
    </row>
    <row r="469" spans="1:1">
      <c r="A469" s="5" t="str">
        <f>IF('Deploy Parameters'!J92="n/a","edgeUdlrProtocolIp.address=","edgeUdlrProtocolIp.address="&amp;'Deploy Parameters'!J92)</f>
        <v>edgeUdlrProtocolIp.address=192.168.100.4</v>
      </c>
    </row>
    <row r="471" spans="1:1">
      <c r="A471" s="1" t="s">
        <v>538</v>
      </c>
    </row>
    <row r="472" spans="1:1">
      <c r="A472" s="5" t="str">
        <f>IF('Deploy Parameters'!J95="n/a","compute-dlr-configuration@name=","compute-dlr-configuration@name="&amp;'Deploy Parameters'!J95)</f>
        <v>compute-dlr-configuration@name=sfo01w01dlr01</v>
      </c>
    </row>
    <row r="473" spans="1:1">
      <c r="A473" s="5" t="str">
        <f>IF('Deploy Parameters'!J96="n/a","computeEsg01GlobalTransitPrimaryIp@address=","computeEsg01GlobalTransitPrimaryIp@address="&amp;'Deploy Parameters'!J96)</f>
        <v>computeEsg01GlobalTransitPrimaryIp@address=192.168.101.1</v>
      </c>
    </row>
    <row r="474" spans="1:1">
      <c r="A474" s="5" t="str">
        <f>IF('Deploy Parameters'!J97="n/a","computeEsg02GlobalTransitPrimaryIp@address=","computeEsg02GlobalTransitPrimaryIp@address="&amp;'Deploy Parameters'!J97)</f>
        <v>computeEsg02GlobalTransitPrimaryIp@address=192.168.101.2</v>
      </c>
    </row>
    <row r="475" spans="1:1">
      <c r="A475" s="5" t="str">
        <f>IF('Deploy Parameters'!J98="n/a","computeDlrForwardingIp@address=","computeDlrForwardingIp@address="&amp;'Deploy Parameters'!J98)</f>
        <v>computeDlrForwardingIp@address=192.168.101.3</v>
      </c>
    </row>
    <row r="476" spans="1:1">
      <c r="A476" s="5" t="str">
        <f>IF('Deploy Parameters'!J99="n/a","computeDlrProtocolIp@address=","computeDlrProtocolIp@address="&amp;'Deploy Parameters'!J99)</f>
        <v>computeDlrProtocolIp@address=192.168.101.4</v>
      </c>
    </row>
    <row r="477" spans="1:1">
      <c r="A477" s="5" t="str">
        <f>IF('Deploy Parameters'!J100="n/a","computeDlrNetwork@cidrNotation=","computeDlrNetwork@cidrNotation="&amp;'Deploy Parameters'!J100)</f>
        <v>computeDlrNetwork@cidrNotation=192.168.101.0/24</v>
      </c>
    </row>
    <row r="479" spans="1:1">
      <c r="A479" s="1" t="s">
        <v>1251</v>
      </c>
    </row>
    <row r="480" spans="1:1">
      <c r="A480" s="5" t="str">
        <f>IF('Deploy Parameters'!F71="n/a","esg-udlr-bgp-neighbour-password@value=","esg-udlr-bgp-neighbour-password@value="&amp;'Deploy Parameters'!F71)</f>
        <v>esg-udlr-bgp-neighbour-password@value=VMware1!</v>
      </c>
    </row>
    <row r="481" spans="1:1">
      <c r="A481" s="1" t="s">
        <v>421</v>
      </c>
    </row>
    <row r="482" spans="1:1">
      <c r="A482" s="5" t="str">
        <f>IF('Deploy Parameters'!F83="n/a","mgmt-tor01-bgp-neighbour-password@value=","mgmt-tor01-bgp-neighbour-password@value="&amp;'Deploy Parameters'!F83)</f>
        <v>mgmt-tor01-bgp-neighbour-password@value=VMware1!</v>
      </c>
    </row>
    <row r="483" spans="1:1">
      <c r="A483" s="1" t="s">
        <v>422</v>
      </c>
    </row>
    <row r="484" spans="1:1">
      <c r="A484" s="5" t="str">
        <f>IF('Deploy Parameters'!F86="n/a","mgmt-tor02-bgp-neighbour-password@value=","mgmt-tor02-bgp-neighbour-password@value="&amp;'Deploy Parameters'!F86)</f>
        <v>mgmt-tor02-bgp-neighbour-password@value=VMware1!</v>
      </c>
    </row>
    <row r="485" spans="1:1">
      <c r="A485" s="1" t="s">
        <v>1250</v>
      </c>
    </row>
    <row r="486" spans="1:1">
      <c r="A486" s="5" t="str">
        <f>IF('Deploy Parameters'!J71="n/a","edge-esg-udlr-bgp-neighbour-password@value=","edge-esg-udlr-bgp-neighbour-password@value="&amp;'Deploy Parameters'!J71)</f>
        <v>edge-esg-udlr-bgp-neighbour-password@value=VMware1!</v>
      </c>
    </row>
    <row r="487" spans="1:1">
      <c r="A487" s="1" t="s">
        <v>423</v>
      </c>
    </row>
    <row r="488" spans="1:1">
      <c r="A488" s="5" t="str">
        <f>IF('Deploy Parameters'!J83="n/a","edge-tor01-bgp-neighbour-password@value=","edge-tor01-bgp-neighbour-password@value="&amp;'Deploy Parameters'!J83)</f>
        <v>edge-tor01-bgp-neighbour-password@value=VMware1!</v>
      </c>
    </row>
    <row r="489" spans="1:1">
      <c r="A489" s="1" t="s">
        <v>424</v>
      </c>
    </row>
    <row r="490" spans="1:1">
      <c r="A490" s="5" t="str">
        <f>IF('Deploy Parameters'!J86="n/a","edge-tor02-bgp-neighbour-password@value=","edge-tor02-bgp-neighbour-password@value="&amp;'Deploy Parameters'!J86)</f>
        <v>edge-tor02-bgp-neighbour-password@value=VMware1!</v>
      </c>
    </row>
    <row r="492" spans="1:1">
      <c r="A492" s="1" t="s">
        <v>425</v>
      </c>
    </row>
    <row r="493" spans="1:1">
      <c r="A493" s="5" t="str">
        <f>"mgmt-tor01-autonomous-system@id="&amp;'Deploy Parameters'!F82</f>
        <v>mgmt-tor01-autonomous-system@id=65001</v>
      </c>
    </row>
    <row r="494" spans="1:1">
      <c r="A494" s="1" t="s">
        <v>426</v>
      </c>
    </row>
    <row r="495" spans="1:1">
      <c r="A495" s="5" t="str">
        <f>"mgmt-tor02-autonomous-system@id="&amp;'Deploy Parameters'!F85</f>
        <v>mgmt-tor02-autonomous-system@id=65001</v>
      </c>
    </row>
    <row r="496" spans="1:1">
      <c r="A496" s="1" t="s">
        <v>427</v>
      </c>
    </row>
    <row r="497" spans="1:1">
      <c r="A497" s="5" t="str">
        <f>"mgmt-esg-udlr-autonomous-system@id="&amp;'Deploy Parameters'!F70</f>
        <v>mgmt-esg-udlr-autonomous-system@id=65003</v>
      </c>
    </row>
    <row r="498" spans="1:1">
      <c r="A498" s="1" t="s">
        <v>428</v>
      </c>
    </row>
    <row r="499" spans="1:1">
      <c r="A499" s="5" t="str">
        <f>"edge-tor01-autonomous-system@id="&amp;'Deploy Parameters'!J82</f>
        <v>edge-tor01-autonomous-system@id=65001</v>
      </c>
    </row>
    <row r="500" spans="1:1">
      <c r="A500" s="1" t="s">
        <v>429</v>
      </c>
    </row>
    <row r="501" spans="1:1">
      <c r="A501" s="5" t="str">
        <f>"edge-tor02-autonomous-system@id="&amp;'Deploy Parameters'!J85</f>
        <v>edge-tor02-autonomous-system@id=65001</v>
      </c>
    </row>
    <row r="502" spans="1:1">
      <c r="A502" s="1" t="s">
        <v>430</v>
      </c>
    </row>
    <row r="503" spans="1:1">
      <c r="A503" s="5" t="str">
        <f>"edge-esg-udlr-autonomous-system@id="&amp;'Deploy Parameters'!J70</f>
        <v>edge-esg-udlr-autonomous-system@id=65000</v>
      </c>
    </row>
    <row r="506" spans="1:1">
      <c r="A506" s="1" t="s">
        <v>966</v>
      </c>
    </row>
    <row r="507" spans="1:1">
      <c r="A507" s="5" t="str">
        <f>IF('Deploy Parameters'!F103="n/a","vrslcmSpec.hostname=","vrslcmSpec.hostname="&amp;'Deploy Parameters'!F103)</f>
        <v>vrslcmSpec.hostname=vrslcm01svr01a</v>
      </c>
    </row>
    <row r="508" spans="1:1">
      <c r="A508" s="5" t="str">
        <f>IF('Deploy Parameters'!G103="n/a","vrslcmSpec.ipAddress=","vrslcmSpec.ipAddress="&amp;'Deploy Parameters'!G103)</f>
        <v>vrslcmSpec.ipAddress=192.168.11.20</v>
      </c>
    </row>
    <row r="509" spans="1:1">
      <c r="A509" s="5" t="str">
        <f>IF('Users and Groups'!C26="n/a","vrslcmSpec.appliancePassword=","vrslcmSpec.appliancePassword="&amp;'Users and Groups'!C26)</f>
        <v>vrslcmSpec.appliancePassword=VMw@re1!</v>
      </c>
    </row>
    <row r="510" spans="1:1">
      <c r="A510" s="5" t="str">
        <f>IF('Users and Groups'!C25="n/a","vrslcmSpec.sshPassword=","vrslcmSpec.sshPassword="&amp;'Users and Groups'!C25)</f>
        <v>vrslcmSpec.sshPassword=VMw@re1!</v>
      </c>
    </row>
    <row r="511" spans="1:1">
      <c r="A511" s="1" t="s">
        <v>1064</v>
      </c>
    </row>
    <row r="512" spans="1:1">
      <c r="A512" s="5" t="str">
        <f>IF('Users and Groups'!B27="n/a","svc-vrslcm-ad-user.username=","svc-vrslcm-ad-user.username="&amp;'Users and Groups'!B27)</f>
        <v>svc-vrslcm-ad-user.username=svc-vrslcm-vsphere</v>
      </c>
    </row>
    <row r="513" spans="1:1">
      <c r="A513" s="5" t="str">
        <f>IF('Users and Groups'!C27="n/a","svc-vrslcm-ad-user.password=","svc-vrslcm-ad-user.password="&amp;'Users and Groups'!C27)</f>
        <v>svc-vrslcm-ad-user.password=VMw@re1!</v>
      </c>
    </row>
    <row r="515" spans="1:1">
      <c r="A515" s="1" t="s">
        <v>117</v>
      </c>
    </row>
    <row r="516" spans="1:1" s="6" customFormat="1">
      <c r="A516" s="6" t="s">
        <v>466</v>
      </c>
    </row>
    <row r="517" spans="1:1" s="6" customFormat="1">
      <c r="A517" s="5" t="str">
        <f>"vra-ias-vms-join-domain@value="&amp;'Deploy Parameters'!J113</f>
        <v>vra-ias-vms-join-domain@value=child</v>
      </c>
    </row>
    <row r="518" spans="1:1" s="6" customFormat="1">
      <c r="A518" s="6" t="s">
        <v>467</v>
      </c>
    </row>
    <row r="519" spans="1:1" s="6" customFormat="1">
      <c r="A519" s="5" t="str">
        <f>"vra-ims-iws-dem-vms-join-domain@value="&amp;'Deploy Parameters'!J112</f>
        <v>vra-ims-iws-dem-vms-join-domain@value=root</v>
      </c>
    </row>
    <row r="520" spans="1:1" s="6" customFormat="1">
      <c r="A520" s="6" t="s">
        <v>475</v>
      </c>
    </row>
    <row r="521" spans="1:1" s="6" customFormat="1">
      <c r="A521" s="5" t="str">
        <f>"vra-tenant-configuration@joinDomain="&amp;'Deploy Parameters'!J114</f>
        <v>vra-tenant-configuration@joinDomain=root</v>
      </c>
    </row>
    <row r="522" spans="1:1" s="6" customFormat="1"/>
    <row r="523" spans="1:1">
      <c r="A523" s="1" t="s">
        <v>126</v>
      </c>
    </row>
    <row r="524" spans="1:1">
      <c r="A524" s="5" t="str">
        <f>IF('Deploy Parameters'!G106="n/a","vraIp1.address=","vraIp1.address="&amp;'Deploy Parameters'!G106)</f>
        <v>vraIp1.address=192.168.11.51</v>
      </c>
    </row>
    <row r="525" spans="1:1">
      <c r="A525" s="5" t="str">
        <f>IF('Deploy Parameters'!G107="n/a","vraIp2.address=","vraIp2.address="&amp;'Deploy Parameters'!G107)</f>
        <v>vraIp2.address=192.168.11.52</v>
      </c>
    </row>
    <row r="526" spans="1:1">
      <c r="A526" s="5" t="str">
        <f>IF('Deploy Parameters'!G108="n/a","vraIp3.address=","vraIp3.address="&amp;'Deploy Parameters'!G108)</f>
        <v>vraIp3.address=192.168.11.50</v>
      </c>
    </row>
    <row r="527" spans="1:1">
      <c r="A527" s="5" t="str">
        <f>IF('Deploy Parameters'!G109="n/a","iwsIp1.address=","iwsIp1.address="&amp;'Deploy Parameters'!G109)</f>
        <v>iwsIp1.address=192.168.11.54</v>
      </c>
    </row>
    <row r="528" spans="1:1">
      <c r="A528" s="5" t="str">
        <f>IF('Deploy Parameters'!G110="n/a","iwsIp2.address=","iwsIp2.address="&amp;'Deploy Parameters'!G110)</f>
        <v>iwsIp2.address=192.168.11.55</v>
      </c>
    </row>
    <row r="529" spans="1:1">
      <c r="A529" s="5" t="str">
        <f>IF('Deploy Parameters'!G111="n/a","imsIp1.address=","imsIp1.address="&amp;'Deploy Parameters'!G111)</f>
        <v>imsIp1.address=192.168.11.57</v>
      </c>
    </row>
    <row r="530" spans="1:1">
      <c r="A530" s="5" t="str">
        <f>IF('Deploy Parameters'!G112="n/a","imsIp2.address=","imsIp2.address="&amp;'Deploy Parameters'!G112)</f>
        <v>imsIp2.address=192.168.11.58</v>
      </c>
    </row>
    <row r="531" spans="1:1">
      <c r="A531" s="5" t="str">
        <f>IF('Deploy Parameters'!G113="n/a","demIp1.address=","demIp1.address="&amp;'Deploy Parameters'!G113)</f>
        <v>demIp1.address=192.168.11.60</v>
      </c>
    </row>
    <row r="532" spans="1:1">
      <c r="A532" s="5" t="str">
        <f>IF('Deploy Parameters'!G114="n/a","demIp2.address=","demIp2.address="&amp;'Deploy Parameters'!G114)</f>
        <v>demIp2.address=192.168.11.61</v>
      </c>
    </row>
    <row r="533" spans="1:1">
      <c r="A533" s="5" t="str">
        <f>IF('Deploy Parameters'!K106="n/a","iasIp1.address=","iasIp1.address="&amp;'Deploy Parameters'!K106)</f>
        <v>iasIp1.address=192.168.31.52</v>
      </c>
    </row>
    <row r="534" spans="1:1">
      <c r="A534" s="5" t="str">
        <f>IF('Deploy Parameters'!K107="n/a","iasIp2.address=","iasIp2.address="&amp;'Deploy Parameters'!K107)</f>
        <v>iasIp2.address=192.168.31.53</v>
      </c>
    </row>
    <row r="535" spans="1:1">
      <c r="A535" s="1" t="s">
        <v>125</v>
      </c>
    </row>
    <row r="536" spans="1:1">
      <c r="A536" s="5" t="str">
        <f>IF('Deploy Parameters'!F106="n/a","vra-deployment-1-vmname=","vra-deployment-1-vmname="&amp;'Deploy Parameters'!F106)</f>
        <v>vra-deployment-1-vmname=vra01svr01a</v>
      </c>
    </row>
    <row r="537" spans="1:1">
      <c r="A537" s="5" t="str">
        <f>IF('Deploy Parameters'!F107="n/a","vra-deployment-2-vmname=","vra-deployment-2-vmname="&amp;'Deploy Parameters'!F107)</f>
        <v>vra-deployment-2-vmname=vra01svr01b</v>
      </c>
    </row>
    <row r="538" spans="1:1">
      <c r="A538" s="5" t="str">
        <f>IF('Deploy Parameters'!F108="n/a","vra-deployment-3-vmname=","vra-deployment-3-vmname="&amp;'Deploy Parameters'!F108)</f>
        <v>vra-deployment-3-vmname=vra01svr01c</v>
      </c>
    </row>
    <row r="539" spans="1:1">
      <c r="A539" s="5" t="str">
        <f>IF('Deploy Parameters'!F109="n/a","vra-iws-deployment-1-vmname=","vra-iws-deployment-1-vmname="&amp;'Deploy Parameters'!F109)</f>
        <v>vra-iws-deployment-1-vmname=vra01iws01a</v>
      </c>
    </row>
    <row r="540" spans="1:1">
      <c r="A540" s="5" t="str">
        <f>IF('Deploy Parameters'!F110="n/a","vra-iws-deployment-2-vmname=","vra-iws-deployment-2-vmname="&amp;'Deploy Parameters'!F110)</f>
        <v>vra-iws-deployment-2-vmname=vra01iws01b</v>
      </c>
    </row>
    <row r="541" spans="1:1">
      <c r="A541" s="5" t="str">
        <f>IF('Deploy Parameters'!F111="n/a","vra-ims-deployment-1-vmname=","vra-ims-deployment-1-vmname="&amp;'Deploy Parameters'!F111)</f>
        <v>vra-ims-deployment-1-vmname=vra01ims01a</v>
      </c>
    </row>
    <row r="542" spans="1:1">
      <c r="A542" s="5" t="str">
        <f>IF('Deploy Parameters'!F112="n/a","vra-ims-deployment-2-vmname=","vra-ims-deployment-2-vmname="&amp;'Deploy Parameters'!F112)</f>
        <v>vra-ims-deployment-2-vmname=vra01ims01b</v>
      </c>
    </row>
    <row r="543" spans="1:1">
      <c r="A543" s="5" t="str">
        <f>IF('Deploy Parameters'!F113="n/a","vra-dem-deployment-1-vmname=","vra-dem-deployment-1-vmname="&amp;'Deploy Parameters'!F113)</f>
        <v>vra-dem-deployment-1-vmname=vra01dem01a</v>
      </c>
    </row>
    <row r="544" spans="1:1">
      <c r="A544" s="5" t="str">
        <f>IF('Deploy Parameters'!F114="n/a","vra-dem-deployment-2-vmname=","vra-dem-deployment-2-vmname="&amp;'Deploy Parameters'!F114)</f>
        <v>vra-dem-deployment-2-vmname=vra01dem01b</v>
      </c>
    </row>
    <row r="545" spans="1:1">
      <c r="A545" s="5" t="str">
        <f>IF('Deploy Parameters'!J106="n/a","vra-ias-deployment-1-vmname=","vra-ias-deployment-1-vmname="&amp;'Deploy Parameters'!J106)</f>
        <v>vra-ias-deployment-1-vmname=sfo01ias01a</v>
      </c>
    </row>
    <row r="546" spans="1:1">
      <c r="A546" s="5" t="str">
        <f>IF('Deploy Parameters'!J107="n/a","vra-ias-deployment-2-vmname=","vra-ias-deployment-2-vmname="&amp;'Deploy Parameters'!J107)</f>
        <v>vra-ias-deployment-2-vmname=sfo01ias01b</v>
      </c>
    </row>
    <row r="547" spans="1:1">
      <c r="A547" s="5" t="str">
        <f>IF('Deploy Parameters'!F115="n/a","mssql-server-deployment.vmName=","mssql-server-deployment.vmName="&amp;'Deploy Parameters'!F115)</f>
        <v>mssql-server-deployment.vmName=vra01mssql01</v>
      </c>
    </row>
    <row r="548" spans="1:1">
      <c r="A548" s="6"/>
    </row>
    <row r="549" spans="1:1">
      <c r="A549" s="1" t="s">
        <v>327</v>
      </c>
    </row>
    <row r="550" spans="1:1">
      <c r="A550" s="5" t="str">
        <f>IF('Deploy Parameters'!K116="n/a","vraLbIp.address=","vraLbIp.address="&amp;'Deploy Parameters'!K116)</f>
        <v>vraLbIp.address=192.168.11.53</v>
      </c>
    </row>
    <row r="551" spans="1:1">
      <c r="A551" s="5" t="str">
        <f>IF('Deploy Parameters'!K117="n/a","iwsLbIp.address=","iwsLbIp.address="&amp;'Deploy Parameters'!K117)</f>
        <v>iwsLbIp.address=192.168.11.56</v>
      </c>
    </row>
    <row r="552" spans="1:1">
      <c r="A552" s="5" t="str">
        <f>IF('Deploy Parameters'!K118="n/a","imsLbIp.address=","imsLbIp.address="&amp;'Deploy Parameters'!K118)</f>
        <v>imsLbIp.address=192.168.11.59</v>
      </c>
    </row>
    <row r="554" spans="1:1">
      <c r="A554" s="1" t="s">
        <v>213</v>
      </c>
    </row>
    <row r="555" spans="1:1">
      <c r="A555" s="5" t="str">
        <f>IF('Deploy Parameters'!J109="n/a","vra-ias-agent-name-1@value=","vra-ias-agent-name-1@value="&amp;'Deploy Parameters'!J109)</f>
        <v>vra-ias-agent-name-1@value=sfo01w01vc01.sfo01.rainpole.local</v>
      </c>
    </row>
    <row r="556" spans="1:1" s="6" customFormat="1">
      <c r="A556" s="5" t="str">
        <f>IF('Deploy Parameters'!J109="n/a","vra-ias-agent-name-2@value=","vra-ias-agent-name-2@value="&amp;'Deploy Parameters'!J109)</f>
        <v>vra-ias-agent-name-2@value=sfo01w01vc01.sfo01.rainpole.local</v>
      </c>
    </row>
    <row r="557" spans="1:1">
      <c r="A557" s="5" t="str">
        <f>IF('Deploy Parameters'!J110="n/a","vra-ias-vsphere-endpoint-name@value=","vra-ias-vsphere-endpoint-name@value="&amp;'Deploy Parameters'!J110)</f>
        <v>vra-ias-vsphere-endpoint-name@value=sfo01w01vc01.sfo01.rainpole.local</v>
      </c>
    </row>
    <row r="559" spans="1:1">
      <c r="A559" s="1" t="s">
        <v>162</v>
      </c>
    </row>
    <row r="560" spans="1:1">
      <c r="A560" s="5" t="str">
        <f>"vra-va-root-credentials@password="&amp;'Users and Groups'!C45</f>
        <v>vra-va-root-credentials@password=VMware1!</v>
      </c>
    </row>
    <row r="561" spans="1:1">
      <c r="A561" s="6" t="s">
        <v>263</v>
      </c>
    </row>
    <row r="562" spans="1:1">
      <c r="A562" s="5" t="str">
        <f>"ug-vROAdmins-ad-group.name="&amp;'Users and Groups'!B10</f>
        <v>ug-vROAdmins-ad-group.name=ug-vROAdmins</v>
      </c>
    </row>
    <row r="563" spans="1:1">
      <c r="A563" s="5" t="str">
        <f>IF('Users and Groups'!B48="n/a","svc-vro-ad-user.username=","svc-vro-ad-user.username="&amp;'Users and Groups'!B48)</f>
        <v>svc-vro-ad-user.username=svc-vro</v>
      </c>
    </row>
    <row r="564" spans="1:1">
      <c r="A564" s="5" t="str">
        <f>IF('Users and Groups'!C48="n/a","svc-vro-ad-user.password=","svc-vro-ad-user.password="&amp;'Users and Groups'!C48)</f>
        <v>svc-vro-ad-user.password=VMware1!</v>
      </c>
    </row>
    <row r="565" spans="1:1">
      <c r="A565" s="6" t="s">
        <v>1068</v>
      </c>
    </row>
    <row r="566" spans="1:1">
      <c r="A566" s="5" t="str">
        <f>"SDDC-Ops-ad-group.name="&amp;'Users and Groups'!B9</f>
        <v>SDDC-Ops-ad-group.name=ug-SDDC-Ops</v>
      </c>
    </row>
    <row r="568" spans="1:1">
      <c r="A568" s="1" t="s">
        <v>107</v>
      </c>
    </row>
    <row r="569" spans="1:1">
      <c r="A569" s="1" t="s">
        <v>108</v>
      </c>
    </row>
    <row r="570" spans="1:1">
      <c r="A570" s="5" t="str">
        <f>"svc-vra-ad-user.username="&amp;'Users and Groups'!B47</f>
        <v>svc-vra-ad-user.username=svc-vra</v>
      </c>
    </row>
    <row r="571" spans="1:1">
      <c r="A571" s="5" t="str">
        <f>"svc-vra-ad-user.password="&amp;'Users and Groups'!C47</f>
        <v>svc-vra-ad-user.password=VMware1!</v>
      </c>
    </row>
    <row r="573" spans="1:1">
      <c r="A573" s="1" t="s">
        <v>456</v>
      </c>
    </row>
    <row r="574" spans="1:1">
      <c r="A574" s="5" t="str">
        <f>"windows-admin-credentials@username="&amp;'Users and Groups'!B49</f>
        <v>windows-admin-credentials@username=Administrator</v>
      </c>
    </row>
    <row r="575" spans="1:1">
      <c r="A575" s="5" t="str">
        <f>"windows-admin-credentials@password="&amp;'Users and Groups'!C49</f>
        <v>windows-admin-credentials@password=VMware1!</v>
      </c>
    </row>
    <row r="577" spans="1:1">
      <c r="A577" s="1" t="s">
        <v>174</v>
      </c>
    </row>
    <row r="578" spans="1:1">
      <c r="A578" s="7" t="str">
        <f>"ITAC-TenantAdmin-ad-user.username="&amp;'Users and Groups'!B52</f>
        <v>ITAC-TenantAdmin-ad-user.username=vra-admin-rainpole</v>
      </c>
    </row>
    <row r="579" spans="1:1">
      <c r="A579" s="5" t="str">
        <f>"ITAC-TenantAdmin-ad-user.password="&amp;'Users and Groups'!C52</f>
        <v>ITAC-TenantAdmin-ad-user.password=VMware1!</v>
      </c>
    </row>
    <row r="580" spans="1:1">
      <c r="A580" s="6" t="s">
        <v>252</v>
      </c>
    </row>
    <row r="581" spans="1:1">
      <c r="A581" s="5" t="str">
        <f>"ug-ITAC-TenantAdmins-ad-group.name="&amp;'Users and Groups'!B11</f>
        <v>ug-ITAC-TenantAdmins-ad-group.name=ug-vra-admins-rainpole</v>
      </c>
    </row>
    <row r="582" spans="1:1">
      <c r="A582" s="6" t="s">
        <v>253</v>
      </c>
    </row>
    <row r="583" spans="1:1">
      <c r="A583" s="5" t="str">
        <f>"ug-ITAC-TenantArchitects-ad-group.name="&amp;'Users and Groups'!B12</f>
        <v>ug-ITAC-TenantArchitects-ad-group.name=ug-vra-archs-rainpole</v>
      </c>
    </row>
    <row r="585" spans="1:1">
      <c r="A585" s="1" t="s">
        <v>110</v>
      </c>
    </row>
    <row r="586" spans="1:1">
      <c r="A586" s="1" t="s">
        <v>111</v>
      </c>
    </row>
    <row r="587" spans="1:1">
      <c r="A587" s="1" t="s">
        <v>112</v>
      </c>
    </row>
    <row r="588" spans="1:1">
      <c r="A588" s="5" t="str">
        <f>"vra-iaas-template-deployment.vmname="&amp;'Deploy Parameters'!F119</f>
        <v>vra-iaas-template-deployment.vmname=master-iaas-vm</v>
      </c>
    </row>
    <row r="589" spans="1:1" s="6" customFormat="1"/>
    <row r="590" spans="1:1">
      <c r="A590" s="1" t="s">
        <v>477</v>
      </c>
    </row>
    <row r="591" spans="1:1">
      <c r="A591" s="5" t="str">
        <f>"vra-iaas-database.dbName="&amp;'Deploy Parameters'!F117</f>
        <v>vra-iaas-database.dbName=VRADB01</v>
      </c>
    </row>
    <row r="592" spans="1:1">
      <c r="A592" s="5" t="str">
        <f>"mssql-server-deployment.port="&amp;'Deploy Parameters'!F118</f>
        <v>mssql-server-deployment.port=1433</v>
      </c>
    </row>
    <row r="593" spans="1:1">
      <c r="A593" s="1" t="s">
        <v>1073</v>
      </c>
    </row>
    <row r="594" spans="1:1">
      <c r="A594" s="5" t="str">
        <f>IF('Deploy Parameters'!J112="root","mssql-server-deployment.address="&amp;'Deploy Parameters'!F115&amp;"."&amp;'Deploy Parameters'!J6,"mssql-server-deployment.address="&amp;'Deploy Parameters'!F115&amp;"."&amp;'Deploy Parameters'!J7)</f>
        <v>mssql-server-deployment.address=vra01mssql01.rainpole.local</v>
      </c>
    </row>
    <row r="595" spans="1:1">
      <c r="A595" s="1" t="s">
        <v>1074</v>
      </c>
    </row>
    <row r="596" spans="1:1">
      <c r="A596" s="5" t="str">
        <f>"mssql-server-external="&amp;'Deploy Parameters'!F116</f>
        <v>mssql-server-external=No</v>
      </c>
    </row>
    <row r="598" spans="1:1">
      <c r="A598" s="1" t="s">
        <v>354</v>
      </c>
    </row>
    <row r="599" spans="1:1">
      <c r="A599" s="5" t="str">
        <f>"vrbServerIp.address="&amp;'Deploy Parameters'!G122</f>
        <v>vrbServerIp.address=192.168.11.66</v>
      </c>
    </row>
    <row r="600" spans="1:1">
      <c r="A600" s="5" t="str">
        <f>"vrbCollectorIp.address="&amp;'Deploy Parameters'!K122</f>
        <v>vrbCollectorIp.address=192.168.31.54</v>
      </c>
    </row>
    <row r="601" spans="1:1">
      <c r="A601" s="5" t="str">
        <f>"vrb-server-deployment-vmname="&amp;'Deploy Parameters'!F122</f>
        <v>vrb-server-deployment-vmname=vrb01svr01</v>
      </c>
    </row>
    <row r="602" spans="1:1">
      <c r="A602" s="5" t="str">
        <f>"vrb-collector-deployment-vmname="&amp;'Deploy Parameters'!J122</f>
        <v>vrb-collector-deployment-vmname=sfo01vrbc01</v>
      </c>
    </row>
    <row r="603" spans="1:1">
      <c r="A603" s="5" t="str">
        <f>"vrb-va-root-credentials@password="&amp;'Users and Groups'!C50</f>
        <v>vrb-va-root-credentials@password=VMware1!</v>
      </c>
    </row>
    <row r="604" spans="1:1">
      <c r="A604" s="5" t="str">
        <f>"vrb-currency@value="&amp;'Deploy Parameters'!F123</f>
        <v>vrb-currency@value=USD - US Dollar</v>
      </c>
    </row>
    <row r="606" spans="1:1">
      <c r="A606" s="1" t="s">
        <v>294</v>
      </c>
    </row>
    <row r="607" spans="1:1">
      <c r="A607" s="5" t="str">
        <f>IF('vRA Configuration'!C8="n/a","itac-localdefaultadmin-user@firstName=","itac-localdefaultadmin-user@firstName="&amp;'vRA Configuration'!C8)</f>
        <v>itac-localdefaultadmin-user@firstName=vra-</v>
      </c>
    </row>
    <row r="608" spans="1:1">
      <c r="A608" s="5" t="str">
        <f>IF('vRA Configuration'!C9="n/a","itac-localdefaultadmin-user@lastName=","itac-localdefaultadmin-user@lastName="&amp;'vRA Configuration'!C9)</f>
        <v>itac-localdefaultadmin-user@lastName=LocalDefaultAdmin</v>
      </c>
    </row>
    <row r="609" spans="1:1">
      <c r="A609" s="5" t="str">
        <f>IF('vRA Configuration'!C10="n/a","itac-localdefaultadmin-user@email=","itac-localdefaultadmin-user@email="&amp;'vRA Configuration'!C10)</f>
        <v>itac-localdefaultadmin-user@email=vra-LocalDefaultAdmin@vsphere.local</v>
      </c>
    </row>
    <row r="610" spans="1:1">
      <c r="A610" s="5" t="str">
        <f>IF('vRA Configuration'!C11="n/a","itac-defaulttenant-credentials@username=","itac-defaulttenant-credentials@username="&amp;'vRA Configuration'!C11)</f>
        <v>itac-defaulttenant-credentials@username=vra-LocalDefaultAdmin</v>
      </c>
    </row>
    <row r="611" spans="1:1">
      <c r="A611" s="5" t="str">
        <f>IF('vRA Configuration'!C12="n/a","itac-defaulttenant-credentials@password=","itac-defaulttenant-credentials@password="&amp;'vRA Configuration'!C12)</f>
        <v>itac-defaulttenant-credentials@password=VMware1!</v>
      </c>
    </row>
    <row r="612" spans="1:1">
      <c r="A612" s="1" t="s">
        <v>295</v>
      </c>
    </row>
    <row r="613" spans="1:1">
      <c r="A613" s="5" t="str">
        <f>"itac-localrainpoleadmin-user@firstName="&amp;'vRA Configuration'!C20</f>
        <v>itac-localrainpoleadmin-user@firstName=vra-</v>
      </c>
    </row>
    <row r="614" spans="1:1">
      <c r="A614" s="5" t="str">
        <f>"itac-localrainpoleadmin-user@lastName="&amp;'vRA Configuration'!C21</f>
        <v>itac-localrainpoleadmin-user@lastName=LocalRainpoleAdmin</v>
      </c>
    </row>
    <row r="615" spans="1:1">
      <c r="A615" s="5" t="str">
        <f>"itac-localrainpoleadmin-user@email="&amp;'vRA Configuration'!C22</f>
        <v>itac-localrainpoleadmin-user@email=vra-LocalRainpoleAdmin@vsphere.local</v>
      </c>
    </row>
    <row r="616" spans="1:1">
      <c r="A616" s="5" t="str">
        <f>"itac-tenant-credentials@username="&amp;'vRA Configuration'!C23</f>
        <v>itac-tenant-credentials@username=vra-LocalRainpoleAdmin</v>
      </c>
    </row>
    <row r="617" spans="1:1">
      <c r="A617" s="5" t="str">
        <f>"itac-tenant-credentials@password="&amp;'vRA Configuration'!C24</f>
        <v>itac-tenant-credentials@password=VMware1!</v>
      </c>
    </row>
    <row r="618" spans="1:1">
      <c r="A618" s="1" t="s">
        <v>296</v>
      </c>
    </row>
    <row r="619" spans="1:1">
      <c r="A619" s="5" t="str">
        <f>"vra-horizon-credentials@username="&amp;'Users and Groups'!B46</f>
        <v>vra-horizon-credentials@username=administrator@vsphere.local</v>
      </c>
    </row>
    <row r="620" spans="1:1">
      <c r="A620" s="5" t="str">
        <f>"vra-horizon-credentials@password="&amp;'Users and Groups'!C46</f>
        <v>vra-horizon-credentials@password=VMware1!</v>
      </c>
    </row>
    <row r="621" spans="1:1">
      <c r="A621" s="1" t="s">
        <v>297</v>
      </c>
    </row>
    <row r="622" spans="1:1">
      <c r="A622" s="5" t="str">
        <f>"vra-tenant-configuration@tenantName="&amp;'vRA Configuration'!C15</f>
        <v>vra-tenant-configuration@tenantName=Rainpole</v>
      </c>
    </row>
    <row r="623" spans="1:1">
      <c r="A623" s="5" t="str">
        <f>"vra-tenant-configuration@tenantUrlName="&amp;'vRA Configuration'!C16</f>
        <v>vra-tenant-configuration@tenantUrlName=rainpole</v>
      </c>
    </row>
    <row r="624" spans="1:1">
      <c r="A624" s="5" t="str">
        <f>"vra-tenant-configuration@tenantContactEmail="&amp;'vRA Configuration'!C17</f>
        <v>vra-tenant-configuration@tenantContactEmail=vra-admin-rainpole@rainpole.local</v>
      </c>
    </row>
    <row r="625" spans="1:1">
      <c r="A625" s="1" t="s">
        <v>298</v>
      </c>
    </row>
    <row r="626" spans="1:1">
      <c r="A626" s="5" t="str">
        <f>IF('vRA Configuration'!C27="n/a","vra-tenant-configuration@inboundProvider.name=","vra-tenant-configuration@inboundProvider.name="&amp;'vRA Configuration'!C27)</f>
        <v>vra-tenant-configuration@inboundProvider.name=Rainpole-Inbound</v>
      </c>
    </row>
    <row r="627" spans="1:1">
      <c r="A627" s="5" t="str">
        <f>IF('vRA Configuration'!C28="n/a","vra-tenant-configuration@inboundProvider.serverAddress=","vra-tenant-configuration@inboundProvider.serverAddress="&amp;'vRA Configuration'!C28)</f>
        <v>vra-tenant-configuration@inboundProvider.serverAddress=smtp.rainpole.local</v>
      </c>
    </row>
    <row r="628" spans="1:1">
      <c r="A628" s="7" t="str">
        <f>IF('vRA Configuration'!C29="n/a","vra-tenant-configuration@inboundProvider.port=","vra-tenant-configuration@inboundProvider.port="&amp;'vRA Configuration'!C29)</f>
        <v>vra-tenant-configuration@inboundProvider.port=143</v>
      </c>
    </row>
    <row r="629" spans="1:1">
      <c r="A629" s="5" t="str">
        <f>"vra-tenant-configuration@inboundProvider.emailAddress="&amp;'vRA Configuration'!C33</f>
        <v>vra-tenant-configuration@inboundProvider.emailAddress=vra-admin-rainpole@rainpole.local</v>
      </c>
    </row>
    <row r="630" spans="1:1">
      <c r="A630" s="7" t="str">
        <f>"inbound-email-server-credentials@username="&amp;'vRA Configuration'!C34</f>
        <v>inbound-email-server-credentials@username=vra-admin-rainpole@rainpole.local</v>
      </c>
    </row>
    <row r="631" spans="1:1">
      <c r="A631" s="5" t="str">
        <f>"inbound-email-server-credentials@password="&amp;'vRA Configuration'!C35</f>
        <v>inbound-email-server-credentials@password=VMware1!</v>
      </c>
    </row>
    <row r="632" spans="1:1">
      <c r="A632" s="7" t="str">
        <f>"vra-tenant-configuration@inboundProvider.protocol="&amp;'vRA Configuration'!C30</f>
        <v>vra-tenant-configuration@inboundProvider.protocol=IMAP</v>
      </c>
    </row>
    <row r="633" spans="1:1">
      <c r="A633" s="5" t="str">
        <f>"vra-tenant-configuration@inboundProvider.useSsl="&amp;'vRA Configuration'!C31</f>
        <v>vra-tenant-configuration@inboundProvider.useSsl=false</v>
      </c>
    </row>
    <row r="634" spans="1:1">
      <c r="A634" s="7" t="str">
        <f>"vra-tenant-configuration@inboundProvider.acceptSelfSignedCertificates="&amp;'vRA Configuration'!C32</f>
        <v>vra-tenant-configuration@inboundProvider.acceptSelfSignedCertificates=false</v>
      </c>
    </row>
    <row r="635" spans="1:1">
      <c r="A635" s="1" t="s">
        <v>299</v>
      </c>
    </row>
    <row r="636" spans="1:1">
      <c r="A636" s="5" t="str">
        <f>IF('vRA Configuration'!F27="n/a","vra-tenant-configuration@outboundProvider.name=","vra-tenant-configuration@outboundProvider.name="&amp;'vRA Configuration'!F27)</f>
        <v>vra-tenant-configuration@outboundProvider.name=Rainpole-Outbound</v>
      </c>
    </row>
    <row r="637" spans="1:1">
      <c r="A637" s="5" t="str">
        <f>IF('vRA Configuration'!F28="n/a","vra-tenant-configuration@outboundProvider.serverAddress=","vra-tenant-configuration@outboundProvider.serverAddress="&amp;'vRA Configuration'!F28)</f>
        <v>vra-tenant-configuration@outboundProvider.serverAddress=smtp.rainpole.local</v>
      </c>
    </row>
    <row r="638" spans="1:1">
      <c r="A638" s="7" t="s">
        <v>395</v>
      </c>
    </row>
    <row r="639" spans="1:1">
      <c r="A639" s="7" t="str">
        <f>IF('vRA Configuration'!F29="n/a","vra-tenant-configuration@outboundProvider.port=","vra-tenant-configuration@outboundProvider.port="&amp;'vRA Configuration'!F29)</f>
        <v>vra-tenant-configuration@outboundProvider.port=25</v>
      </c>
    </row>
    <row r="640" spans="1:1">
      <c r="A640" s="5" t="str">
        <f>IF('vRA Configuration'!F32="n/a","vra-tenant-configuration@outboundProvider.emailAddress=","vra-tenant-configuration@outboundProvider.emailAddress="&amp;'vRA Configuration'!F32)</f>
        <v>vra-tenant-configuration@outboundProvider.emailAddress=vra-admin-rainpole@rainpole.local</v>
      </c>
    </row>
    <row r="641" spans="1:1">
      <c r="A641" s="5" t="str">
        <f>"outbound-email-server-credentials@username="&amp;'vRA Configuration'!F33</f>
        <v>outbound-email-server-credentials@username=vra-admin-rainpole@rainpole.local</v>
      </c>
    </row>
    <row r="642" spans="1:1">
      <c r="A642" s="5" t="str">
        <f>"outbound-email-server-credentials@password="&amp;'vRA Configuration'!F34</f>
        <v>outbound-email-server-credentials@password=VMware1!</v>
      </c>
    </row>
    <row r="643" spans="1:1">
      <c r="A643" s="1" t="s">
        <v>300</v>
      </c>
    </row>
    <row r="644" spans="1:1">
      <c r="A644" s="5" t="str">
        <f>"vra-tenant-configuration@branding.companyName="&amp;'vRA Configuration'!F8</f>
        <v>vra-tenant-configuration@branding.companyName=Rainpole</v>
      </c>
    </row>
    <row r="645" spans="1:1">
      <c r="A645" s="5" t="str">
        <f>"vra-tenant-configuration@branding.productName="&amp;'vRA Configuration'!F9</f>
        <v>vra-tenant-configuration@branding.productName=Software-Defined Datacenter</v>
      </c>
    </row>
    <row r="646" spans="1:1">
      <c r="A646" s="7" t="str">
        <f>"vra-tenant-configuration@branding.backgroundColor="&amp;'vRA Configuration'!F10</f>
        <v>vra-tenant-configuration@branding.backgroundColor=3989C7</v>
      </c>
    </row>
    <row r="647" spans="1:1">
      <c r="A647" s="7" t="str">
        <f>"vra-tenant-configuration@branding.textColor="&amp;'vRA Configuration'!F11</f>
        <v>vra-tenant-configuration@branding.textColor=FFFFFF</v>
      </c>
    </row>
    <row r="648" spans="1:1">
      <c r="A648" s="7" t="str">
        <f>"vra-tenant-configuration@branding.copyright="&amp;'vRA Configuration'!F12</f>
        <v>vra-tenant-configuration@branding.copyright=Copyright Rainpole. All Rights Reserved</v>
      </c>
    </row>
    <row r="649" spans="1:1">
      <c r="A649" s="7" t="str">
        <f>"vra-tenant-configuration@branding.disclaimer="&amp;'vRA Configuration'!F13</f>
        <v>vra-tenant-configuration@branding.disclaimer=https://www.rainpole.local</v>
      </c>
    </row>
    <row r="650" spans="1:1">
      <c r="A650" s="7" t="str">
        <f>"vra-tenant-configuration@branding.contactLink="&amp;'vRA Configuration'!F14</f>
        <v>vra-tenant-configuration@branding.contactLink=https://www.rainpole.local/contact</v>
      </c>
    </row>
    <row r="651" spans="1:1">
      <c r="A651" s="1" t="s">
        <v>346</v>
      </c>
    </row>
    <row r="652" spans="1:1">
      <c r="A652" s="5" t="str">
        <f>IF('vRA Configuration'!F17="n/a","vra-tenant-content-configuration@fabricGroupName=","vra-tenant-content-configuration@fabricGroupName="&amp;'vRA Configuration'!F17)</f>
        <v>vra-tenant-content-configuration@fabricGroupName=sfo01-fabric-group</v>
      </c>
    </row>
    <row r="653" spans="1:1">
      <c r="A653" s="6"/>
    </row>
    <row r="655" spans="1:1">
      <c r="A655" s="1" t="s">
        <v>118</v>
      </c>
    </row>
    <row r="656" spans="1:1">
      <c r="A656" s="1" t="s">
        <v>121</v>
      </c>
    </row>
    <row r="657" spans="1:1">
      <c r="A657" s="1" t="s">
        <v>329</v>
      </c>
    </row>
    <row r="658" spans="1:1">
      <c r="A658" s="5" t="str">
        <f>"vropsMasterIp.address="&amp;'Deploy Parameters'!G128</f>
        <v>vropsMasterIp.address=192.168.11.31</v>
      </c>
    </row>
    <row r="659" spans="1:1">
      <c r="A659" s="5" t="str">
        <f>"vropsReplicaIp.address="&amp;'Deploy Parameters'!G129</f>
        <v>vropsReplicaIp.address=192.168.11.32</v>
      </c>
    </row>
    <row r="660" spans="1:1">
      <c r="A660" s="5" t="str">
        <f>"vropsDataNodeIp.address="&amp;'Deploy Parameters'!G130</f>
        <v>vropsDataNodeIp.address=192.168.11.33</v>
      </c>
    </row>
    <row r="661" spans="1:1">
      <c r="A661" s="1" t="s">
        <v>328</v>
      </c>
    </row>
    <row r="662" spans="1:1">
      <c r="A662" s="5" t="str">
        <f>"vROpsLoadBalancerIp.address="&amp;'Deploy Parameters'!G127</f>
        <v>vROpsLoadBalancerIp.address=192.168.11.35</v>
      </c>
    </row>
    <row r="663" spans="1:1">
      <c r="A663" s="1" t="s">
        <v>119</v>
      </c>
    </row>
    <row r="664" spans="1:1">
      <c r="A664" s="5" t="str">
        <f>"vrops-master-deployment-vmname="&amp;'Deploy Parameters'!F128</f>
        <v>vrops-master-deployment-vmname=vrops01svr01a</v>
      </c>
    </row>
    <row r="665" spans="1:1">
      <c r="A665" s="5" t="str">
        <f>"vrops-replica-deployment-vmname="&amp;'Deploy Parameters'!F129</f>
        <v>vrops-replica-deployment-vmname=vrops01svr01b</v>
      </c>
    </row>
    <row r="666" spans="1:1">
      <c r="A666" s="5" t="str">
        <f>"vrops-datanode-deployment-vmname="&amp;'Deploy Parameters'!F130</f>
        <v>vrops-datanode-deployment-vmname=vrops01svr01c</v>
      </c>
    </row>
    <row r="667" spans="1:1">
      <c r="A667" s="1" t="s">
        <v>462</v>
      </c>
    </row>
    <row r="668" spans="1:1">
      <c r="A668" s="1" t="s">
        <v>463</v>
      </c>
    </row>
    <row r="669" spans="1:1">
      <c r="A669" s="1" t="s">
        <v>464</v>
      </c>
    </row>
    <row r="670" spans="1:1">
      <c r="A670" s="1" t="s">
        <v>465</v>
      </c>
    </row>
    <row r="672" spans="1:1">
      <c r="A672" s="1" t="s">
        <v>120</v>
      </c>
    </row>
    <row r="673" spans="1:1">
      <c r="A673" s="6" t="s">
        <v>846</v>
      </c>
    </row>
    <row r="674" spans="1:1">
      <c r="A674" s="1" t="s">
        <v>845</v>
      </c>
    </row>
    <row r="676" spans="1:1">
      <c r="A676" s="6" t="s">
        <v>330</v>
      </c>
    </row>
    <row r="677" spans="1:1">
      <c r="A677" s="5" t="str">
        <f>"vropsCollectorIp1.address="&amp;'Deploy Parameters'!K127</f>
        <v>vropsCollectorIp1.address=192.168.31.31</v>
      </c>
    </row>
    <row r="678" spans="1:1">
      <c r="A678" s="5" t="str">
        <f>"vropsCollectorIp2.address="&amp;'Deploy Parameters'!K128</f>
        <v>vropsCollectorIp2.address=192.168.31.32</v>
      </c>
    </row>
    <row r="679" spans="1:1">
      <c r="A679" s="1" t="s">
        <v>123</v>
      </c>
    </row>
    <row r="680" spans="1:1">
      <c r="A680" s="5" t="str">
        <f>"vrops-remote-collector-1-deployment-vmname="&amp;'Deploy Parameters'!J127</f>
        <v>vrops-remote-collector-1-deployment-vmname=sfo01vropsc01a</v>
      </c>
    </row>
    <row r="681" spans="1:1">
      <c r="A681" s="5" t="str">
        <f>"vrops-remote-collector-2-deployment-vmname="&amp;'Deploy Parameters'!J128</f>
        <v>vrops-remote-collector-2-deployment-vmname=sfo01vropsc01b</v>
      </c>
    </row>
    <row r="682" spans="1:1">
      <c r="A682" s="6"/>
    </row>
    <row r="683" spans="1:1">
      <c r="A683" s="6" t="s">
        <v>215</v>
      </c>
    </row>
    <row r="684" spans="1:1">
      <c r="A684" s="5" t="str">
        <f>"vrops-admin-credentials@password="&amp;'Users and Groups'!C29</f>
        <v>vrops-admin-credentials@password=VMware1!</v>
      </c>
    </row>
    <row r="685" spans="1:1">
      <c r="A685" s="22" t="s">
        <v>834</v>
      </c>
    </row>
    <row r="686" spans="1:1">
      <c r="A686" s="16" t="str">
        <f>IF('Users and Groups'!C28="n/a","vrops-root-changed-credentials@password=","vrops-root-changed-credentials@password="&amp;'Users and Groups'!C28)</f>
        <v>vrops-root-changed-credentials@password=VMware1!</v>
      </c>
    </row>
    <row r="687" spans="1:1">
      <c r="A687" s="6" t="s">
        <v>163</v>
      </c>
    </row>
    <row r="688" spans="1:1">
      <c r="A688" s="6" t="s">
        <v>109</v>
      </c>
    </row>
    <row r="689" spans="1:1">
      <c r="A689" s="5" t="str">
        <f>"svc-vrops-vsphere-ad-user.username="&amp;'Users and Groups'!B30</f>
        <v>svc-vrops-vsphere-ad-user.username=svc-vrops</v>
      </c>
    </row>
    <row r="690" spans="1:1">
      <c r="A690" s="5" t="str">
        <f>"svc-vrops-vsphere-ad-user.password="&amp;'Users and Groups'!C30</f>
        <v>svc-vrops-vsphere-ad-user.password=VMware1!</v>
      </c>
    </row>
    <row r="691" spans="1:1">
      <c r="A691" s="6" t="s">
        <v>587</v>
      </c>
    </row>
    <row r="692" spans="1:1">
      <c r="A692" s="5" t="str">
        <f>"svc-vrops-vsphere-vc-ad-user.username="&amp;'Users and Groups'!B31</f>
        <v>svc-vrops-vsphere-vc-ad-user.username=svc-vrops-vsphere</v>
      </c>
    </row>
    <row r="693" spans="1:1">
      <c r="A693" s="5" t="str">
        <f>"svc-vrops-vsphere-vc-ad-user.password="&amp;'Users and Groups'!C31</f>
        <v>svc-vrops-vsphere-vc-ad-user.password=VMware1!</v>
      </c>
    </row>
    <row r="694" spans="1:1">
      <c r="A694" s="6" t="s">
        <v>588</v>
      </c>
    </row>
    <row r="695" spans="1:1">
      <c r="A695" s="5" t="str">
        <f>"svc-vrops-nsx-ad-user.username="&amp;'Users and Groups'!B32</f>
        <v>svc-vrops-nsx-ad-user.username=svc-vrops-nsx</v>
      </c>
    </row>
    <row r="696" spans="1:1">
      <c r="A696" s="5" t="str">
        <f>"svc-vrops-nsx-ad-user.password="&amp;'Users and Groups'!C32</f>
        <v>svc-vrops-nsx-ad-user.password=VMware1!</v>
      </c>
    </row>
    <row r="697" spans="1:1">
      <c r="A697" s="6" t="s">
        <v>164</v>
      </c>
    </row>
    <row r="698" spans="1:1">
      <c r="A698" s="5" t="str">
        <f>"SDDC-Admins-ad-group.name="&amp;'Users and Groups'!B7</f>
        <v>SDDC-Admins-ad-group.name=ug-SDDC-Admins</v>
      </c>
    </row>
    <row r="699" spans="1:1">
      <c r="A699" s="1" t="s">
        <v>446</v>
      </c>
    </row>
    <row r="700" spans="1:1">
      <c r="A700" s="5" t="str">
        <f>"svc-vrops-mpsd-ad-user.username="&amp;'Users and Groups'!B33</f>
        <v>svc-vrops-mpsd-ad-user.username=svc-vrops-mpsd</v>
      </c>
    </row>
    <row r="701" spans="1:1">
      <c r="A701" s="5" t="str">
        <f>"svc-vrops-mpsd-ad-user.password="&amp;'Users and Groups'!C33</f>
        <v>svc-vrops-mpsd-ad-user.password=VMware1!</v>
      </c>
    </row>
    <row r="702" spans="1:1">
      <c r="A702" s="1" t="s">
        <v>589</v>
      </c>
    </row>
    <row r="703" spans="1:1">
      <c r="A703" s="5" t="str">
        <f>"svc-vrops-vsan-ad-user.username="&amp;'Users and Groups'!B34</f>
        <v>svc-vrops-vsan-ad-user.username=svc-vrops-vsan</v>
      </c>
    </row>
    <row r="704" spans="1:1">
      <c r="A704" s="5" t="str">
        <f>"svc-vrops-vsan-ad-user.password="&amp;'Users and Groups'!C34</f>
        <v>svc-vrops-vsan-ad-user.password=VMware1!</v>
      </c>
    </row>
    <row r="705" spans="1:1">
      <c r="A705" s="1" t="s">
        <v>623</v>
      </c>
    </row>
    <row r="706" spans="1:1">
      <c r="A706" s="5" t="str">
        <f>IF('Users and Groups'!B35="n/a","svc-vrops-vra-ad-user.username=","svc-vrops-vra-ad-user.username="&amp;'Users and Groups'!B35)</f>
        <v>svc-vrops-vra-ad-user.username=svc-vrops-vra</v>
      </c>
    </row>
    <row r="707" spans="1:1">
      <c r="A707" s="5" t="str">
        <f>IF('Users and Groups'!C35="n/a","svc-vrops-vra-ad-user.password=","svc-vrops-vra-ad-user.password="&amp;'Users and Groups'!C35)</f>
        <v>svc-vrops-vra-ad-user.password=VMware1!</v>
      </c>
    </row>
    <row r="708" spans="1:1" s="3" customFormat="1">
      <c r="A708" s="3" t="s">
        <v>876</v>
      </c>
    </row>
    <row r="709" spans="1:1" s="3" customFormat="1">
      <c r="A709" s="14" t="str">
        <f>IF('Users and Groups'!B36="n/a","svc-vrops-srm-ad-user.username=","svc-vrops-srm-ad-user.username="&amp;'Users and Groups'!B36)</f>
        <v>svc-vrops-srm-ad-user.username=svc-vrops-srm</v>
      </c>
    </row>
    <row r="710" spans="1:1" s="3" customFormat="1">
      <c r="A710" s="14" t="str">
        <f>IF('Users and Groups'!C36="n/a","svc-vrops-srm-ad-user.password=","svc-vrops-srm-ad-user.password="&amp;'Users and Groups'!C36)</f>
        <v>svc-vrops-srm-ad-user.password=VMware1!</v>
      </c>
    </row>
    <row r="711" spans="1:1">
      <c r="A711" s="1" t="s">
        <v>621</v>
      </c>
    </row>
    <row r="712" spans="1:1">
      <c r="A712" s="5" t="str">
        <f>IF('Users and Groups'!B37="n/a","svc-vra-vrops-ad-user.username=","svc-vra-vrops-ad-user.username="&amp;'Users and Groups'!B37)</f>
        <v>svc-vra-vrops-ad-user.username=svc-vra-vrops</v>
      </c>
    </row>
    <row r="713" spans="1:1">
      <c r="A713" s="5" t="str">
        <f>IF('Users and Groups'!C37="n/a","svc-vra-vrops-ad-user.password=","svc-vra-vrops-ad-user.password="&amp;'Users and Groups'!C37)</f>
        <v>svc-vra-vrops-ad-user.password=VMware1!</v>
      </c>
    </row>
    <row r="714" spans="1:1">
      <c r="A714" s="1" t="s">
        <v>620</v>
      </c>
    </row>
    <row r="715" spans="1:1">
      <c r="A715" s="5" t="str">
        <f>IF('Users and Groups'!B38="n/a","svc-vrli-vrops-ad-user.username=","svc-vrli-vrops-ad-user.username="&amp;'Users and Groups'!B38)</f>
        <v>svc-vrli-vrops-ad-user.username=svc-vrli-vrops</v>
      </c>
    </row>
    <row r="716" spans="1:1">
      <c r="A716" s="5" t="str">
        <f>IF('Users and Groups'!C38="n/a","svc-vrli-vrops-ad-user.password=","svc-vrli-vrops-ad-user.password="&amp;'Users and Groups'!C38)</f>
        <v>svc-vrli-vrops-ad-user.password=VMware1!</v>
      </c>
    </row>
    <row r="717" spans="1:1">
      <c r="A717" s="6"/>
    </row>
    <row r="718" spans="1:1">
      <c r="A718" s="6" t="s">
        <v>165</v>
      </c>
    </row>
    <row r="719" spans="1:1">
      <c r="A719" s="5" t="str">
        <f>IF('Deploy Parameters'!J130="n/a","vROpsSmtp@server=","vROpsSmtp@server="&amp;'Deploy Parameters'!J130)</f>
        <v>vROpsSmtp@server=smtp.rainpole.local</v>
      </c>
    </row>
    <row r="720" spans="1:1">
      <c r="A720" s="5" t="str">
        <f>IF('Deploy Parameters'!J131="n/a","vROpsSmtp@port=","vROpsSmtp@port="&amp;'Deploy Parameters'!J131)</f>
        <v>vROpsSmtp@port=25</v>
      </c>
    </row>
    <row r="721" spans="1:1">
      <c r="A721" s="5" t="str">
        <f>IF('Deploy Parameters'!J132="n/a","vROpsSmtp@senderEmail=","vROpsSmtp@senderEmail="&amp;'Deploy Parameters'!J132)</f>
        <v>vROpsSmtp@senderEmail=vrops-do-not-reply@rainpole.local</v>
      </c>
    </row>
    <row r="722" spans="1:1">
      <c r="A722" s="5" t="str">
        <f>IF('Deploy Parameters'!J133="n/a","vROpsSmtp@senderName=","vROpsSmtp@senderName="&amp;'Deploy Parameters'!J133)</f>
        <v>vROpsSmtp@senderName=vROps Administrator</v>
      </c>
    </row>
    <row r="723" spans="1:1">
      <c r="A723" s="5" t="str">
        <f>"vROpsSmtp@secureConnection="&amp;'Deploy Parameters'!J134</f>
        <v>vROpsSmtp@secureConnection=false</v>
      </c>
    </row>
    <row r="724" spans="1:1">
      <c r="A724" s="5" t="str">
        <f>IF('Deploy Parameters'!J135="n/a","vROpsSmtp@secureConnectionType=","vROpsSmtp@secureConnectionType="&amp;'Deploy Parameters'!J135)</f>
        <v>vROpsSmtp@secureConnectionType=TLS</v>
      </c>
    </row>
    <row r="725" spans="1:1">
      <c r="A725" s="5" t="str">
        <f>"vROpsSmtp@requiresAuthentication="&amp;'Deploy Parameters'!F133</f>
        <v>vROpsSmtp@requiresAuthentication=false</v>
      </c>
    </row>
    <row r="726" spans="1:1">
      <c r="A726" s="5" t="str">
        <f>IF('Deploy Parameters'!F134="n/a","vrops-smtp-credentials.username=","vrops-smtp-credentials.username="&amp;'Deploy Parameters'!F134)</f>
        <v>vrops-smtp-credentials.username=</v>
      </c>
    </row>
    <row r="727" spans="1:1">
      <c r="A727" s="5" t="str">
        <f>IF('Deploy Parameters'!F135="n/a","vrops-smtp-credentials.password=","vrops-smtp-credentials.password="&amp;'Deploy Parameters'!F135)</f>
        <v>vrops-smtp-credentials.password=</v>
      </c>
    </row>
    <row r="728" spans="1:1">
      <c r="A728" s="6"/>
    </row>
    <row r="729" spans="1:1">
      <c r="A729" s="1" t="s">
        <v>954</v>
      </c>
    </row>
    <row r="730" spans="1:1">
      <c r="A730" s="1" t="s">
        <v>331</v>
      </c>
    </row>
    <row r="731" spans="1:1">
      <c r="A731" s="5" t="str">
        <f>"logInsightMasterIp.address="&amp;'Deploy Parameters'!G139</f>
        <v>logInsightMasterIp.address=192.168.31.11</v>
      </c>
    </row>
    <row r="732" spans="1:1">
      <c r="A732" s="5" t="str">
        <f>"logInsightWorker1Ip.address="&amp;'Deploy Parameters'!G140</f>
        <v>logInsightWorker1Ip.address=192.168.31.12</v>
      </c>
    </row>
    <row r="733" spans="1:1">
      <c r="A733" s="5" t="str">
        <f>"logInsightWorker2Ip.address="&amp;'Deploy Parameters'!G141</f>
        <v>logInsightWorker2Ip.address=192.168.31.13</v>
      </c>
    </row>
    <row r="734" spans="1:1">
      <c r="A734" s="5" t="str">
        <f>"logInsightLoadBalancedIp.address="&amp;'Deploy Parameters'!G138</f>
        <v>logInsightLoadBalancedIp.address=192.168.31.10</v>
      </c>
    </row>
    <row r="735" spans="1:1">
      <c r="A735" s="1" t="s">
        <v>122</v>
      </c>
    </row>
    <row r="736" spans="1:1">
      <c r="A736" s="5" t="str">
        <f>"logInsight-master-deployment-vmname="&amp;'Deploy Parameters'!F139</f>
        <v>logInsight-master-deployment-vmname=sfo01vrli01a</v>
      </c>
    </row>
    <row r="737" spans="1:1">
      <c r="A737" s="5" t="str">
        <f>"logInsight-worker-1-deployment-vmname="&amp;'Deploy Parameters'!F140</f>
        <v>logInsight-worker-1-deployment-vmname=sfo01vrli01b</v>
      </c>
    </row>
    <row r="738" spans="1:1">
      <c r="A738" s="5" t="str">
        <f>"logInsight-worker-2-deployment-vmname="&amp;'Deploy Parameters'!F141</f>
        <v>logInsight-worker-2-deployment-vmname=sfo01vrli01c</v>
      </c>
    </row>
    <row r="739" spans="1:1">
      <c r="A739" s="6"/>
    </row>
    <row r="740" spans="1:1">
      <c r="A740" s="1" t="s">
        <v>833</v>
      </c>
    </row>
    <row r="741" spans="1:1">
      <c r="A741" s="5" t="str">
        <f>IF('Deploy Parameters'!F148="n/a","domain-controller-names@value=","domain-controller-names@value="&amp;'Deploy Parameters'!F148)</f>
        <v>domain-controller-names@value=dc01rpl.rainpole.local</v>
      </c>
    </row>
    <row r="742" spans="1:1">
      <c r="A742" s="1" t="s">
        <v>166</v>
      </c>
    </row>
    <row r="743" spans="1:1">
      <c r="A743" s="5" t="str">
        <f>"log-insight-admin-credentials@password="&amp;'Users and Groups'!C40</f>
        <v>log-insight-admin-credentials@password=VMware1!</v>
      </c>
    </row>
    <row r="744" spans="1:1">
      <c r="A744" s="1" t="s">
        <v>167</v>
      </c>
    </row>
    <row r="745" spans="1:1">
      <c r="A745" s="5" t="str">
        <f>"log-insight-root-credentials@password="&amp;'Users and Groups'!C39</f>
        <v>log-insight-root-credentials@password=VMware1!</v>
      </c>
    </row>
    <row r="746" spans="1:1">
      <c r="A746" s="1" t="s">
        <v>168</v>
      </c>
    </row>
    <row r="747" spans="1:1">
      <c r="A747" s="1" t="s">
        <v>109</v>
      </c>
    </row>
    <row r="748" spans="1:1">
      <c r="A748" s="5" t="str">
        <f>"svc-loginsight-vc-ad-user.username="&amp;'Users and Groups'!B41</f>
        <v>svc-loginsight-vc-ad-user.username=svc-vrli-vsphere</v>
      </c>
    </row>
    <row r="749" spans="1:1">
      <c r="A749" s="5" t="str">
        <f>"svc-loginsight-vc-ad-user.password="&amp;'Users and Groups'!C41</f>
        <v>svc-loginsight-vc-ad-user.password=VMware1!</v>
      </c>
    </row>
    <row r="750" spans="1:1">
      <c r="A750" s="1" t="s">
        <v>169</v>
      </c>
    </row>
    <row r="751" spans="1:1">
      <c r="A751" s="1" t="s">
        <v>170</v>
      </c>
    </row>
    <row r="752" spans="1:1">
      <c r="A752" s="5" t="str">
        <f>"svc-loginsight-ad-user.username="&amp;'Users and Groups'!B42</f>
        <v>svc-loginsight-ad-user.username=svc-vrli</v>
      </c>
    </row>
    <row r="753" spans="1:1">
      <c r="A753" s="5" t="str">
        <f>"svc-loginsight-ad-user.password="&amp;'Users and Groups'!C42</f>
        <v>svc-loginsight-ad-user.password=VMware1!</v>
      </c>
    </row>
    <row r="755" spans="1:1">
      <c r="A755" s="1" t="s">
        <v>171</v>
      </c>
    </row>
    <row r="756" spans="1:1">
      <c r="A756" s="5" t="str">
        <f>IF('Deploy Parameters'!J138="n/a","logInsightSmtp@server=","logInsightSmtp@server="&amp;'Deploy Parameters'!J138)</f>
        <v>logInsightSmtp@server=smtp.rainpole.local</v>
      </c>
    </row>
    <row r="757" spans="1:1">
      <c r="A757" s="5" t="str">
        <f>IF('Deploy Parameters'!J139="n/a","logInsightSmtp@port=","logInsightSmtp@port="&amp;'Deploy Parameters'!J139)</f>
        <v>logInsightSmtp@port=25</v>
      </c>
    </row>
    <row r="758" spans="1:1">
      <c r="A758" s="5" t="str">
        <f>IF('Deploy Parameters'!J140="n/a","logInsightSmtp@senderEmail=","logInsightSmtp@senderEmail="&amp;'Deploy Parameters'!J140)</f>
        <v>logInsightSmtp@senderEmail=vrli-do-not-reply@rainpole.local</v>
      </c>
    </row>
    <row r="759" spans="1:1">
      <c r="A759" s="5" t="str">
        <f>IF('Deploy Parameters'!J141="n/a","logInsightSmtp@senderName=","logInsightSmtp@senderName="&amp;'Deploy Parameters'!J141)</f>
        <v>logInsightSmtp@senderName=vRLI Administrator</v>
      </c>
    </row>
    <row r="760" spans="1:1">
      <c r="A760" s="1" t="s">
        <v>241</v>
      </c>
    </row>
    <row r="761" spans="1:1">
      <c r="A761" s="5" t="str">
        <f>"logInsightSmtp@secureConnection="&amp;'Deploy Parameters'!J142</f>
        <v>logInsightSmtp@secureConnection=false</v>
      </c>
    </row>
    <row r="762" spans="1:1">
      <c r="A762" s="7" t="str">
        <f>"logInsight-ad-and-smtp-configuration@useSslForAdIntegration="&amp;'Deploy Parameters'!J145</f>
        <v>logInsight-ad-and-smtp-configuration@useSslForAdIntegration=false</v>
      </c>
    </row>
    <row r="763" spans="1:1" s="6" customFormat="1">
      <c r="A763" s="6" t="s">
        <v>264</v>
      </c>
    </row>
    <row r="764" spans="1:1">
      <c r="A764" s="5" t="str">
        <f>"logInsightSmtp@requiresAuthentication="&amp;'Deploy Parameters'!J147</f>
        <v>logInsightSmtp@requiresAuthentication=false</v>
      </c>
    </row>
    <row r="765" spans="1:1">
      <c r="A765" s="5" t="str">
        <f>IF('Deploy Parameters'!J148="n/a","log-insight-smtp-credentials.username=","log-insight-smtp-credentials.username="&amp;'Deploy Parameters'!J148)</f>
        <v>log-insight-smtp-credentials.username=</v>
      </c>
    </row>
    <row r="766" spans="1:1">
      <c r="A766" s="5" t="str">
        <f>IF('Deploy Parameters'!J149="n/a","log-insight-smtp-credentials.password=","log-insight-smtp-credentials.password="&amp;'Deploy Parameters'!J149)</f>
        <v>log-insight-smtp-credentials.password=</v>
      </c>
    </row>
    <row r="767" spans="1:1">
      <c r="A767" s="1" t="s">
        <v>172</v>
      </c>
    </row>
    <row r="768" spans="1:1">
      <c r="A768" s="12" t="str">
        <f>IF('Deploy Parameters'!J143="n/a","loginsight-admin-email@value=","loginsight-admin-email@value="&amp;'Deploy Parameters'!J143)</f>
        <v>loginsight-admin-email@value=administrator@rainpole.local</v>
      </c>
    </row>
    <row r="769" spans="1:1">
      <c r="A769" s="5" t="str">
        <f>IF('Deploy Parameters'!J144="n/a","loginsight-alert-emails@value=","loginsight-alert-emails@value="&amp;'Deploy Parameters'!J144)</f>
        <v>loginsight-alert-emails@value=support-team@rainpole.local</v>
      </c>
    </row>
    <row r="771" spans="1:1">
      <c r="A771" s="1" t="s">
        <v>342</v>
      </c>
    </row>
    <row r="772" spans="1:1">
      <c r="A772" s="5" t="str">
        <f>IF('Deploy Parameters'!F144="n/a","logInsight-data-archiving.address=","logInsight-data-archiving.address="&amp;'Deploy Parameters'!F144)</f>
        <v>logInsight-data-archiving.address=nfs-server-address</v>
      </c>
    </row>
    <row r="773" spans="1:1">
      <c r="A773" s="5" t="str">
        <f>IF('Deploy Parameters'!F145="n/a","logInsight-data-archiving.sharedFolder=","logInsight-data-archiving.sharedFolder="&amp;'Deploy Parameters'!F145)</f>
        <v>logInsight-data-archiving.sharedFolder=/VVD_vRLI_MgmtA_400GB</v>
      </c>
    </row>
    <row r="775" spans="1:1">
      <c r="A775" s="1" t="s">
        <v>1157</v>
      </c>
    </row>
    <row r="776" spans="1:1">
      <c r="A776" s="1" t="s">
        <v>1162</v>
      </c>
    </row>
    <row r="777" spans="1:1">
      <c r="A777" s="5" t="str">
        <f>IF('Deploy Parameters'!G151="n/a","umds-IpAddress=","umds-IpAddress="&amp;'Deploy Parameters'!G151)</f>
        <v>umds-IpAddress=172.16.11.67</v>
      </c>
    </row>
    <row r="778" spans="1:1">
      <c r="A778" s="1" t="s">
        <v>1163</v>
      </c>
    </row>
    <row r="779" spans="1:1">
      <c r="A779" s="5" t="str">
        <f>IF('Users and Groups'!B43="n/a","umds-credentials.user=","umds-credentials.user="&amp;'Users and Groups'!B43)</f>
        <v>umds-credentials.user=svc-umds</v>
      </c>
    </row>
    <row r="780" spans="1:1">
      <c r="A780" s="5" t="str">
        <f>IF('Users and Groups'!C43="n/a","umds-credentials.password=","umds-credentials.password="&amp;'Users and Groups'!C43)</f>
        <v>umds-credentials.password=VMware1!</v>
      </c>
    </row>
    <row r="782" spans="1:1">
      <c r="A782" s="1" t="s">
        <v>173</v>
      </c>
    </row>
    <row r="783" spans="1:1">
      <c r="A783" s="5" t="str">
        <f>"keystore.password="&amp;'Deploy Parameters'!F160</f>
        <v>keystore.password=VMware1!</v>
      </c>
    </row>
    <row r="784" spans="1:1" s="6" customFormat="1"/>
    <row r="785" spans="1:1" s="6" customFormat="1"/>
    <row r="786" spans="1:1">
      <c r="A786" s="1" t="s">
        <v>452</v>
      </c>
    </row>
    <row r="787" spans="1:1">
      <c r="A787" s="1" t="s">
        <v>447</v>
      </c>
    </row>
    <row r="788" spans="1:1">
      <c r="A788" s="5" t="str">
        <f>IF('Users and Groups'!C56="n/a","vr-va-root-credentials@password=","vr-va-root-credentials@password="&amp;'Users and Groups'!C56)</f>
        <v>vr-va-root-credentials@password=VMware1!</v>
      </c>
    </row>
    <row r="789" spans="1:1">
      <c r="A789" s="5" t="s">
        <v>835</v>
      </c>
    </row>
    <row r="790" spans="1:1" s="3" customFormat="1">
      <c r="A790" s="14" t="str">
        <f>IF('Users and Groups'!B55="n/a","svc-srm-ad-user.username=","svc-srm-ad-user.username="&amp;'Users and Groups'!B55)</f>
        <v>svc-srm-ad-user.username=svc-srm</v>
      </c>
    </row>
    <row r="791" spans="1:1" s="3" customFormat="1">
      <c r="A791" s="14" t="str">
        <f>IF('Users and Groups'!C55="n/a","svc-srm-ad-user.password=","svc-srm-ad-user.password="&amp;'Users and Groups'!C55)</f>
        <v>svc-srm-ad-user.password=VMware1!</v>
      </c>
    </row>
    <row r="792" spans="1:1" s="3" customFormat="1">
      <c r="A792" s="6" t="s">
        <v>836</v>
      </c>
    </row>
    <row r="793" spans="1:1" s="3" customFormat="1">
      <c r="A793" s="14" t="str">
        <f>IF('Users and Groups'!B57="n/","svc-vr-ad-user.username=","svc-vr-ad-user.username="&amp;'Users and Groups'!B57)</f>
        <v>svc-vr-ad-user.username=svc-vr</v>
      </c>
    </row>
    <row r="794" spans="1:1" s="3" customFormat="1">
      <c r="A794" s="14" t="str">
        <f>IF('Users and Groups'!C57="n/a","svc-vr-ad-user.password=","svc-vr-ad-user.password="&amp;'Users and Groups'!C57)</f>
        <v>svc-vr-ad-user.password=VMware1!</v>
      </c>
    </row>
    <row r="795" spans="1:1" s="3" customFormat="1">
      <c r="A795" s="23"/>
    </row>
    <row r="796" spans="1:1" ht="14" customHeight="1">
      <c r="A796" s="1" t="s">
        <v>451</v>
      </c>
    </row>
    <row r="797" spans="1:1">
      <c r="A797" s="5" t="str">
        <f>IF('Hosts and Networks'!D11="n/a","vrStorageTrafficIp.address=","vrStorageTrafficIp.address="&amp;'Deploy Parameters'!K155)</f>
        <v>vrStorageTrafficIp.address=172.16.16.100</v>
      </c>
    </row>
    <row r="798" spans="1:1">
      <c r="A798" s="5" t="str">
        <f>IF('Deploy Parameters'!J154="n/a","vr-deployment-vmname=","vr-deployment-vmname="&amp;'Deploy Parameters'!J154)</f>
        <v>vr-deployment-vmname=sfo01m01vrms01</v>
      </c>
    </row>
    <row r="799" spans="1:1">
      <c r="A799" s="5" t="str">
        <f>IF('Deploy Parameters'!K154="n/a","vrIp.address=","vrIp.address="&amp;'Deploy Parameters'!K154)</f>
        <v>vrIp.address=172.16.11.123</v>
      </c>
    </row>
    <row r="801" spans="1:1">
      <c r="A801" s="1" t="s">
        <v>448</v>
      </c>
    </row>
    <row r="802" spans="1:1">
      <c r="A802" s="5" t="str">
        <f>IF('Deploy Parameters'!G154="n/a","srm-vm-deployment.address=","srm-vm-deployment.address="&amp;'Deploy Parameters'!G154)</f>
        <v>srm-vm-deployment.address=172.16.11.124</v>
      </c>
    </row>
    <row r="803" spans="1:1">
      <c r="A803" s="5" t="str">
        <f>IF('Users and Groups'!B54="n/a","srm-vm-deployment.username=","srm-vm-deployment.username="&amp;'Users and Groups'!B54)</f>
        <v>srm-vm-deployment.username=Administrator</v>
      </c>
    </row>
    <row r="804" spans="1:1">
      <c r="A804" s="5" t="str">
        <f>IF('Users and Groups'!C54="n/a","srm-vm-deployment.password=","srm-vm-deployment.password="&amp;'Users and Groups'!C54)</f>
        <v>srm-vm-deployment.password=VMware1!</v>
      </c>
    </row>
    <row r="805" spans="1:1">
      <c r="A805" s="1" t="s">
        <v>449</v>
      </c>
    </row>
    <row r="806" spans="1:1">
      <c r="A806" s="5" t="s">
        <v>574</v>
      </c>
    </row>
    <row r="807" spans="1:1">
      <c r="A807" s="5" t="s">
        <v>575</v>
      </c>
    </row>
    <row r="808" spans="1:1">
      <c r="A808" s="1" t="s">
        <v>450</v>
      </c>
    </row>
    <row r="809" spans="1:1">
      <c r="A809" s="5" t="str">
        <f>IF('Deploy Parameters'!F155="n/a","srm-deployment@dsn=","srm-deployment@dsn="&amp;'Deploy Parameters'!F155)</f>
        <v>srm-deployment@dsn=srm_site_sfo01</v>
      </c>
    </row>
    <row r="810" spans="1:1">
      <c r="A810" s="5" t="str">
        <f>IF('Deploy Parameters'!F156="n/a","srm-deployment@dbPort=","srm-deployment@dbPort="&amp;'Deploy Parameters'!F156)</f>
        <v>srm-deployment@dbPort=5678</v>
      </c>
    </row>
    <row r="811" spans="1:1">
      <c r="A811" s="5" t="str">
        <f>IF('Deploy Parameters'!F157="n/a","srm-deployment@administratorEmail=","srm-deployment@administratorEmail="&amp;'Deploy Parameters'!F157)</f>
        <v>srm-deployment@administratorEmail=administrator@rainpole.local</v>
      </c>
    </row>
    <row r="814" spans="1:1">
      <c r="A814" s="1" t="s">
        <v>226</v>
      </c>
    </row>
    <row r="815" spans="1:1">
      <c r="A815" s="1" t="s">
        <v>227</v>
      </c>
    </row>
    <row r="816" spans="1:1">
      <c r="A816" s="5" t="str">
        <f>"local-dns-records@records['vcenterManagementPscIp1']="&amp;'Deploy Parameters'!F27</f>
        <v>local-dns-records@records['vcenterManagementPscIp1']=sfo01m01psc01</v>
      </c>
    </row>
    <row r="817" spans="1:1">
      <c r="A817" s="5" t="str">
        <f>"local-dns-records@records['vcenterManagementIp']="&amp;'Deploy Parameters'!F26</f>
        <v>local-dns-records@records['vcenterManagementIp']=sfo01m01vc01</v>
      </c>
    </row>
    <row r="818" spans="1:1">
      <c r="A818" s="5" t="str">
        <f>"local-dns-records@records['vcenterComputePscIp1']="&amp;'Deploy Parameters'!F30</f>
        <v>local-dns-records@records['vcenterComputePscIp1']=sfo01w01psc01</v>
      </c>
    </row>
    <row r="819" spans="1:1">
      <c r="A819" s="5" t="str">
        <f>"local-dns-records@records['vcenterComputeIp']="&amp;'Deploy Parameters'!F29</f>
        <v>local-dns-records@records['vcenterComputeIp']=sfo01w01vc01</v>
      </c>
    </row>
    <row r="820" spans="1:1">
      <c r="A820" s="5" t="str">
        <f>"local-dns-records@records['nsxManagementIp']="&amp;'Deploy Parameters'!F46</f>
        <v>local-dns-records@records['nsxManagementIp']=sfo01m01nsx01</v>
      </c>
    </row>
    <row r="821" spans="1:1">
      <c r="A821" s="5" t="str">
        <f>"local-dns-records@records['nsxComputeIp']="&amp;'Deploy Parameters'!J46</f>
        <v>local-dns-records@records['nsxComputeIp']=sfo01w01nsx01</v>
      </c>
    </row>
    <row r="822" spans="1:1">
      <c r="A822" s="5" t="str">
        <f>IF('Deploy Parameters'!J154="n/a","local-dns-records@records['vrIp']=","local-dns-records@records['vrIp']="&amp;'Deploy Parameters'!J154)</f>
        <v>local-dns-records@records['vrIp']=sfo01m01vrms01</v>
      </c>
    </row>
    <row r="823" spans="1:1">
      <c r="A823" s="5" t="str">
        <f>IF('Deploy Parameters'!F154="n/a","local-dns-records@records['srmIp']=","local-dns-records@records['srmIp']="&amp;'Deploy Parameters'!F154)</f>
        <v>local-dns-records@records['srmIp']=sfo01m01srm01</v>
      </c>
    </row>
    <row r="824" spans="1:1">
      <c r="A824" s="5" t="str">
        <f>IF('Deploy Parameters'!J8="child","root-dns-records@zoneName="&amp;'Deploy Parameters'!J7,"root-dns-records@zoneName="&amp;'Deploy Parameters'!J6)</f>
        <v>root-dns-records@zoneName=rainpole.local</v>
      </c>
    </row>
    <row r="825" spans="1:1">
      <c r="A825" s="5" t="str">
        <f>IF('Deploy Parameters'!J7="n/a","local-dns-records@zoneName="&amp;'Deploy Parameters'!J6,"local-dns-records@zoneName="&amp;'Deploy Parameters'!J7)</f>
        <v>local-dns-records@zoneName=sfo01.rainpole.local</v>
      </c>
    </row>
    <row r="827" spans="1:1">
      <c r="A827" s="1" t="s">
        <v>228</v>
      </c>
    </row>
    <row r="828" spans="1:1">
      <c r="A828" s="5" t="str">
        <f>"root-dns-records@records['vraLbIp']="&amp;'Deploy Parameters'!J116</f>
        <v>root-dns-records@records['vraLbIp']=vra01svr01</v>
      </c>
    </row>
    <row r="829" spans="1:1">
      <c r="A829" s="5" t="str">
        <f>"root-dns-records@records['vraIp1']="&amp;'Deploy Parameters'!F106</f>
        <v>root-dns-records@records['vraIp1']=vra01svr01a</v>
      </c>
    </row>
    <row r="830" spans="1:1">
      <c r="A830" s="5" t="str">
        <f>"root-dns-records@records['vraIp2']="&amp;'Deploy Parameters'!F107</f>
        <v>root-dns-records@records['vraIp2']=vra01svr01b</v>
      </c>
    </row>
    <row r="831" spans="1:1">
      <c r="A831" s="5" t="str">
        <f>"root-dns-records@records['vraIp3']="&amp;'Deploy Parameters'!F108</f>
        <v>root-dns-records@records['vraIp3']=vra01svr01c</v>
      </c>
    </row>
    <row r="832" spans="1:1">
      <c r="A832" s="5" t="str">
        <f>"root-dns-records@records['iwsLbIp']="&amp;'Deploy Parameters'!J117</f>
        <v>root-dns-records@records['iwsLbIp']=vra01iws01</v>
      </c>
    </row>
    <row r="833" spans="1:1">
      <c r="A833" s="5" t="str">
        <f>"root-dns-records@records['iwsIp1']="&amp;'Deploy Parameters'!F109</f>
        <v>root-dns-records@records['iwsIp1']=vra01iws01a</v>
      </c>
    </row>
    <row r="834" spans="1:1">
      <c r="A834" s="5" t="str">
        <f>"root-dns-records@records['iwsIp2']="&amp;'Deploy Parameters'!F110</f>
        <v>root-dns-records@records['iwsIp2']=vra01iws01b</v>
      </c>
    </row>
    <row r="835" spans="1:1">
      <c r="A835" s="5" t="str">
        <f>"root-dns-records@records['imsLbIp']="&amp;'Deploy Parameters'!J118</f>
        <v>root-dns-records@records['imsLbIp']=vra01ims01</v>
      </c>
    </row>
    <row r="836" spans="1:1">
      <c r="A836" s="5" t="str">
        <f>"root-dns-records@records['imsIp1']="&amp;'Deploy Parameters'!F111</f>
        <v>root-dns-records@records['imsIp1']=vra01ims01a</v>
      </c>
    </row>
    <row r="837" spans="1:1">
      <c r="A837" s="5" t="str">
        <f>"root-dns-records@records['imsIp2']="&amp;'Deploy Parameters'!F112</f>
        <v>root-dns-records@records['imsIp2']=vra01ims01b</v>
      </c>
    </row>
    <row r="838" spans="1:1">
      <c r="A838" s="5" t="str">
        <f>"root-dns-records@records['demIp1']="&amp;'Deploy Parameters'!F113</f>
        <v>root-dns-records@records['demIp1']=vra01dem01a</v>
      </c>
    </row>
    <row r="839" spans="1:1">
      <c r="A839" s="5" t="str">
        <f>"root-dns-records@records['demIp2']="&amp;'Deploy Parameters'!F114</f>
        <v>root-dns-records@records['demIp2']=vra01dem01b</v>
      </c>
    </row>
    <row r="840" spans="1:1">
      <c r="A840" s="5" t="str">
        <f>"local-dns-records@records['iasIp1']="&amp;'Deploy Parameters'!J106</f>
        <v>local-dns-records@records['iasIp1']=sfo01ias01a</v>
      </c>
    </row>
    <row r="841" spans="1:1">
      <c r="A841" s="5" t="str">
        <f>"local-dns-records@records['iasIp2']="&amp;'Deploy Parameters'!J107</f>
        <v>local-dns-records@records['iasIp2']=sfo01ias01b</v>
      </c>
    </row>
    <row r="842" spans="1:1">
      <c r="A842" s="11" t="str">
        <f>"root-dns-records@records['vrbServerIp']="&amp;'Deploy Parameters'!F122</f>
        <v>root-dns-records@records['vrbServerIp']=vrb01svr01</v>
      </c>
    </row>
    <row r="843" spans="1:1">
      <c r="A843" s="11" t="str">
        <f>"local-dns-records@records['vrbCollectorIp']="&amp;'Deploy Parameters'!J122</f>
        <v>local-dns-records@records['vrbCollectorIp']=sfo01vrbc01</v>
      </c>
    </row>
    <row r="845" spans="1:1">
      <c r="A845" s="1" t="s">
        <v>229</v>
      </c>
    </row>
    <row r="846" spans="1:1">
      <c r="A846" s="5" t="str">
        <f>"root-dns-records@records['vROpsLoadBalancerIp']="&amp;'Deploy Parameters'!F127</f>
        <v>root-dns-records@records['vROpsLoadBalancerIp']=vrops01svr01</v>
      </c>
    </row>
    <row r="847" spans="1:1">
      <c r="A847" s="5" t="str">
        <f>"root-dns-records@records['vropsMasterIp']="&amp;'Deploy Parameters'!F128</f>
        <v>root-dns-records@records['vropsMasterIp']=vrops01svr01a</v>
      </c>
    </row>
    <row r="848" spans="1:1">
      <c r="A848" s="5" t="str">
        <f>"root-dns-records@records['vropsReplicaIp']="&amp;'Deploy Parameters'!F129</f>
        <v>root-dns-records@records['vropsReplicaIp']=vrops01svr01b</v>
      </c>
    </row>
    <row r="849" spans="1:1">
      <c r="A849" s="5" t="str">
        <f>"root-dns-records@records['vropsDataNodeIp']="&amp;'Deploy Parameters'!F130</f>
        <v>root-dns-records@records['vropsDataNodeIp']=vrops01svr01c</v>
      </c>
    </row>
    <row r="850" spans="1:1">
      <c r="A850" s="5" t="str">
        <f>"local-dns-records@records['vropsCollectorIp1']="&amp;'Deploy Parameters'!J127</f>
        <v>local-dns-records@records['vropsCollectorIp1']=sfo01vropsc01a</v>
      </c>
    </row>
    <row r="851" spans="1:1">
      <c r="A851" s="5" t="str">
        <f>"local-dns-records@records['vropsCollectorIp2']="&amp;'Deploy Parameters'!J128</f>
        <v>local-dns-records@records['vropsCollectorIp2']=sfo01vropsc01b</v>
      </c>
    </row>
    <row r="852" spans="1:1">
      <c r="A852" s="5" t="str">
        <f>"local-dns-records@records['logInsightLoadBalancedIp']="&amp;'Deploy Parameters'!F138</f>
        <v>local-dns-records@records['logInsightLoadBalancedIp']=sfo01vrli01</v>
      </c>
    </row>
    <row r="853" spans="1:1">
      <c r="A853" s="5" t="str">
        <f>"local-dns-records@records['logInsightMasterIp']="&amp;'Deploy Parameters'!F139</f>
        <v>local-dns-records@records['logInsightMasterIp']=sfo01vrli01a</v>
      </c>
    </row>
    <row r="854" spans="1:1">
      <c r="A854" s="5" t="str">
        <f>"local-dns-records@records['logInsightWorker1Ip']="&amp;'Deploy Parameters'!F140</f>
        <v>local-dns-records@records['logInsightWorker1Ip']=sfo01vrli01b</v>
      </c>
    </row>
    <row r="855" spans="1:1">
      <c r="A855" s="5" t="str">
        <f>"local-dns-records@records['logInsightWorker2Ip']="&amp;'Deploy Parameters'!F141</f>
        <v>local-dns-records@records['logInsightWorker2Ip']=sfo01vrli01c</v>
      </c>
    </row>
    <row r="857" spans="1:1" s="17" customFormat="1">
      <c r="A857" s="3" t="s">
        <v>509</v>
      </c>
    </row>
    <row r="858" spans="1:1" s="17" customFormat="1">
      <c r="A858" s="3" t="s">
        <v>507</v>
      </c>
    </row>
    <row r="859" spans="1:1" s="17" customFormat="1">
      <c r="A859" s="3"/>
    </row>
    <row r="860" spans="1:1" s="17" customFormat="1">
      <c r="A860" s="3" t="s">
        <v>508</v>
      </c>
    </row>
    <row r="861" spans="1:1" s="17" customFormat="1">
      <c r="A861" s="14" t="str">
        <f>IF('Deploy Parameters'!F31="n/a","psc-load-balancer-edge-name@value=","psc-load-balancer-edge-name@value="&amp;'Deploy Parameters'!F31)</f>
        <v>psc-load-balancer-edge-name@value=sfo01psc01</v>
      </c>
    </row>
    <row r="862" spans="1:1" s="17" customFormat="1">
      <c r="A862" s="14" t="str">
        <f>IF('Deploy Parameters'!G31="n/a","pscLbIp.address=","pscLbIp.address="&amp;'Deploy Parameters'!G31)</f>
        <v>pscLbIp.address=172.16.11.71</v>
      </c>
    </row>
    <row r="863" spans="1:1" s="17" customFormat="1">
      <c r="A863" s="3"/>
    </row>
    <row r="864" spans="1:1" s="17" customFormat="1">
      <c r="A864" s="3" t="s">
        <v>511</v>
      </c>
    </row>
    <row r="865" spans="1:1" s="17" customFormat="1">
      <c r="A865" s="3" t="s">
        <v>512</v>
      </c>
    </row>
    <row r="866" spans="1:1" s="17" customFormat="1">
      <c r="A866" s="3"/>
    </row>
    <row r="867" spans="1:1" s="17" customFormat="1">
      <c r="A867" s="3" t="s">
        <v>513</v>
      </c>
    </row>
    <row r="868" spans="1:1" s="17" customFormat="1">
      <c r="A868" s="3" t="s">
        <v>514</v>
      </c>
    </row>
    <row r="869" spans="1:1" s="17" customFormat="1">
      <c r="A869" s="12" t="str">
        <f>IF('Deploy Parameters'!J7="n/a","local-ad-forward-records@zoneName="&amp;'Deploy Parameters'!J6,"local-ad-forward-records@zoneName="&amp;'Deploy Parameters'!J7)</f>
        <v>local-ad-forward-records@zoneName=sfo01.rainpole.local</v>
      </c>
    </row>
    <row r="870" spans="1:1" s="17" customFormat="1">
      <c r="A870" s="14" t="str">
        <f>IF('Deploy Parameters'!F31="n/a","local-ad-forward-records@forwardRecords['vcenterManagementPscIp1']=","local-ad-forward-records@forwardRecords['vcenterManagementPscIp1']="&amp;'Deploy Parameters'!F31)</f>
        <v>local-ad-forward-records@forwardRecords['vcenterManagementPscIp1']=sfo01psc01</v>
      </c>
    </row>
    <row r="871" spans="1:1" s="17" customFormat="1">
      <c r="A871" s="3"/>
    </row>
    <row r="872" spans="1:1" s="17" customFormat="1">
      <c r="A872" s="3" t="s">
        <v>515</v>
      </c>
    </row>
    <row r="873" spans="1:1" s="17" customFormat="1">
      <c r="A873" s="12" t="str">
        <f>IF('Deploy Parameters'!J7="n/a","local-ad-ptr-records@zoneName="&amp;'Deploy Parameters'!J6,"local-ad-ptr-records@zoneName="&amp;'Deploy Parameters'!J7)</f>
        <v>local-ad-ptr-records@zoneName=sfo01.rainpole.local</v>
      </c>
    </row>
    <row r="874" spans="1:1" s="17" customFormat="1">
      <c r="A874" s="14" t="str">
        <f>IF('Deploy Parameters'!F31="n/a","local-ad-ptr-records@ptrRecords['pscLbIp']=","local-ad-ptr-records@ptrRecords['pscLbIp']="&amp;'Deploy Parameters'!F31)</f>
        <v>local-ad-ptr-records@ptrRecords['pscLbIp']=sfo01psc01</v>
      </c>
    </row>
    <row r="876" spans="1:1">
      <c r="A876" s="1" t="s">
        <v>1009</v>
      </c>
    </row>
    <row r="877" spans="1:1" customFormat="1">
      <c r="A877" t="s">
        <v>242</v>
      </c>
    </row>
    <row r="878" spans="1:1">
      <c r="A878" t="s">
        <v>493</v>
      </c>
    </row>
    <row r="879" spans="1:1">
      <c r="A879" s="12" t="str">
        <f>"vcenter-compute-deployment@deploymentModel="&amp;'Run Parameters'!C24</f>
        <v>vcenter-compute-deployment@deploymentModel=large</v>
      </c>
    </row>
    <row r="880" spans="1:1">
      <c r="A880" s="12" t="str">
        <f>"vcenter-mgmt-deployment@deploymentModel="&amp;'Run Parameters'!C23</f>
        <v>vcenter-mgmt-deployment@deploymentModel=small</v>
      </c>
    </row>
    <row r="881" spans="1:1">
      <c r="A881" s="13" t="s">
        <v>1022</v>
      </c>
    </row>
    <row r="882" spans="1:1">
      <c r="A882" s="12" t="str">
        <f>"logInsight-deployment@deploymentModel="&amp;'Run Parameters'!C26</f>
        <v>logInsight-deployment@deploymentModel=medium</v>
      </c>
    </row>
    <row r="883" spans="1:1">
      <c r="A883" s="13" t="s">
        <v>494</v>
      </c>
    </row>
    <row r="884" spans="1:1">
      <c r="A884" s="12" t="str">
        <f>"vrops-deployment@deploymentModel="&amp;'Run Parameters'!C28</f>
        <v>vrops-deployment@deploymentModel=medium</v>
      </c>
    </row>
    <row r="885" spans="1:1">
      <c r="A885" s="13" t="s">
        <v>495</v>
      </c>
    </row>
    <row r="886" spans="1:1">
      <c r="A886" s="12" t="str">
        <f>"vrops-remote-collector-deployment@deploymentModel="&amp;'Run Parameters'!C29</f>
        <v>vrops-remote-collector-deployment@deploymentModel=smallrc</v>
      </c>
    </row>
    <row r="888" spans="1:1">
      <c r="A888" s="1" t="s">
        <v>500</v>
      </c>
    </row>
    <row r="889" spans="1:1">
      <c r="A889" s="14" t="str">
        <f>"esg-01-mgmt-edge-device-creation@applianceSize="&amp;'Run Parameters'!F24</f>
        <v>esg-01-mgmt-edge-device-creation@applianceSize=large</v>
      </c>
    </row>
    <row r="890" spans="1:1">
      <c r="A890" s="14" t="str">
        <f>"esg-02-mgmt-edge-device-creation@applianceSize="&amp;'Run Parameters'!F25</f>
        <v>esg-02-mgmt-edge-device-creation@applianceSize=large</v>
      </c>
    </row>
    <row r="891" spans="1:1">
      <c r="A891" s="14" t="str">
        <f>"mgmt-udlr-configuration@applianceSize="&amp;'Run Parameters'!F26</f>
        <v>mgmt-udlr-configuration@applianceSize=large</v>
      </c>
    </row>
    <row r="892" spans="1:1">
      <c r="A892" s="14" t="str">
        <f>"mgmt-load-balancer-creation@applianceSize="&amp;'Run Parameters'!F27</f>
        <v>mgmt-load-balancer-creation@applianceSize=large</v>
      </c>
    </row>
    <row r="894" spans="1:1">
      <c r="A894" s="1" t="s">
        <v>499</v>
      </c>
    </row>
    <row r="895" spans="1:1">
      <c r="A895" s="14" t="str">
        <f>"esg-01-compute-edge-device-creation@applianceSize="&amp;'Run Parameters'!F30</f>
        <v>esg-01-compute-edge-device-creation@applianceSize=large</v>
      </c>
    </row>
    <row r="896" spans="1:1">
      <c r="A896" s="14" t="str">
        <f>"esg-02-compute-edge-device-creation@applianceSize="&amp;'Run Parameters'!F31</f>
        <v>esg-02-compute-edge-device-creation@applianceSize=large</v>
      </c>
    </row>
    <row r="897" spans="1:1">
      <c r="A897" s="14" t="str">
        <f>"compute-edge-udlr-configuration@applianceSize="&amp;'Run Parameters'!F32</f>
        <v>compute-edge-udlr-configuration@applianceSize=large</v>
      </c>
    </row>
    <row r="898" spans="1:1">
      <c r="A898" s="3"/>
    </row>
    <row r="899" spans="1:1">
      <c r="A899" s="1" t="s">
        <v>864</v>
      </c>
    </row>
    <row r="900" spans="1:1">
      <c r="A900" s="14" t="str">
        <f>IF('Run Parameters'!F11="No","skip-bgp-validation@value=false","skip-bgp-validation@value=true")</f>
        <v>skip-bgp-validation@value=false</v>
      </c>
    </row>
    <row r="901" spans="1:1">
      <c r="A901" s="3"/>
    </row>
    <row r="902" spans="1:1">
      <c r="A902" s="1" t="s">
        <v>1166</v>
      </c>
    </row>
    <row r="903" spans="1:1">
      <c r="A903" s="14" t="str">
        <f>IF('Run Parameters'!F14="No","excludedComponent.VsphereHostProfiles=false","excludedComponent.VsphereHostProfiles=true")</f>
        <v>excludedComponent.VsphereHostProfiles=false</v>
      </c>
    </row>
    <row r="904" spans="1:1">
      <c r="A904" s="23"/>
    </row>
    <row r="905" spans="1:1">
      <c r="A905" s="1" t="s">
        <v>962</v>
      </c>
    </row>
    <row r="906" spans="1:1">
      <c r="A906" s="12" t="str">
        <f>IF('Run Parameters'!F12="No","skip-esx-joinDomain-mgmt=false","skip-esx-joinDomain-mgmt=true")</f>
        <v>skip-esx-joinDomain-mgmt=false</v>
      </c>
    </row>
    <row r="907" spans="1:1">
      <c r="A907" s="12" t="str">
        <f>IF('Run Parameters'!F13="No","skip-esx-joinDomain-comp=false","skip-esx-joinDomain-comp=true")</f>
        <v>skip-esx-joinDomain-comp=false</v>
      </c>
    </row>
    <row r="908" spans="1:1">
      <c r="A908" s="3"/>
    </row>
    <row r="909" spans="1:1">
      <c r="A909" s="1" t="s">
        <v>967</v>
      </c>
    </row>
    <row r="910" spans="1:1">
      <c r="A910" s="14" t="str">
        <f>IF('Run Parameters'!C9="No","excludedComponent.VRSLCM=true","excludedComponent.VRSLCM=false")</f>
        <v>excludedComponent.VRSLCM=false</v>
      </c>
    </row>
    <row r="911" spans="1:1">
      <c r="A911" s="14" t="str">
        <f>IF('Run Parameters'!C10="No","excludedComponent.VROPS=true","excludedComponent.VROPS=false")</f>
        <v>excludedComponent.VROPS=false</v>
      </c>
    </row>
    <row r="912" spans="1:1">
      <c r="A912" s="14" t="str">
        <f>IF('Run Parameters'!C11="No","excludedComponent.LogInsight=true","excludedComponent.LogInsight=false")</f>
        <v>excludedComponent.LogInsight=false</v>
      </c>
    </row>
    <row r="913" spans="1:1">
      <c r="A913" s="14" t="str">
        <f>IF('Run Parameters'!C14="No","excludedComponent.VRA=true","excludedComponent.VRA=false")</f>
        <v>excludedComponent.VRA=false</v>
      </c>
    </row>
    <row r="914" spans="1:1">
      <c r="A914" s="14" t="str">
        <f>IF('Run Parameters'!C15="No","excludedComponent.VRB=true","excludedComponent.VRB=false")</f>
        <v>excludedComponent.VRB=false</v>
      </c>
    </row>
    <row r="915" spans="1:1">
      <c r="A915" s="14" t="str">
        <f>IF('Run Parameters'!C17="No","excludedComponent.DRDeployment=true","excludedComponent.DRDeployment=false")</f>
        <v>excludedComponent.DRDeployment=false</v>
      </c>
    </row>
    <row r="916" spans="1:1">
      <c r="A916" s="14" t="str">
        <f>IF('Run Parameters'!C12="No","excludedComponent.UMDS=true","excludedComponent.UMDS=false")</f>
        <v>excludedComponent.UMDS=false</v>
      </c>
    </row>
    <row r="917" spans="1:1">
      <c r="A917" s="23"/>
    </row>
    <row r="918" spans="1:1">
      <c r="A918" s="1" t="s">
        <v>1120</v>
      </c>
    </row>
    <row r="919" spans="1:1">
      <c r="A919" s="14" t="str">
        <f>IF('Run Parameters'!F16="No","excludedComponent.VRATenantContent=true","excludedComponent.VRATenantContent=false")</f>
        <v>excludedComponent.VRATenantContent=true</v>
      </c>
    </row>
    <row r="920" spans="1:1">
      <c r="A920" s="14" t="str">
        <f>IF('Run Parameters'!F17="Yes","enable-vro-multiTenancy=true","enable-vro-multiTenancy=false")</f>
        <v>enable-vro-multiTenancy=false</v>
      </c>
    </row>
    <row r="921" spans="1:1" s="6" customFormat="1">
      <c r="A921" s="23"/>
    </row>
    <row r="922" spans="1:1">
      <c r="A922" s="1" t="s">
        <v>961</v>
      </c>
    </row>
    <row r="923" spans="1:1">
      <c r="A923" s="14" t="str">
        <f>IF('Run Parameters'!F8="No","excludedComponent.VSAN-mgmt=false","excludedComponent.VSAN-mgmt=true")</f>
        <v>excludedComponent.VSAN-mgmt=false</v>
      </c>
    </row>
    <row r="924" spans="1:1">
      <c r="A924" s="14" t="str">
        <f>IF('Run Parameters'!F9="No","excludedComponent.VSAN-compute=false","excludedComponent.VSAN-compute=true")</f>
        <v>excludedComponent.VSAN-compute=false</v>
      </c>
    </row>
    <row r="925" spans="1:1">
      <c r="A925" s="3"/>
    </row>
    <row r="926" spans="1:1">
      <c r="A926" s="1" t="s">
        <v>230</v>
      </c>
    </row>
  </sheetData>
  <sheetProtection sheet="1" objects="1" scenarios="1"/>
  <conditionalFormatting sqref="A197:A220 A223:A298 A1:A3 A878:A898 A922 A925:A1048576 A908:A909 A776:XFD780 A303:A484 A487:A562 A781:A876 A567:A775 A5:A195">
    <cfRule type="beginsWith" dxfId="15" priority="15" operator="beginsWith" text="#">
      <formula>LEFT(A1,LEN("#"))="#"</formula>
    </cfRule>
  </conditionalFormatting>
  <conditionalFormatting sqref="A299:A302">
    <cfRule type="beginsWith" dxfId="14" priority="14" operator="beginsWith" text="#">
      <formula>LEFT(A299,LEN("#"))="#"</formula>
    </cfRule>
  </conditionalFormatting>
  <conditionalFormatting sqref="A196">
    <cfRule type="beginsWith" dxfId="13" priority="13" operator="beginsWith" text="#">
      <formula>LEFT(A196,LEN("#"))="#"</formula>
    </cfRule>
  </conditionalFormatting>
  <conditionalFormatting sqref="A877">
    <cfRule type="beginsWith" dxfId="12" priority="12" operator="beginsWith" text="#">
      <formula>LEFT(A877,LEN("#"))="#"</formula>
    </cfRule>
  </conditionalFormatting>
  <conditionalFormatting sqref="A563:A566">
    <cfRule type="beginsWith" dxfId="11" priority="11" operator="beginsWith" text="#">
      <formula>LEFT(A563,LEN("#"))="#"</formula>
    </cfRule>
  </conditionalFormatting>
  <conditionalFormatting sqref="A565:A566">
    <cfRule type="beginsWith" dxfId="10" priority="10" operator="beginsWith" text="#">
      <formula>LEFT(A565,LEN("#"))="#"</formula>
    </cfRule>
  </conditionalFormatting>
  <conditionalFormatting sqref="A4">
    <cfRule type="beginsWith" dxfId="9" priority="9" operator="beginsWith" text="#">
      <formula>LEFT(A4,LEN("#"))="#"</formula>
    </cfRule>
  </conditionalFormatting>
  <conditionalFormatting sqref="A919:A921">
    <cfRule type="beginsWith" dxfId="8" priority="8" operator="beginsWith" text="#">
      <formula>LEFT(A919,LEN("#"))="#"</formula>
    </cfRule>
  </conditionalFormatting>
  <conditionalFormatting sqref="A923:A924">
    <cfRule type="beginsWith" dxfId="7" priority="7" operator="beginsWith" text="#">
      <formula>LEFT(A923,LEN("#"))="#"</formula>
    </cfRule>
  </conditionalFormatting>
  <conditionalFormatting sqref="A910:A917">
    <cfRule type="beginsWith" dxfId="6" priority="6" operator="beginsWith" text="#">
      <formula>LEFT(A910,LEN("#"))="#"</formula>
    </cfRule>
  </conditionalFormatting>
  <conditionalFormatting sqref="A899:A901 A905:A907">
    <cfRule type="beginsWith" dxfId="5" priority="5" operator="beginsWith" text="#">
      <formula>LEFT(A899,LEN("#"))="#"</formula>
    </cfRule>
  </conditionalFormatting>
  <conditionalFormatting sqref="A918">
    <cfRule type="beginsWith" dxfId="4" priority="4" operator="beginsWith" text="#">
      <formula>LEFT(A918,LEN("#"))="#"</formula>
    </cfRule>
  </conditionalFormatting>
  <conditionalFormatting sqref="A902:A904">
    <cfRule type="beginsWith" dxfId="3" priority="2" operator="beginsWith" text="#">
      <formula>LEFT(A902,LEN("#"))="#"</formula>
    </cfRule>
  </conditionalFormatting>
  <conditionalFormatting sqref="A485:A486">
    <cfRule type="beginsWith" dxfId="2" priority="1" operator="beginsWith" text="#">
      <formula>LEFT(A485,LEN("#"))="#"</formula>
    </cfRule>
  </conditionalFormatting>
  <hyperlinks>
    <hyperlink ref="A638" r:id="rId1" xr:uid="{00000000-0004-0000-0800-000017000000}"/>
    <hyperlink ref="A639" r:id="rId2" display="vra-tenant-configuration@outboundProvider.port=25" xr:uid="{00000000-0004-0000-0800-000018000000}"/>
    <hyperlink ref="A634" r:id="rId3" display="vra-tenant-configuration@inboundProvider.acceptSelfSignedCertificates=false" xr:uid="{00000000-0004-0000-0800-000019000000}"/>
    <hyperlink ref="A632" r:id="rId4" display="vra-tenant-configuration@inboundProvider.protocol=IMAP" xr:uid="{00000000-0004-0000-0800-00001A000000}"/>
    <hyperlink ref="A628" r:id="rId5" display="vra-tenant-configuration@inboundProvider.port=143" xr:uid="{00000000-0004-0000-0800-00001B000000}"/>
    <hyperlink ref="A439" r:id="rId6" display="mgmt-load-balancer-creation@vPodName=SFOMGMT-LB01" xr:uid="{00000000-0004-0000-0800-00001F000000}"/>
    <hyperlink ref="A442" r:id="rId7" display="mgmt-udlr-configuration@name=UDLR01" xr:uid="{00000000-0004-0000-0800-000022000000}"/>
    <hyperlink ref="A650" r:id="rId8" display="vra-tenant-configuration@branding.contactLink=https://www.rainpole.local/contact" xr:uid="{00000000-0004-0000-0800-000023000000}"/>
    <hyperlink ref="A649" r:id="rId9" display="vra-tenant-configuration@branding.disclaimer=https://www.rainpole.local" xr:uid="{00000000-0004-0000-0800-000024000000}"/>
    <hyperlink ref="A648" r:id="rId10" display="vra-tenant-configuration@branding.copyright=Copyright Rainpole. All Rights Reserved" xr:uid="{00000000-0004-0000-0800-000025000000}"/>
    <hyperlink ref="A647" r:id="rId11" display="vra-tenant-configuration@branding.textColor=FFFFFF" xr:uid="{00000000-0004-0000-0800-000026000000}"/>
    <hyperlink ref="A646" r:id="rId12" display="vra-tenant-configuration@branding.backgroundColor=3989C7" xr:uid="{00000000-0004-0000-0800-000027000000}"/>
    <hyperlink ref="A630" r:id="rId13" display="inbound-email-server-credentials@username=administrator@rainpole.local" xr:uid="{00000000-0004-0000-0800-000028000000}"/>
    <hyperlink ref="A457" r:id="rId14" display="esg-02-compute-edge-device-creation@vPodName=LONEDGE-ESG02" xr:uid="{00000000-0004-0000-0800-000029000000}"/>
    <hyperlink ref="A454" r:id="rId15" display="esg-01-compute-edge-device-creation@vPodName=LONEDGE-ESG01" xr:uid="{00000000-0004-0000-0800-00002A000000}"/>
    <hyperlink ref="A434" r:id="rId16" display="esg-02-mgmt-edge-device-creation@vPodName=LONMGMT-ESG02" xr:uid="{00000000-0004-0000-0800-00002B000000}"/>
    <hyperlink ref="A431" r:id="rId17" display="esg-01-mgmt-edge-device-creation@vPodName=LONMGMT-ESG01" xr:uid="{00000000-0004-0000-0800-00002C000000}"/>
    <hyperlink ref="A843" r:id="rId18" display="root-dns-records@records['vrbCollectorIp']=vra01buc01" xr:uid="{00000000-0004-0000-0800-00002D000000}"/>
    <hyperlink ref="A842" r:id="rId19" display="root-dns-records@records['vrbServerIp']=vra01bus01" xr:uid="{00000000-0004-0000-0800-00002E000000}"/>
    <hyperlink ref="A762" r:id="rId20" display="logInsight-ad-and-smtp-configuration@useSslForAdIntegration=true" xr:uid="{00000000-0004-0000-0800-00002F000000}"/>
    <hyperlink ref="A91" r:id="rId21" display="edge-vsan-datastore-name@value=" xr:uid="{00000000-0004-0000-0800-000030000000}"/>
    <hyperlink ref="A90" r:id="rId22" display="management-vsan-datastore-name@value=" xr:uid="{00000000-0004-0000-0800-000031000000}"/>
    <hyperlink ref="A264" r:id="rId23" display="vds-management-initial-configuration@dvPortGroups[7].name=vDS-Mgmt-VR" xr:uid="{00000000-0004-0000-0800-000032000000}"/>
    <hyperlink ref="A79" r:id="rId24" display="physical-nic-dedicated-to-dvs@value=vmnic1" xr:uid="{00000000-0004-0000-0800-000033000000}"/>
    <hyperlink ref="A257" r:id="rId25" display="vds-management-initial-configuration@dvSwitchName&quot;" xr:uid="{00000000-0004-0000-0800-000035000000}"/>
    <hyperlink ref="A47" r:id="rId26" display="sso-site-name@value=" xr:uid="{00000000-0004-0000-0800-000036000000}"/>
    <hyperlink ref="A578" r:id="rId27" display="itac-tenantadmin-credentials@username=ITAC-TenantAdmin@rainpole.local" xr:uid="{00000000-0004-0000-0800-000037000000}"/>
    <hyperlink ref="A394" r:id="rId28" display="nsx-mgmt-multicast-address-range@rangeStartIp=239.1.0.0" xr:uid="{00000000-0004-0000-0800-00003A000000}"/>
    <hyperlink ref="A395" r:id="rId29" display="nsx-mgmt-multicast-address-range@rangeEndIp=239.1.255.255" xr:uid="{00000000-0004-0000-0800-00003B000000}"/>
    <hyperlink ref="A396" r:id="rId30" display="nsx-mgmt-universal-multicast-address-range@rangeStartIp=239.2.0.0" xr:uid="{00000000-0004-0000-0800-00003C000000}"/>
    <hyperlink ref="A397" r:id="rId31" display="nsx-mgmt-universal-multicast-address-range@rangeEndIp=239.2.255.255" xr:uid="{00000000-0004-0000-0800-00003D000000}"/>
    <hyperlink ref="A406" r:id="rId32" display="nsx-compute-multicast-address-range@rangeStartIp=239.3.0.0" xr:uid="{00000000-0004-0000-0800-00003E000000}"/>
    <hyperlink ref="A407" r:id="rId33" display="nsx-compute-multicast-address-range@rangeEndIp=239.3.255.255" xr:uid="{00000000-0004-0000-0800-00003F000000}"/>
    <hyperlink ref="A408" r:id="rId34" display="nsx-compute-universal-multicast-address-range@rangeStartIp=239.4.0.0" xr:uid="{00000000-0004-0000-0800-000040000000}"/>
    <hyperlink ref="A409" r:id="rId35" display="nsx-compute-universal-multicast-address-range@rangeEndIp=239.4.255.255" xr:uid="{00000000-0004-0000-0800-000041000000}"/>
  </hyperlinks>
  <pageMargins left="0.7" right="0.7" top="0.75" bottom="0.75" header="0.3" footer="0.3"/>
  <pageSetup paperSize="9" orientation="portrait" horizontalDpi="75" verticalDpi="75" r:id="rId3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47"/>
  <sheetViews>
    <sheetView zoomScale="115" workbookViewId="0">
      <pane ySplit="1" topLeftCell="A40" activePane="bottomLeft" state="frozen"/>
      <selection pane="bottomLeft" activeCell="A47" sqref="A47"/>
    </sheetView>
  </sheetViews>
  <sheetFormatPr baseColWidth="10" defaultColWidth="11.5" defaultRowHeight="15"/>
  <cols>
    <col min="1" max="1" width="10.83203125" style="31"/>
    <col min="2" max="2" width="139.1640625" style="30" customWidth="1"/>
    <col min="23" max="23" width="131.1640625" customWidth="1"/>
  </cols>
  <sheetData>
    <row r="1" spans="1:2" ht="16">
      <c r="A1" s="31" t="s">
        <v>944</v>
      </c>
      <c r="B1" s="30" t="s">
        <v>9</v>
      </c>
    </row>
    <row r="2" spans="1:2" ht="16">
      <c r="A2" s="31">
        <v>43158</v>
      </c>
      <c r="B2" s="30" t="s">
        <v>945</v>
      </c>
    </row>
    <row r="3" spans="1:2" ht="272">
      <c r="A3" s="31">
        <v>43159</v>
      </c>
      <c r="B3" s="30" t="s">
        <v>949</v>
      </c>
    </row>
    <row r="4" spans="1:2" ht="335">
      <c r="A4" s="31">
        <v>43160</v>
      </c>
      <c r="B4" s="30" t="s">
        <v>950</v>
      </c>
    </row>
    <row r="5" spans="1:2" ht="16">
      <c r="A5" s="31">
        <v>43161</v>
      </c>
      <c r="B5" s="30" t="s">
        <v>951</v>
      </c>
    </row>
    <row r="6" spans="1:2" ht="32">
      <c r="A6" s="31">
        <v>43171</v>
      </c>
      <c r="B6" s="30" t="s">
        <v>955</v>
      </c>
    </row>
    <row r="7" spans="1:2" ht="409.6">
      <c r="A7" s="31">
        <v>43172</v>
      </c>
      <c r="B7" s="30" t="s">
        <v>957</v>
      </c>
    </row>
    <row r="8" spans="1:2" ht="144">
      <c r="A8" s="31">
        <v>43173</v>
      </c>
      <c r="B8" s="30" t="s">
        <v>971</v>
      </c>
    </row>
    <row r="9" spans="1:2" ht="48">
      <c r="A9" s="31">
        <v>43174</v>
      </c>
      <c r="B9" s="30" t="s">
        <v>963</v>
      </c>
    </row>
    <row r="10" spans="1:2" ht="128">
      <c r="A10" s="31">
        <v>43179</v>
      </c>
      <c r="B10" s="30" t="s">
        <v>969</v>
      </c>
    </row>
    <row r="11" spans="1:2" ht="48">
      <c r="A11" s="31">
        <v>43181</v>
      </c>
      <c r="B11" s="30" t="s">
        <v>970</v>
      </c>
    </row>
    <row r="12" spans="1:2" ht="16">
      <c r="A12" s="34">
        <v>43186</v>
      </c>
      <c r="B12" s="30" t="s">
        <v>972</v>
      </c>
    </row>
    <row r="13" spans="1:2" ht="48">
      <c r="A13" s="34">
        <v>43188</v>
      </c>
      <c r="B13" s="30" t="s">
        <v>974</v>
      </c>
    </row>
    <row r="14" spans="1:2" ht="64">
      <c r="A14" s="34">
        <v>43193</v>
      </c>
      <c r="B14" s="30" t="s">
        <v>976</v>
      </c>
    </row>
    <row r="15" spans="1:2" ht="32">
      <c r="A15" s="34">
        <v>43195</v>
      </c>
      <c r="B15" s="30" t="s">
        <v>978</v>
      </c>
    </row>
    <row r="16" spans="1:2" ht="304">
      <c r="A16" s="34">
        <v>43199</v>
      </c>
      <c r="B16" s="30" t="s">
        <v>1008</v>
      </c>
    </row>
    <row r="17" spans="1:2" ht="288">
      <c r="A17" s="34">
        <v>43200</v>
      </c>
      <c r="B17" s="30" t="s">
        <v>1011</v>
      </c>
    </row>
    <row r="18" spans="1:2" ht="80">
      <c r="A18" s="31">
        <v>43203</v>
      </c>
      <c r="B18" s="30" t="s">
        <v>1016</v>
      </c>
    </row>
    <row r="19" spans="1:2" ht="32">
      <c r="A19" s="31">
        <v>43207</v>
      </c>
      <c r="B19" s="30" t="s">
        <v>1019</v>
      </c>
    </row>
    <row r="20" spans="1:2" ht="64">
      <c r="A20" s="35">
        <v>43229</v>
      </c>
      <c r="B20" s="30" t="s">
        <v>1021</v>
      </c>
    </row>
    <row r="21" spans="1:2" ht="32">
      <c r="A21" s="35">
        <v>43235</v>
      </c>
      <c r="B21" s="30" t="s">
        <v>1039</v>
      </c>
    </row>
    <row r="22" spans="1:2" ht="16">
      <c r="A22" s="35">
        <v>43257</v>
      </c>
      <c r="B22" s="30" t="s">
        <v>1055</v>
      </c>
    </row>
    <row r="23" spans="1:2" ht="64">
      <c r="A23" s="35">
        <v>43264</v>
      </c>
      <c r="B23" s="30" t="s">
        <v>1061</v>
      </c>
    </row>
    <row r="24" spans="1:2" ht="48">
      <c r="A24" s="35">
        <v>43272</v>
      </c>
      <c r="B24" s="30" t="s">
        <v>1065</v>
      </c>
    </row>
    <row r="25" spans="1:2" ht="32">
      <c r="A25" s="175">
        <v>43290</v>
      </c>
      <c r="B25" s="30" t="s">
        <v>1069</v>
      </c>
    </row>
    <row r="26" spans="1:2" ht="96">
      <c r="A26" s="175">
        <v>43293</v>
      </c>
      <c r="B26" s="30" t="s">
        <v>1075</v>
      </c>
    </row>
    <row r="27" spans="1:2" ht="48">
      <c r="A27" s="175">
        <v>43301</v>
      </c>
      <c r="B27" s="30" t="s">
        <v>1077</v>
      </c>
    </row>
    <row r="28" spans="1:2" ht="48">
      <c r="A28" s="176">
        <v>43312</v>
      </c>
      <c r="B28" s="30" t="s">
        <v>1080</v>
      </c>
    </row>
    <row r="29" spans="1:2" ht="32">
      <c r="A29" s="176">
        <v>43343</v>
      </c>
      <c r="B29" s="30" t="s">
        <v>1081</v>
      </c>
    </row>
    <row r="30" spans="1:2" ht="16">
      <c r="A30" s="177">
        <v>43348</v>
      </c>
      <c r="B30" s="30" t="s">
        <v>1083</v>
      </c>
    </row>
    <row r="31" spans="1:2" ht="32">
      <c r="A31" s="178">
        <v>43367</v>
      </c>
      <c r="B31" s="30" t="s">
        <v>1093</v>
      </c>
    </row>
    <row r="32" spans="1:2" ht="48">
      <c r="A32" s="179">
        <v>43406</v>
      </c>
      <c r="B32" s="30" t="s">
        <v>1108</v>
      </c>
    </row>
    <row r="33" spans="1:2" ht="16">
      <c r="A33" s="179">
        <v>43409</v>
      </c>
      <c r="B33" s="30" t="s">
        <v>1121</v>
      </c>
    </row>
    <row r="34" spans="1:2" ht="16">
      <c r="A34" s="179">
        <v>43413</v>
      </c>
      <c r="B34" s="30" t="s">
        <v>1123</v>
      </c>
    </row>
    <row r="35" spans="1:2" ht="64">
      <c r="A35" s="187">
        <v>43420</v>
      </c>
      <c r="B35" s="30" t="s">
        <v>1130</v>
      </c>
    </row>
    <row r="36" spans="1:2" ht="80">
      <c r="A36" s="187">
        <v>43423</v>
      </c>
      <c r="B36" s="30" t="s">
        <v>1232</v>
      </c>
    </row>
    <row r="37" spans="1:2" ht="48">
      <c r="A37" s="187">
        <v>43432</v>
      </c>
      <c r="B37" s="30" t="s">
        <v>1234</v>
      </c>
    </row>
    <row r="38" spans="1:2" ht="16">
      <c r="A38" s="187">
        <v>43434</v>
      </c>
      <c r="B38" s="30" t="s">
        <v>1235</v>
      </c>
    </row>
    <row r="39" spans="1:2" ht="32">
      <c r="A39" s="187">
        <v>43437</v>
      </c>
      <c r="B39" s="30" t="s">
        <v>1239</v>
      </c>
    </row>
    <row r="40" spans="1:2" ht="64">
      <c r="A40" s="187">
        <v>43444</v>
      </c>
      <c r="B40" s="30" t="s">
        <v>1240</v>
      </c>
    </row>
    <row r="41" spans="1:2" ht="64">
      <c r="A41" s="187">
        <v>43445</v>
      </c>
      <c r="B41" s="30" t="s">
        <v>1244</v>
      </c>
    </row>
    <row r="42" spans="1:2" ht="48">
      <c r="A42" s="187">
        <v>43446</v>
      </c>
      <c r="B42" s="30" t="s">
        <v>1245</v>
      </c>
    </row>
    <row r="43" spans="1:2" ht="16">
      <c r="A43" s="187">
        <v>43448</v>
      </c>
      <c r="B43" s="30" t="s">
        <v>1252</v>
      </c>
    </row>
    <row r="44" spans="1:2" ht="16">
      <c r="A44" s="187">
        <v>43467</v>
      </c>
      <c r="B44" s="30" t="s">
        <v>1255</v>
      </c>
    </row>
    <row r="45" spans="1:2" ht="16">
      <c r="A45" s="187">
        <v>43468</v>
      </c>
      <c r="B45" s="30" t="s">
        <v>1256</v>
      </c>
    </row>
    <row r="46" spans="1:2" ht="16">
      <c r="A46" s="331">
        <v>43473</v>
      </c>
      <c r="B46" s="30" t="s">
        <v>1258</v>
      </c>
    </row>
    <row r="47" spans="1:2" ht="9" customHeight="1">
      <c r="A47" s="32"/>
      <c r="B47" s="33"/>
    </row>
  </sheetData>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AO317"/>
  <sheetViews>
    <sheetView showZeros="0" zoomScaleNormal="100" zoomScaleSheetLayoutView="50" zoomScalePageLayoutView="118" workbookViewId="0">
      <pane ySplit="5" topLeftCell="A6" activePane="bottomLeft" state="frozen"/>
      <selection pane="bottomLeft" activeCell="M69" sqref="M69"/>
    </sheetView>
  </sheetViews>
  <sheetFormatPr baseColWidth="10" defaultColWidth="8.83203125" defaultRowHeight="13"/>
  <cols>
    <col min="1" max="1" width="1" style="56" customWidth="1"/>
    <col min="2" max="2" width="24.33203125" style="54" customWidth="1"/>
    <col min="3" max="3" width="42.83203125" style="54" customWidth="1"/>
    <col min="4" max="4" width="21.83203125" style="54" customWidth="1"/>
    <col min="5" max="6" width="6.33203125" style="54" customWidth="1"/>
    <col min="7" max="7" width="9.33203125" style="54" customWidth="1"/>
    <col min="8" max="8" width="6.83203125" style="54" customWidth="1"/>
    <col min="9" max="9" width="10.83203125" style="54" customWidth="1"/>
    <col min="10" max="10" width="9" style="54" customWidth="1"/>
    <col min="11" max="11" width="10.1640625" style="54" customWidth="1"/>
    <col min="12" max="12" width="18.1640625" style="55" bestFit="1" customWidth="1"/>
    <col min="13" max="13" width="37.1640625" style="55" bestFit="1" customWidth="1"/>
    <col min="14" max="41" width="8.83203125" style="56"/>
    <col min="42" max="16384" width="8.83203125" style="54"/>
  </cols>
  <sheetData>
    <row r="1" spans="1:41" ht="48" customHeight="1"/>
    <row r="2" spans="1:41" s="56" customFormat="1" ht="2" customHeight="1" thickBot="1">
      <c r="L2" s="61"/>
      <c r="M2" s="61"/>
    </row>
    <row r="3" spans="1:41" s="326" customFormat="1" ht="32" customHeight="1" thickBot="1">
      <c r="B3" s="332" t="s">
        <v>1257</v>
      </c>
      <c r="C3" s="333"/>
      <c r="D3" s="333"/>
      <c r="E3" s="333"/>
      <c r="F3" s="333"/>
      <c r="G3" s="333"/>
      <c r="H3" s="333"/>
      <c r="I3" s="333"/>
      <c r="J3" s="333"/>
      <c r="K3" s="333"/>
      <c r="L3" s="333"/>
      <c r="M3" s="334"/>
    </row>
    <row r="4" spans="1:41" s="326" customFormat="1" ht="2" customHeight="1">
      <c r="C4" s="327"/>
      <c r="D4" s="328"/>
      <c r="E4" s="328"/>
      <c r="F4" s="328"/>
      <c r="G4" s="328"/>
      <c r="H4" s="329"/>
      <c r="I4" s="330"/>
      <c r="J4" s="330"/>
    </row>
    <row r="5" spans="1:41" s="59" customFormat="1" ht="34.5" customHeight="1">
      <c r="A5" s="58"/>
      <c r="B5" s="57" t="s">
        <v>44</v>
      </c>
      <c r="C5" s="57" t="s">
        <v>45</v>
      </c>
      <c r="D5" s="57" t="s">
        <v>46</v>
      </c>
      <c r="E5" s="57" t="s">
        <v>47</v>
      </c>
      <c r="F5" s="57" t="s">
        <v>48</v>
      </c>
      <c r="G5" s="57" t="s">
        <v>288</v>
      </c>
      <c r="H5" s="57" t="s">
        <v>50</v>
      </c>
      <c r="I5" s="57" t="s">
        <v>51</v>
      </c>
      <c r="J5" s="57" t="s">
        <v>79</v>
      </c>
      <c r="K5" s="57" t="s">
        <v>869</v>
      </c>
      <c r="L5" s="57" t="s">
        <v>52</v>
      </c>
      <c r="M5" s="57" t="s">
        <v>80</v>
      </c>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row>
    <row r="6" spans="1:41" s="103" customFormat="1" ht="16" customHeight="1">
      <c r="A6" s="102"/>
      <c r="B6" s="346" t="s">
        <v>1117</v>
      </c>
      <c r="C6" s="347"/>
      <c r="D6" s="60"/>
      <c r="E6" s="60"/>
      <c r="F6" s="60"/>
      <c r="G6" s="60"/>
      <c r="H6" s="60"/>
      <c r="I6" s="60"/>
      <c r="J6" s="60"/>
      <c r="K6" s="60"/>
      <c r="L6" s="60"/>
      <c r="M6" s="60"/>
      <c r="N6" s="102"/>
      <c r="O6" s="102"/>
      <c r="P6" s="102"/>
      <c r="Q6" s="102"/>
      <c r="R6" s="102"/>
      <c r="S6" s="102"/>
      <c r="T6" s="102"/>
      <c r="U6" s="102"/>
      <c r="V6" s="102"/>
      <c r="W6" s="102"/>
      <c r="X6" s="102"/>
      <c r="Y6" s="102"/>
      <c r="Z6" s="102"/>
      <c r="AA6" s="102"/>
      <c r="AB6" s="102"/>
      <c r="AC6" s="102"/>
      <c r="AD6" s="102"/>
      <c r="AE6" s="102"/>
      <c r="AF6" s="102"/>
      <c r="AG6" s="102"/>
      <c r="AH6" s="102"/>
      <c r="AI6" s="102"/>
      <c r="AJ6" s="102"/>
      <c r="AK6" s="102"/>
      <c r="AL6" s="102"/>
      <c r="AM6" s="102"/>
      <c r="AN6" s="102"/>
      <c r="AO6" s="102"/>
    </row>
    <row r="7" spans="1:41" s="184" customFormat="1" ht="16" customHeight="1">
      <c r="A7" s="325"/>
      <c r="B7" s="151" t="s">
        <v>865</v>
      </c>
      <c r="C7" s="104"/>
      <c r="D7" s="104"/>
      <c r="E7" s="104"/>
      <c r="F7" s="104"/>
      <c r="G7" s="104"/>
      <c r="H7" s="104"/>
      <c r="I7" s="104"/>
      <c r="J7" s="105"/>
      <c r="K7" s="105"/>
      <c r="L7" s="106"/>
      <c r="M7" s="106"/>
      <c r="N7" s="181"/>
      <c r="O7" s="181"/>
      <c r="P7" s="181"/>
      <c r="Q7" s="181"/>
      <c r="R7" s="181"/>
      <c r="S7" s="181"/>
      <c r="T7" s="181"/>
      <c r="U7" s="181"/>
      <c r="V7" s="181"/>
      <c r="W7" s="181"/>
      <c r="X7" s="181"/>
      <c r="Y7" s="181"/>
      <c r="Z7" s="181"/>
      <c r="AA7" s="181"/>
      <c r="AB7" s="181"/>
      <c r="AC7" s="181"/>
      <c r="AD7" s="181"/>
      <c r="AE7" s="181"/>
      <c r="AF7" s="181"/>
      <c r="AG7" s="181"/>
      <c r="AH7" s="181"/>
      <c r="AI7" s="181"/>
      <c r="AJ7" s="181"/>
      <c r="AK7" s="181"/>
      <c r="AL7" s="181"/>
      <c r="AM7" s="181"/>
      <c r="AN7" s="181"/>
      <c r="AO7" s="181"/>
    </row>
    <row r="8" spans="1:41" s="184" customFormat="1" ht="16" customHeight="1">
      <c r="A8" s="325"/>
      <c r="B8" s="107"/>
      <c r="C8" s="108"/>
      <c r="D8" s="108"/>
      <c r="E8" s="108"/>
      <c r="F8" s="108"/>
      <c r="G8" s="108"/>
      <c r="H8" s="108"/>
      <c r="I8" s="108"/>
      <c r="J8" s="109"/>
      <c r="K8" s="109"/>
      <c r="L8" s="110" t="s">
        <v>1094</v>
      </c>
      <c r="M8" s="20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row>
    <row r="9" spans="1:41" s="184" customFormat="1" ht="16" customHeight="1">
      <c r="A9" s="325"/>
      <c r="B9" s="107"/>
      <c r="C9" s="108"/>
      <c r="D9" s="108"/>
      <c r="E9" s="108"/>
      <c r="F9" s="108"/>
      <c r="G9" s="108"/>
      <c r="H9" s="108"/>
      <c r="I9" s="108"/>
      <c r="J9" s="109"/>
      <c r="K9" s="109"/>
      <c r="L9" s="110" t="s">
        <v>1186</v>
      </c>
      <c r="M9" s="201"/>
      <c r="N9" s="181"/>
      <c r="O9" s="181"/>
      <c r="P9" s="181"/>
      <c r="Q9" s="181"/>
      <c r="R9" s="181"/>
      <c r="S9" s="181"/>
      <c r="T9" s="181"/>
      <c r="U9" s="181"/>
      <c r="V9" s="181"/>
      <c r="W9" s="181"/>
      <c r="X9" s="181"/>
      <c r="Y9" s="181"/>
      <c r="Z9" s="181"/>
      <c r="AA9" s="181"/>
      <c r="AB9" s="181"/>
      <c r="AC9" s="181"/>
      <c r="AD9" s="181"/>
      <c r="AE9" s="181"/>
      <c r="AF9" s="181"/>
      <c r="AG9" s="181"/>
      <c r="AH9" s="181"/>
      <c r="AI9" s="181"/>
      <c r="AJ9" s="181"/>
      <c r="AK9" s="181"/>
      <c r="AL9" s="181"/>
      <c r="AM9" s="181"/>
      <c r="AN9" s="181"/>
      <c r="AO9" s="181"/>
    </row>
    <row r="10" spans="1:41" s="184" customFormat="1" ht="16" customHeight="1">
      <c r="A10" s="325"/>
      <c r="B10" s="108" t="str">
        <f>'Deploy Parameters'!$F$26</f>
        <v>sfo01m01vc01</v>
      </c>
      <c r="C10" s="108" t="s">
        <v>1191</v>
      </c>
      <c r="D10" s="111" t="s">
        <v>53</v>
      </c>
      <c r="E10" s="110">
        <v>4</v>
      </c>
      <c r="F10" s="110">
        <v>16</v>
      </c>
      <c r="G10" s="110">
        <v>290</v>
      </c>
      <c r="H10" s="110">
        <v>0</v>
      </c>
      <c r="I10" s="112">
        <v>0</v>
      </c>
      <c r="J10" s="110"/>
      <c r="K10" s="110" t="s">
        <v>54</v>
      </c>
      <c r="L10" s="110" t="s">
        <v>1187</v>
      </c>
      <c r="M10" s="20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row>
    <row r="11" spans="1:41" s="184" customFormat="1" ht="16" customHeight="1">
      <c r="A11" s="325"/>
      <c r="B11" s="108" t="str">
        <f>'Deploy Parameters'!$F$27</f>
        <v>sfo01m01psc01</v>
      </c>
      <c r="C11" s="108" t="s">
        <v>1193</v>
      </c>
      <c r="D11" s="111" t="s">
        <v>53</v>
      </c>
      <c r="E11" s="110">
        <v>2</v>
      </c>
      <c r="F11" s="110">
        <v>4</v>
      </c>
      <c r="G11" s="110">
        <v>60</v>
      </c>
      <c r="H11" s="110">
        <f t="shared" ref="H11:H26" si="0">F11*I11</f>
        <v>0</v>
      </c>
      <c r="I11" s="112"/>
      <c r="J11" s="110"/>
      <c r="K11" s="110" t="s">
        <v>54</v>
      </c>
      <c r="L11" s="110" t="s">
        <v>1187</v>
      </c>
      <c r="M11" s="113"/>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row>
    <row r="12" spans="1:41" s="184" customFormat="1" ht="16" customHeight="1">
      <c r="A12" s="325"/>
      <c r="B12" s="111" t="str">
        <f>'Deploy Parameters'!$F$46</f>
        <v>sfo01m01nsx01</v>
      </c>
      <c r="C12" s="108" t="s">
        <v>1194</v>
      </c>
      <c r="D12" s="111" t="s">
        <v>53</v>
      </c>
      <c r="E12" s="110">
        <v>4</v>
      </c>
      <c r="F12" s="110">
        <v>16</v>
      </c>
      <c r="G12" s="110">
        <v>60</v>
      </c>
      <c r="H12" s="110">
        <f t="shared" si="0"/>
        <v>0</v>
      </c>
      <c r="I12" s="112"/>
      <c r="J12" s="110"/>
      <c r="K12" s="110"/>
      <c r="L12" s="110" t="s">
        <v>1188</v>
      </c>
      <c r="M12" s="20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row>
    <row r="13" spans="1:41" s="184" customFormat="1" ht="16" customHeight="1">
      <c r="A13" s="325"/>
      <c r="B13" s="111" t="str">
        <f>'Deploy Parameters'!$F$29</f>
        <v>sfo01w01vc01</v>
      </c>
      <c r="C13" s="108" t="s">
        <v>1195</v>
      </c>
      <c r="D13" s="111" t="s">
        <v>53</v>
      </c>
      <c r="E13" s="110">
        <v>16</v>
      </c>
      <c r="F13" s="110">
        <v>32</v>
      </c>
      <c r="G13" s="110">
        <v>640</v>
      </c>
      <c r="H13" s="110">
        <f t="shared" si="0"/>
        <v>0</v>
      </c>
      <c r="I13" s="112"/>
      <c r="J13" s="110"/>
      <c r="K13" s="110" t="s">
        <v>54</v>
      </c>
      <c r="L13" s="110" t="s">
        <v>1187</v>
      </c>
      <c r="M13" s="20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row>
    <row r="14" spans="1:41" s="184" customFormat="1" ht="16" customHeight="1">
      <c r="A14" s="325"/>
      <c r="B14" s="108" t="str">
        <f>'Deploy Parameters'!$F$30</f>
        <v>sfo01w01psc01</v>
      </c>
      <c r="C14" s="108" t="s">
        <v>1196</v>
      </c>
      <c r="D14" s="111" t="s">
        <v>53</v>
      </c>
      <c r="E14" s="110">
        <v>2</v>
      </c>
      <c r="F14" s="110">
        <v>4</v>
      </c>
      <c r="G14" s="110">
        <v>60</v>
      </c>
      <c r="H14" s="110">
        <f t="shared" si="0"/>
        <v>0</v>
      </c>
      <c r="I14" s="112"/>
      <c r="J14" s="110"/>
      <c r="K14" s="110" t="s">
        <v>54</v>
      </c>
      <c r="L14" s="110" t="s">
        <v>1187</v>
      </c>
      <c r="M14" s="113"/>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row>
    <row r="15" spans="1:41" s="184" customFormat="1" ht="16" customHeight="1">
      <c r="A15" s="325"/>
      <c r="B15" s="111" t="str">
        <f>'Deploy Parameters'!$J$46</f>
        <v>sfo01w01nsx01</v>
      </c>
      <c r="C15" s="108" t="s">
        <v>1197</v>
      </c>
      <c r="D15" s="111" t="s">
        <v>53</v>
      </c>
      <c r="E15" s="110">
        <v>4</v>
      </c>
      <c r="F15" s="110">
        <v>16</v>
      </c>
      <c r="G15" s="110">
        <v>60</v>
      </c>
      <c r="H15" s="110">
        <f t="shared" si="0"/>
        <v>0</v>
      </c>
      <c r="I15" s="112"/>
      <c r="J15" s="110"/>
      <c r="K15" s="110"/>
      <c r="L15" s="110" t="s">
        <v>1188</v>
      </c>
      <c r="M15" s="20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row>
    <row r="16" spans="1:41" s="184" customFormat="1" ht="16" customHeight="1">
      <c r="A16" s="325"/>
      <c r="B16" s="111" t="s">
        <v>1085</v>
      </c>
      <c r="C16" s="108" t="s">
        <v>412</v>
      </c>
      <c r="D16" s="111" t="s">
        <v>53</v>
      </c>
      <c r="E16" s="110">
        <v>4</v>
      </c>
      <c r="F16" s="110">
        <v>4</v>
      </c>
      <c r="G16" s="110">
        <v>20</v>
      </c>
      <c r="H16" s="110">
        <f t="shared" si="0"/>
        <v>0</v>
      </c>
      <c r="I16" s="112"/>
      <c r="J16" s="110"/>
      <c r="K16" s="110"/>
      <c r="L16" s="110" t="s">
        <v>1188</v>
      </c>
      <c r="M16" s="113"/>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row>
    <row r="17" spans="1:41" s="184" customFormat="1" ht="16" customHeight="1">
      <c r="A17" s="325"/>
      <c r="B17" s="111" t="s">
        <v>1086</v>
      </c>
      <c r="C17" s="108" t="s">
        <v>414</v>
      </c>
      <c r="D17" s="111" t="s">
        <v>53</v>
      </c>
      <c r="E17" s="110">
        <v>4</v>
      </c>
      <c r="F17" s="110">
        <v>4</v>
      </c>
      <c r="G17" s="110">
        <v>20</v>
      </c>
      <c r="H17" s="110">
        <f t="shared" si="0"/>
        <v>0</v>
      </c>
      <c r="I17" s="112"/>
      <c r="J17" s="110"/>
      <c r="K17" s="110"/>
      <c r="L17" s="110" t="s">
        <v>1188</v>
      </c>
      <c r="M17" s="113"/>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row>
    <row r="18" spans="1:41" s="184" customFormat="1" ht="16" customHeight="1">
      <c r="A18" s="325"/>
      <c r="B18" s="111" t="s">
        <v>1087</v>
      </c>
      <c r="C18" s="108" t="s">
        <v>413</v>
      </c>
      <c r="D18" s="111" t="s">
        <v>53</v>
      </c>
      <c r="E18" s="110">
        <v>4</v>
      </c>
      <c r="F18" s="110">
        <v>4</v>
      </c>
      <c r="G18" s="110">
        <v>20</v>
      </c>
      <c r="H18" s="110">
        <f t="shared" si="0"/>
        <v>0</v>
      </c>
      <c r="I18" s="112"/>
      <c r="J18" s="110"/>
      <c r="K18" s="110"/>
      <c r="L18" s="110" t="s">
        <v>1188</v>
      </c>
      <c r="M18" s="113"/>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row>
    <row r="19" spans="1:41" s="184" customFormat="1" ht="16" customHeight="1">
      <c r="A19" s="325"/>
      <c r="B19" s="111" t="str">
        <f>'Deploy Parameters'!F73&amp;"-0"</f>
        <v>sfo01m01esg01-0</v>
      </c>
      <c r="C19" s="108" t="s">
        <v>289</v>
      </c>
      <c r="D19" s="111" t="s">
        <v>53</v>
      </c>
      <c r="E19" s="110">
        <v>2</v>
      </c>
      <c r="F19" s="110">
        <v>1</v>
      </c>
      <c r="G19" s="110">
        <v>1</v>
      </c>
      <c r="H19" s="110">
        <f t="shared" si="0"/>
        <v>0</v>
      </c>
      <c r="I19" s="112"/>
      <c r="J19" s="110"/>
      <c r="K19" s="110"/>
      <c r="L19" s="110" t="s">
        <v>1188</v>
      </c>
      <c r="M19" s="113"/>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row>
    <row r="20" spans="1:41" s="184" customFormat="1" ht="16" customHeight="1">
      <c r="A20" s="325"/>
      <c r="B20" s="111" t="str">
        <f>'Deploy Parameters'!F77&amp;"-0"</f>
        <v>sfo01m01esg02-0</v>
      </c>
      <c r="C20" s="108" t="s">
        <v>290</v>
      </c>
      <c r="D20" s="111" t="s">
        <v>53</v>
      </c>
      <c r="E20" s="110">
        <v>2</v>
      </c>
      <c r="F20" s="110">
        <v>1</v>
      </c>
      <c r="G20" s="110">
        <v>1</v>
      </c>
      <c r="H20" s="110">
        <f t="shared" si="0"/>
        <v>0</v>
      </c>
      <c r="I20" s="112"/>
      <c r="J20" s="110"/>
      <c r="K20" s="110"/>
      <c r="L20" s="110" t="s">
        <v>1188</v>
      </c>
      <c r="M20" s="113"/>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row>
    <row r="21" spans="1:41" s="184" customFormat="1" ht="16" customHeight="1">
      <c r="A21" s="325"/>
      <c r="B21" s="111" t="str">
        <f>'Deploy Parameters'!J61&amp;"-0"</f>
        <v>sfo01m01lb01-0</v>
      </c>
      <c r="C21" s="108" t="s">
        <v>356</v>
      </c>
      <c r="D21" s="111" t="s">
        <v>53</v>
      </c>
      <c r="E21" s="110">
        <v>2</v>
      </c>
      <c r="F21" s="110">
        <v>1</v>
      </c>
      <c r="G21" s="110">
        <v>1</v>
      </c>
      <c r="H21" s="110">
        <f t="shared" si="0"/>
        <v>0</v>
      </c>
      <c r="I21" s="112"/>
      <c r="J21" s="110"/>
      <c r="K21" s="110"/>
      <c r="L21" s="110" t="s">
        <v>1188</v>
      </c>
      <c r="M21" s="113"/>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row>
    <row r="22" spans="1:41" s="184" customFormat="1" ht="16" customHeight="1">
      <c r="A22" s="325"/>
      <c r="B22" s="111" t="str">
        <f>'Deploy Parameters'!J61&amp;"-1"</f>
        <v>sfo01m01lb01-1</v>
      </c>
      <c r="C22" s="108" t="s">
        <v>357</v>
      </c>
      <c r="D22" s="111" t="s">
        <v>53</v>
      </c>
      <c r="E22" s="110">
        <v>2</v>
      </c>
      <c r="F22" s="110">
        <v>1</v>
      </c>
      <c r="G22" s="110">
        <v>1</v>
      </c>
      <c r="H22" s="110">
        <f t="shared" si="0"/>
        <v>0</v>
      </c>
      <c r="I22" s="112"/>
      <c r="J22" s="110"/>
      <c r="K22" s="110"/>
      <c r="L22" s="110" t="s">
        <v>1188</v>
      </c>
      <c r="M22" s="113"/>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row>
    <row r="23" spans="1:41" s="184" customFormat="1" ht="16" customHeight="1">
      <c r="A23" s="325"/>
      <c r="B23" s="111" t="str">
        <f>'Deploy Parameters'!F31&amp;"-0"</f>
        <v>sfo01psc01-0</v>
      </c>
      <c r="C23" s="108" t="s">
        <v>533</v>
      </c>
      <c r="D23" s="111" t="s">
        <v>53</v>
      </c>
      <c r="E23" s="110">
        <v>2</v>
      </c>
      <c r="F23" s="110">
        <v>1</v>
      </c>
      <c r="G23" s="110">
        <v>1</v>
      </c>
      <c r="H23" s="110">
        <f t="shared" si="0"/>
        <v>0</v>
      </c>
      <c r="I23" s="112"/>
      <c r="J23" s="110"/>
      <c r="K23" s="110"/>
      <c r="L23" s="110" t="s">
        <v>1188</v>
      </c>
      <c r="M23" s="113"/>
      <c r="N23" s="181"/>
      <c r="O23" s="181"/>
      <c r="P23" s="181"/>
      <c r="Q23" s="181"/>
      <c r="R23" s="181"/>
      <c r="S23" s="181"/>
      <c r="T23" s="181"/>
      <c r="U23" s="181"/>
      <c r="V23" s="181"/>
      <c r="W23" s="181"/>
      <c r="X23" s="181"/>
      <c r="Y23" s="181"/>
      <c r="Z23" s="181"/>
      <c r="AA23" s="181"/>
      <c r="AB23" s="181"/>
      <c r="AC23" s="181"/>
      <c r="AD23" s="181"/>
      <c r="AE23" s="181"/>
      <c r="AF23" s="181"/>
      <c r="AG23" s="181"/>
      <c r="AH23" s="181"/>
      <c r="AI23" s="181"/>
      <c r="AJ23" s="181"/>
      <c r="AK23" s="181"/>
      <c r="AL23" s="181"/>
      <c r="AM23" s="181"/>
      <c r="AN23" s="181"/>
      <c r="AO23" s="181"/>
    </row>
    <row r="24" spans="1:41" s="184" customFormat="1" ht="16" customHeight="1">
      <c r="A24" s="325"/>
      <c r="B24" s="111" t="str">
        <f>'Deploy Parameters'!F31&amp;"-1"</f>
        <v>sfo01psc01-1</v>
      </c>
      <c r="C24" s="108" t="s">
        <v>534</v>
      </c>
      <c r="D24" s="111" t="s">
        <v>53</v>
      </c>
      <c r="E24" s="110">
        <v>2</v>
      </c>
      <c r="F24" s="110">
        <v>1</v>
      </c>
      <c r="G24" s="110">
        <v>1</v>
      </c>
      <c r="H24" s="110">
        <f t="shared" si="0"/>
        <v>0</v>
      </c>
      <c r="I24" s="112"/>
      <c r="J24" s="110"/>
      <c r="K24" s="110"/>
      <c r="L24" s="110" t="s">
        <v>1188</v>
      </c>
      <c r="M24" s="113"/>
      <c r="N24" s="181"/>
      <c r="O24" s="181"/>
      <c r="P24" s="181"/>
      <c r="Q24" s="181"/>
      <c r="R24" s="181"/>
      <c r="S24" s="181"/>
      <c r="T24" s="181"/>
      <c r="U24" s="181"/>
      <c r="V24" s="181"/>
      <c r="W24" s="181"/>
      <c r="X24" s="181"/>
      <c r="Y24" s="181"/>
      <c r="Z24" s="181"/>
      <c r="AA24" s="181"/>
      <c r="AB24" s="181"/>
      <c r="AC24" s="181"/>
      <c r="AD24" s="181"/>
      <c r="AE24" s="181"/>
      <c r="AF24" s="181"/>
      <c r="AG24" s="181"/>
      <c r="AH24" s="181"/>
      <c r="AI24" s="181"/>
      <c r="AJ24" s="181"/>
      <c r="AK24" s="181"/>
      <c r="AL24" s="181"/>
      <c r="AM24" s="181"/>
      <c r="AN24" s="181"/>
      <c r="AO24" s="181"/>
    </row>
    <row r="25" spans="1:41" s="184" customFormat="1" ht="16" customHeight="1">
      <c r="A25" s="325"/>
      <c r="B25" s="111" t="str">
        <f>"edge-xx-0-"&amp;'Deploy Parameters'!F88</f>
        <v>edge-xx-0-sfo01m01udlr01</v>
      </c>
      <c r="C25" s="108" t="s">
        <v>358</v>
      </c>
      <c r="D25" s="111" t="s">
        <v>53</v>
      </c>
      <c r="E25" s="110">
        <v>2</v>
      </c>
      <c r="F25" s="110">
        <v>0.5</v>
      </c>
      <c r="G25" s="110">
        <v>1</v>
      </c>
      <c r="H25" s="110">
        <f t="shared" si="0"/>
        <v>0</v>
      </c>
      <c r="I25" s="112"/>
      <c r="J25" s="110"/>
      <c r="K25" s="110"/>
      <c r="L25" s="110" t="s">
        <v>1188</v>
      </c>
      <c r="M25" s="113"/>
      <c r="N25" s="181"/>
      <c r="O25" s="181"/>
      <c r="P25" s="181"/>
      <c r="Q25" s="181"/>
      <c r="R25" s="181"/>
      <c r="S25" s="181"/>
      <c r="T25" s="181"/>
      <c r="U25" s="181"/>
      <c r="V25" s="181"/>
      <c r="W25" s="181"/>
      <c r="X25" s="181"/>
      <c r="Y25" s="181"/>
      <c r="Z25" s="181"/>
      <c r="AA25" s="181"/>
      <c r="AB25" s="181"/>
      <c r="AC25" s="181"/>
      <c r="AD25" s="181"/>
      <c r="AE25" s="181"/>
      <c r="AF25" s="181"/>
      <c r="AG25" s="181"/>
      <c r="AH25" s="181"/>
      <c r="AI25" s="181"/>
      <c r="AJ25" s="181"/>
      <c r="AK25" s="181"/>
      <c r="AL25" s="181"/>
      <c r="AM25" s="181"/>
      <c r="AN25" s="181"/>
      <c r="AO25" s="181"/>
    </row>
    <row r="26" spans="1:41" s="184" customFormat="1" ht="16" customHeight="1">
      <c r="A26" s="325"/>
      <c r="B26" s="111" t="str">
        <f>"edge-xx-1-"&amp;'Deploy Parameters'!F88</f>
        <v>edge-xx-1-sfo01m01udlr01</v>
      </c>
      <c r="C26" s="108" t="s">
        <v>359</v>
      </c>
      <c r="D26" s="111" t="s">
        <v>53</v>
      </c>
      <c r="E26" s="110">
        <v>2</v>
      </c>
      <c r="F26" s="110">
        <v>0.5</v>
      </c>
      <c r="G26" s="110">
        <v>1</v>
      </c>
      <c r="H26" s="110">
        <f t="shared" si="0"/>
        <v>0</v>
      </c>
      <c r="I26" s="112"/>
      <c r="J26" s="110"/>
      <c r="K26" s="110"/>
      <c r="L26" s="110" t="s">
        <v>1188</v>
      </c>
      <c r="M26" s="113"/>
      <c r="N26" s="181"/>
      <c r="O26" s="181"/>
      <c r="P26" s="181"/>
      <c r="Q26" s="181"/>
      <c r="R26" s="181"/>
      <c r="S26" s="181"/>
      <c r="T26" s="181"/>
      <c r="U26" s="181"/>
      <c r="V26" s="181"/>
      <c r="W26" s="181"/>
      <c r="X26" s="181"/>
      <c r="Y26" s="181"/>
      <c r="Z26" s="181"/>
      <c r="AA26" s="181"/>
      <c r="AB26" s="181"/>
      <c r="AC26" s="181"/>
      <c r="AD26" s="181"/>
      <c r="AE26" s="181"/>
      <c r="AF26" s="181"/>
      <c r="AG26" s="181"/>
      <c r="AH26" s="181"/>
      <c r="AI26" s="181"/>
      <c r="AJ26" s="181"/>
      <c r="AK26" s="181"/>
      <c r="AL26" s="181"/>
      <c r="AM26" s="181"/>
      <c r="AN26" s="181"/>
      <c r="AO26" s="181"/>
    </row>
    <row r="27" spans="1:41" s="184" customFormat="1" ht="16" customHeight="1">
      <c r="A27" s="325"/>
      <c r="B27" s="115"/>
      <c r="C27" s="116"/>
      <c r="D27" s="117" t="s">
        <v>566</v>
      </c>
      <c r="E27" s="118">
        <f>SUM(E10:E26)</f>
        <v>60</v>
      </c>
      <c r="F27" s="118">
        <f t="shared" ref="F27:G27" si="1">SUM(F10:F26)</f>
        <v>107</v>
      </c>
      <c r="G27" s="118">
        <f t="shared" si="1"/>
        <v>1238</v>
      </c>
      <c r="H27" s="119"/>
      <c r="I27" s="120"/>
      <c r="J27" s="119"/>
      <c r="K27" s="119"/>
      <c r="L27" s="121"/>
      <c r="M27" s="119"/>
      <c r="N27" s="181"/>
      <c r="O27" s="181"/>
      <c r="P27" s="181"/>
      <c r="Q27" s="181"/>
      <c r="R27" s="181"/>
      <c r="S27" s="181"/>
      <c r="T27" s="181"/>
      <c r="U27" s="181"/>
      <c r="V27" s="181"/>
      <c r="W27" s="181"/>
      <c r="X27" s="181"/>
      <c r="Y27" s="181"/>
      <c r="Z27" s="181"/>
      <c r="AA27" s="181"/>
      <c r="AB27" s="181"/>
      <c r="AC27" s="181"/>
      <c r="AD27" s="181"/>
      <c r="AE27" s="181"/>
      <c r="AF27" s="181"/>
      <c r="AG27" s="181"/>
      <c r="AH27" s="181"/>
      <c r="AI27" s="181"/>
      <c r="AJ27" s="181"/>
      <c r="AK27" s="181"/>
      <c r="AL27" s="181"/>
      <c r="AM27" s="181"/>
      <c r="AN27" s="181"/>
      <c r="AO27" s="181"/>
    </row>
    <row r="28" spans="1:41" s="184" customFormat="1" ht="16" customHeight="1">
      <c r="A28" s="325"/>
      <c r="B28" s="151" t="s">
        <v>872</v>
      </c>
      <c r="C28" s="104"/>
      <c r="D28" s="104"/>
      <c r="E28" s="104"/>
      <c r="F28" s="104"/>
      <c r="G28" s="104"/>
      <c r="H28" s="104"/>
      <c r="I28" s="104"/>
      <c r="J28" s="105"/>
      <c r="K28" s="105"/>
      <c r="L28" s="122"/>
      <c r="M28" s="106"/>
      <c r="N28" s="181"/>
      <c r="O28" s="181"/>
      <c r="P28" s="181"/>
      <c r="Q28" s="181"/>
      <c r="R28" s="181"/>
      <c r="S28" s="181"/>
      <c r="T28" s="181"/>
      <c r="U28" s="181"/>
      <c r="V28" s="181"/>
      <c r="W28" s="181"/>
      <c r="X28" s="181"/>
      <c r="Y28" s="181"/>
      <c r="Z28" s="181"/>
      <c r="AA28" s="181"/>
      <c r="AB28" s="181"/>
      <c r="AC28" s="181"/>
      <c r="AD28" s="181"/>
      <c r="AE28" s="181"/>
      <c r="AF28" s="181"/>
      <c r="AG28" s="181"/>
      <c r="AH28" s="181"/>
      <c r="AI28" s="181"/>
      <c r="AJ28" s="181"/>
      <c r="AK28" s="181"/>
      <c r="AL28" s="181"/>
      <c r="AM28" s="181"/>
      <c r="AN28" s="181"/>
      <c r="AO28" s="181"/>
    </row>
    <row r="29" spans="1:41" s="184" customFormat="1" ht="16" customHeight="1">
      <c r="A29" s="325"/>
      <c r="B29" s="111" t="str">
        <f>'Deploy Parameters'!F103</f>
        <v>vrslcm01svr01a</v>
      </c>
      <c r="C29" s="108" t="s">
        <v>946</v>
      </c>
      <c r="D29" s="111" t="s">
        <v>53</v>
      </c>
      <c r="E29" s="110">
        <v>2</v>
      </c>
      <c r="F29" s="110">
        <v>16</v>
      </c>
      <c r="G29" s="110">
        <v>135</v>
      </c>
      <c r="H29" s="110"/>
      <c r="I29" s="112"/>
      <c r="J29" s="110" t="s">
        <v>54</v>
      </c>
      <c r="K29" s="110" t="s">
        <v>54</v>
      </c>
      <c r="L29" s="114">
        <v>2</v>
      </c>
      <c r="M29" s="113"/>
      <c r="N29" s="181"/>
      <c r="O29" s="181"/>
      <c r="P29" s="181"/>
      <c r="Q29" s="181"/>
      <c r="R29" s="181"/>
      <c r="S29" s="181"/>
      <c r="T29" s="181"/>
      <c r="U29" s="181"/>
      <c r="V29" s="181"/>
      <c r="W29" s="181"/>
      <c r="X29" s="181"/>
      <c r="Y29" s="181"/>
      <c r="Z29" s="181"/>
      <c r="AA29" s="181"/>
      <c r="AB29" s="181"/>
      <c r="AC29" s="181"/>
      <c r="AD29" s="181"/>
      <c r="AE29" s="181"/>
      <c r="AF29" s="181"/>
      <c r="AG29" s="181"/>
      <c r="AH29" s="181"/>
      <c r="AI29" s="181"/>
      <c r="AJ29" s="181"/>
      <c r="AK29" s="181"/>
      <c r="AL29" s="181"/>
      <c r="AM29" s="181"/>
      <c r="AN29" s="181"/>
      <c r="AO29" s="181"/>
    </row>
    <row r="30" spans="1:41" s="184" customFormat="1" ht="16" customHeight="1">
      <c r="A30" s="325"/>
      <c r="B30" s="111" t="str">
        <f>'Deploy Parameters'!F128</f>
        <v>vrops01svr01a</v>
      </c>
      <c r="C30" s="108" t="s">
        <v>131</v>
      </c>
      <c r="D30" s="111" t="s">
        <v>53</v>
      </c>
      <c r="E30" s="110">
        <v>8</v>
      </c>
      <c r="F30" s="110">
        <v>32</v>
      </c>
      <c r="G30" s="110">
        <v>1048</v>
      </c>
      <c r="H30" s="110"/>
      <c r="I30" s="112"/>
      <c r="J30" s="110" t="s">
        <v>54</v>
      </c>
      <c r="K30" s="110" t="s">
        <v>54</v>
      </c>
      <c r="L30" s="114">
        <v>7</v>
      </c>
      <c r="M30" s="342"/>
      <c r="N30" s="181"/>
      <c r="O30" s="181"/>
      <c r="P30" s="181"/>
      <c r="Q30" s="181"/>
      <c r="R30" s="181"/>
      <c r="S30" s="181"/>
      <c r="T30" s="181"/>
      <c r="U30" s="181"/>
      <c r="V30" s="181"/>
      <c r="W30" s="181"/>
      <c r="X30" s="181"/>
      <c r="Y30" s="181"/>
      <c r="Z30" s="181"/>
      <c r="AA30" s="181"/>
      <c r="AB30" s="181"/>
      <c r="AC30" s="181"/>
      <c r="AD30" s="181"/>
      <c r="AE30" s="181"/>
      <c r="AF30" s="181"/>
      <c r="AG30" s="181"/>
      <c r="AH30" s="181"/>
      <c r="AI30" s="181"/>
      <c r="AJ30" s="181"/>
      <c r="AK30" s="181"/>
      <c r="AL30" s="181"/>
      <c r="AM30" s="181"/>
      <c r="AN30" s="181"/>
      <c r="AO30" s="181"/>
    </row>
    <row r="31" spans="1:41" s="184" customFormat="1" ht="16" customHeight="1">
      <c r="A31" s="325"/>
      <c r="B31" s="111" t="str">
        <f>'Deploy Parameters'!F129</f>
        <v>vrops01svr01b</v>
      </c>
      <c r="C31" s="108" t="s">
        <v>132</v>
      </c>
      <c r="D31" s="111" t="s">
        <v>53</v>
      </c>
      <c r="E31" s="110">
        <v>8</v>
      </c>
      <c r="F31" s="110">
        <v>32</v>
      </c>
      <c r="G31" s="110">
        <v>1048</v>
      </c>
      <c r="H31" s="110">
        <f t="shared" ref="H31:H37" si="2">F31*I31</f>
        <v>0</v>
      </c>
      <c r="I31" s="112"/>
      <c r="J31" s="110" t="s">
        <v>54</v>
      </c>
      <c r="K31" s="110" t="s">
        <v>54</v>
      </c>
      <c r="L31" s="114">
        <v>7</v>
      </c>
      <c r="M31" s="343"/>
      <c r="N31" s="181"/>
      <c r="O31" s="181"/>
      <c r="P31" s="181"/>
      <c r="Q31" s="181"/>
      <c r="R31" s="181"/>
      <c r="S31" s="181"/>
      <c r="T31" s="181"/>
      <c r="U31" s="181"/>
      <c r="V31" s="181"/>
      <c r="W31" s="181"/>
      <c r="X31" s="181"/>
      <c r="Y31" s="181"/>
      <c r="Z31" s="181"/>
      <c r="AA31" s="181"/>
      <c r="AB31" s="181"/>
      <c r="AC31" s="181"/>
      <c r="AD31" s="181"/>
      <c r="AE31" s="181"/>
      <c r="AF31" s="181"/>
      <c r="AG31" s="181"/>
      <c r="AH31" s="181"/>
      <c r="AI31" s="181"/>
      <c r="AJ31" s="181"/>
      <c r="AK31" s="181"/>
      <c r="AL31" s="181"/>
      <c r="AM31" s="181"/>
      <c r="AN31" s="181"/>
      <c r="AO31" s="181"/>
    </row>
    <row r="32" spans="1:41" s="184" customFormat="1" ht="16" customHeight="1">
      <c r="A32" s="325"/>
      <c r="B32" s="111" t="str">
        <f>'Deploy Parameters'!F130</f>
        <v>vrops01svr01c</v>
      </c>
      <c r="C32" s="108" t="s">
        <v>133</v>
      </c>
      <c r="D32" s="111" t="s">
        <v>53</v>
      </c>
      <c r="E32" s="110">
        <v>8</v>
      </c>
      <c r="F32" s="110">
        <v>32</v>
      </c>
      <c r="G32" s="110">
        <v>1048</v>
      </c>
      <c r="H32" s="110">
        <f t="shared" si="2"/>
        <v>0</v>
      </c>
      <c r="I32" s="112"/>
      <c r="J32" s="110" t="s">
        <v>54</v>
      </c>
      <c r="K32" s="110" t="s">
        <v>54</v>
      </c>
      <c r="L32" s="114">
        <v>7</v>
      </c>
      <c r="M32" s="344"/>
      <c r="N32" s="181"/>
      <c r="O32" s="181"/>
      <c r="P32" s="181"/>
      <c r="Q32" s="181"/>
      <c r="R32" s="181"/>
      <c r="S32" s="181"/>
      <c r="T32" s="181"/>
      <c r="U32" s="181"/>
      <c r="V32" s="181"/>
      <c r="W32" s="181"/>
      <c r="X32" s="181"/>
      <c r="Y32" s="181"/>
      <c r="Z32" s="181"/>
      <c r="AA32" s="181"/>
      <c r="AB32" s="181"/>
      <c r="AC32" s="181"/>
      <c r="AD32" s="181"/>
      <c r="AE32" s="181"/>
      <c r="AF32" s="181"/>
      <c r="AG32" s="181"/>
      <c r="AH32" s="181"/>
      <c r="AI32" s="181"/>
      <c r="AJ32" s="181"/>
      <c r="AK32" s="181"/>
      <c r="AL32" s="181"/>
      <c r="AM32" s="181"/>
      <c r="AN32" s="181"/>
      <c r="AO32" s="181"/>
    </row>
    <row r="33" spans="1:41" s="184" customFormat="1" ht="16" customHeight="1">
      <c r="A33" s="325"/>
      <c r="B33" s="111" t="str">
        <f>'Deploy Parameters'!J127</f>
        <v>sfo01vropsc01a</v>
      </c>
      <c r="C33" s="108" t="s">
        <v>204</v>
      </c>
      <c r="D33" s="111" t="s">
        <v>53</v>
      </c>
      <c r="E33" s="110">
        <v>2</v>
      </c>
      <c r="F33" s="110">
        <v>4</v>
      </c>
      <c r="G33" s="110">
        <v>275</v>
      </c>
      <c r="H33" s="110">
        <f t="shared" si="2"/>
        <v>0</v>
      </c>
      <c r="I33" s="112"/>
      <c r="J33" s="110"/>
      <c r="K33" s="110" t="s">
        <v>54</v>
      </c>
      <c r="L33" s="114">
        <v>7</v>
      </c>
      <c r="M33" s="113"/>
      <c r="N33" s="181"/>
      <c r="O33" s="181"/>
      <c r="P33" s="181"/>
      <c r="Q33" s="181"/>
      <c r="R33" s="181"/>
      <c r="S33" s="181"/>
      <c r="T33" s="181"/>
      <c r="U33" s="181"/>
      <c r="V33" s="181"/>
      <c r="W33" s="181"/>
      <c r="X33" s="181"/>
      <c r="Y33" s="181"/>
      <c r="Z33" s="181"/>
      <c r="AA33" s="181"/>
      <c r="AB33" s="181"/>
      <c r="AC33" s="181"/>
      <c r="AD33" s="181"/>
      <c r="AE33" s="181"/>
      <c r="AF33" s="181"/>
      <c r="AG33" s="181"/>
      <c r="AH33" s="181"/>
      <c r="AI33" s="181"/>
      <c r="AJ33" s="181"/>
      <c r="AK33" s="181"/>
      <c r="AL33" s="181"/>
      <c r="AM33" s="181"/>
      <c r="AN33" s="181"/>
      <c r="AO33" s="181"/>
    </row>
    <row r="34" spans="1:41" s="184" customFormat="1" ht="16" customHeight="1">
      <c r="A34" s="325"/>
      <c r="B34" s="111" t="str">
        <f>'Deploy Parameters'!J128</f>
        <v>sfo01vropsc01b</v>
      </c>
      <c r="C34" s="108" t="s">
        <v>204</v>
      </c>
      <c r="D34" s="111" t="s">
        <v>53</v>
      </c>
      <c r="E34" s="110">
        <v>2</v>
      </c>
      <c r="F34" s="110">
        <v>4</v>
      </c>
      <c r="G34" s="110">
        <v>275</v>
      </c>
      <c r="H34" s="110">
        <f t="shared" si="2"/>
        <v>0</v>
      </c>
      <c r="I34" s="112"/>
      <c r="J34" s="110"/>
      <c r="K34" s="110" t="s">
        <v>54</v>
      </c>
      <c r="L34" s="114">
        <v>7</v>
      </c>
      <c r="M34" s="113"/>
      <c r="N34" s="181"/>
      <c r="O34" s="181"/>
      <c r="P34" s="181"/>
      <c r="Q34" s="181"/>
      <c r="R34" s="181"/>
      <c r="S34" s="181"/>
      <c r="T34" s="181"/>
      <c r="U34" s="181"/>
      <c r="V34" s="181"/>
      <c r="W34" s="181"/>
      <c r="X34" s="181"/>
      <c r="Y34" s="181"/>
      <c r="Z34" s="181"/>
      <c r="AA34" s="181"/>
      <c r="AB34" s="181"/>
      <c r="AC34" s="181"/>
      <c r="AD34" s="181"/>
      <c r="AE34" s="181"/>
      <c r="AF34" s="181"/>
      <c r="AG34" s="181"/>
      <c r="AH34" s="181"/>
      <c r="AI34" s="181"/>
      <c r="AJ34" s="181"/>
      <c r="AK34" s="181"/>
      <c r="AL34" s="181"/>
      <c r="AM34" s="181"/>
      <c r="AN34" s="181"/>
      <c r="AO34" s="181"/>
    </row>
    <row r="35" spans="1:41" s="184" customFormat="1" ht="16" customHeight="1">
      <c r="A35" s="325"/>
      <c r="B35" s="111" t="str">
        <f>'Deploy Parameters'!F139</f>
        <v>sfo01vrli01a</v>
      </c>
      <c r="C35" s="108" t="s">
        <v>129</v>
      </c>
      <c r="D35" s="111" t="s">
        <v>53</v>
      </c>
      <c r="E35" s="110">
        <v>8</v>
      </c>
      <c r="F35" s="110">
        <v>16</v>
      </c>
      <c r="G35" s="110">
        <v>1312</v>
      </c>
      <c r="H35" s="110">
        <f t="shared" si="2"/>
        <v>0</v>
      </c>
      <c r="I35" s="112"/>
      <c r="J35" s="110"/>
      <c r="K35" s="110" t="s">
        <v>54</v>
      </c>
      <c r="L35" s="114">
        <v>4.7</v>
      </c>
      <c r="M35" s="335"/>
      <c r="N35" s="181"/>
      <c r="O35" s="181"/>
      <c r="P35" s="181"/>
      <c r="Q35" s="181"/>
      <c r="R35" s="181"/>
      <c r="S35" s="181"/>
      <c r="T35" s="181"/>
      <c r="U35" s="181"/>
      <c r="V35" s="181"/>
      <c r="W35" s="181"/>
      <c r="X35" s="181"/>
      <c r="Y35" s="181"/>
      <c r="Z35" s="181"/>
      <c r="AA35" s="181"/>
      <c r="AB35" s="181"/>
      <c r="AC35" s="181"/>
      <c r="AD35" s="181"/>
      <c r="AE35" s="181"/>
      <c r="AF35" s="181"/>
      <c r="AG35" s="181"/>
      <c r="AH35" s="181"/>
      <c r="AI35" s="181"/>
      <c r="AJ35" s="181"/>
      <c r="AK35" s="181"/>
      <c r="AL35" s="181"/>
      <c r="AM35" s="181"/>
      <c r="AN35" s="181"/>
      <c r="AO35" s="181"/>
    </row>
    <row r="36" spans="1:41" s="184" customFormat="1" ht="16" customHeight="1">
      <c r="A36" s="325"/>
      <c r="B36" s="111" t="str">
        <f>'Deploy Parameters'!F140</f>
        <v>sfo01vrli01b</v>
      </c>
      <c r="C36" s="108" t="s">
        <v>130</v>
      </c>
      <c r="D36" s="111" t="s">
        <v>53</v>
      </c>
      <c r="E36" s="110">
        <v>8</v>
      </c>
      <c r="F36" s="110">
        <v>16</v>
      </c>
      <c r="G36" s="110">
        <v>1312</v>
      </c>
      <c r="H36" s="110">
        <f t="shared" si="2"/>
        <v>0</v>
      </c>
      <c r="I36" s="112"/>
      <c r="J36" s="110"/>
      <c r="K36" s="110" t="s">
        <v>54</v>
      </c>
      <c r="L36" s="114">
        <v>4.7</v>
      </c>
      <c r="M36" s="340"/>
      <c r="N36" s="181"/>
      <c r="O36" s="181"/>
      <c r="P36" s="181"/>
      <c r="Q36" s="181"/>
      <c r="R36" s="181"/>
      <c r="S36" s="181"/>
      <c r="T36" s="181"/>
      <c r="U36" s="181"/>
      <c r="V36" s="181"/>
      <c r="W36" s="181"/>
      <c r="X36" s="181"/>
      <c r="Y36" s="181"/>
      <c r="Z36" s="181"/>
      <c r="AA36" s="181"/>
      <c r="AB36" s="181"/>
      <c r="AC36" s="181"/>
      <c r="AD36" s="181"/>
      <c r="AE36" s="181"/>
      <c r="AF36" s="181"/>
      <c r="AG36" s="181"/>
      <c r="AH36" s="181"/>
      <c r="AI36" s="181"/>
      <c r="AJ36" s="181"/>
      <c r="AK36" s="181"/>
      <c r="AL36" s="181"/>
      <c r="AM36" s="181"/>
      <c r="AN36" s="181"/>
      <c r="AO36" s="181"/>
    </row>
    <row r="37" spans="1:41" s="184" customFormat="1" ht="16" customHeight="1">
      <c r="A37" s="325"/>
      <c r="B37" s="111" t="str">
        <f>'Deploy Parameters'!F141</f>
        <v>sfo01vrli01c</v>
      </c>
      <c r="C37" s="108" t="s">
        <v>130</v>
      </c>
      <c r="D37" s="111" t="s">
        <v>53</v>
      </c>
      <c r="E37" s="110">
        <v>8</v>
      </c>
      <c r="F37" s="110">
        <v>16</v>
      </c>
      <c r="G37" s="110">
        <v>1312</v>
      </c>
      <c r="H37" s="110">
        <f t="shared" si="2"/>
        <v>0</v>
      </c>
      <c r="I37" s="112"/>
      <c r="J37" s="110"/>
      <c r="K37" s="110" t="s">
        <v>54</v>
      </c>
      <c r="L37" s="114">
        <v>4.7</v>
      </c>
      <c r="M37" s="341"/>
      <c r="N37" s="181"/>
      <c r="O37" s="181"/>
      <c r="P37" s="181"/>
      <c r="Q37" s="181"/>
      <c r="R37" s="181"/>
      <c r="S37" s="181"/>
      <c r="T37" s="181"/>
      <c r="U37" s="181"/>
      <c r="V37" s="181"/>
      <c r="W37" s="181"/>
      <c r="X37" s="181"/>
      <c r="Y37" s="181"/>
      <c r="Z37" s="181"/>
      <c r="AA37" s="181"/>
      <c r="AB37" s="181"/>
      <c r="AC37" s="181"/>
      <c r="AD37" s="181"/>
      <c r="AE37" s="181"/>
      <c r="AF37" s="181"/>
      <c r="AG37" s="181"/>
      <c r="AH37" s="181"/>
      <c r="AI37" s="181"/>
      <c r="AJ37" s="181"/>
      <c r="AK37" s="181"/>
      <c r="AL37" s="181"/>
      <c r="AM37" s="181"/>
      <c r="AN37" s="181"/>
      <c r="AO37" s="181"/>
    </row>
    <row r="38" spans="1:41" s="184" customFormat="1" ht="16" customHeight="1">
      <c r="A38" s="325"/>
      <c r="B38" s="111" t="str">
        <f>'Deploy Parameters'!F151</f>
        <v>sfo01umds01</v>
      </c>
      <c r="C38" s="108" t="s">
        <v>564</v>
      </c>
      <c r="D38" s="111" t="s">
        <v>565</v>
      </c>
      <c r="E38" s="110">
        <v>2</v>
      </c>
      <c r="F38" s="110">
        <v>2</v>
      </c>
      <c r="G38" s="110">
        <v>120</v>
      </c>
      <c r="H38" s="110">
        <f>F38*I38</f>
        <v>0</v>
      </c>
      <c r="I38" s="112"/>
      <c r="J38" s="110"/>
      <c r="K38" s="110" t="s">
        <v>54</v>
      </c>
      <c r="L38" s="110" t="s">
        <v>1187</v>
      </c>
      <c r="M38" s="113"/>
      <c r="N38" s="181"/>
      <c r="O38" s="181"/>
      <c r="P38" s="181"/>
      <c r="Q38" s="181"/>
      <c r="R38" s="181"/>
      <c r="S38" s="181"/>
      <c r="T38" s="181"/>
      <c r="U38" s="181"/>
      <c r="V38" s="181"/>
      <c r="W38" s="181"/>
      <c r="X38" s="181"/>
      <c r="Y38" s="181"/>
      <c r="Z38" s="181"/>
      <c r="AA38" s="181"/>
      <c r="AB38" s="181"/>
      <c r="AC38" s="181"/>
      <c r="AD38" s="181"/>
      <c r="AE38" s="181"/>
      <c r="AF38" s="181"/>
      <c r="AG38" s="181"/>
      <c r="AH38" s="181"/>
      <c r="AI38" s="181"/>
      <c r="AJ38" s="181"/>
      <c r="AK38" s="181"/>
      <c r="AL38" s="181"/>
      <c r="AM38" s="181"/>
      <c r="AN38" s="181"/>
      <c r="AO38" s="181"/>
    </row>
    <row r="39" spans="1:41" s="184" customFormat="1" ht="16" customHeight="1">
      <c r="A39" s="325"/>
      <c r="B39" s="115"/>
      <c r="C39" s="116"/>
      <c r="D39" s="117" t="s">
        <v>567</v>
      </c>
      <c r="E39" s="118">
        <f>SUM(E29:E38)</f>
        <v>56</v>
      </c>
      <c r="F39" s="118">
        <f t="shared" ref="F39:G39" si="3">SUM(F29:F38)</f>
        <v>170</v>
      </c>
      <c r="G39" s="118">
        <f t="shared" si="3"/>
        <v>7885</v>
      </c>
      <c r="H39" s="119"/>
      <c r="I39" s="120"/>
      <c r="J39" s="119"/>
      <c r="K39" s="119"/>
      <c r="L39" s="121"/>
      <c r="M39" s="119"/>
      <c r="N39" s="181"/>
      <c r="O39" s="181"/>
      <c r="P39" s="181"/>
      <c r="Q39" s="181"/>
      <c r="R39" s="181"/>
      <c r="S39" s="181"/>
      <c r="T39" s="181"/>
      <c r="U39" s="181"/>
      <c r="V39" s="181"/>
      <c r="W39" s="181"/>
      <c r="X39" s="181"/>
      <c r="Y39" s="181"/>
      <c r="Z39" s="181"/>
      <c r="AA39" s="181"/>
      <c r="AB39" s="181"/>
      <c r="AC39" s="181"/>
      <c r="AD39" s="181"/>
      <c r="AE39" s="181"/>
      <c r="AF39" s="181"/>
      <c r="AG39" s="181"/>
      <c r="AH39" s="181"/>
      <c r="AI39" s="181"/>
      <c r="AJ39" s="181"/>
      <c r="AK39" s="181"/>
      <c r="AL39" s="181"/>
      <c r="AM39" s="181"/>
      <c r="AN39" s="181"/>
      <c r="AO39" s="181"/>
    </row>
    <row r="40" spans="1:41" s="184" customFormat="1" ht="16" customHeight="1">
      <c r="A40" s="325"/>
      <c r="B40" s="151" t="s">
        <v>866</v>
      </c>
      <c r="C40" s="104"/>
      <c r="D40" s="104"/>
      <c r="E40" s="104"/>
      <c r="F40" s="104"/>
      <c r="G40" s="104"/>
      <c r="H40" s="104"/>
      <c r="I40" s="104"/>
      <c r="J40" s="105"/>
      <c r="K40" s="105"/>
      <c r="L40" s="122"/>
      <c r="M40" s="106"/>
      <c r="N40" s="181"/>
      <c r="O40" s="181"/>
      <c r="P40" s="181"/>
      <c r="Q40" s="181"/>
      <c r="R40" s="181"/>
      <c r="S40" s="181"/>
      <c r="T40" s="181"/>
      <c r="U40" s="181"/>
      <c r="V40" s="181"/>
      <c r="W40" s="181"/>
      <c r="X40" s="181"/>
      <c r="Y40" s="181"/>
      <c r="Z40" s="181"/>
      <c r="AA40" s="181"/>
      <c r="AB40" s="181"/>
      <c r="AC40" s="181"/>
      <c r="AD40" s="181"/>
      <c r="AE40" s="181"/>
      <c r="AF40" s="181"/>
      <c r="AG40" s="181"/>
      <c r="AH40" s="181"/>
      <c r="AI40" s="181"/>
      <c r="AJ40" s="181"/>
      <c r="AK40" s="181"/>
      <c r="AL40" s="181"/>
      <c r="AM40" s="181"/>
      <c r="AN40" s="181"/>
      <c r="AO40" s="181"/>
    </row>
    <row r="41" spans="1:41" s="184" customFormat="1" ht="16" customHeight="1">
      <c r="A41" s="325"/>
      <c r="B41" s="111" t="str">
        <f>'Deploy Parameters'!F106</f>
        <v>vra01svr01a</v>
      </c>
      <c r="C41" s="108" t="s">
        <v>134</v>
      </c>
      <c r="D41" s="111" t="s">
        <v>53</v>
      </c>
      <c r="E41" s="110">
        <v>4</v>
      </c>
      <c r="F41" s="110">
        <v>18</v>
      </c>
      <c r="G41" s="110">
        <v>140</v>
      </c>
      <c r="H41" s="110">
        <f t="shared" ref="H41:H51" si="4">F41*I41</f>
        <v>0</v>
      </c>
      <c r="I41" s="112"/>
      <c r="J41" s="110" t="s">
        <v>54</v>
      </c>
      <c r="K41" s="110" t="s">
        <v>54</v>
      </c>
      <c r="L41" s="114">
        <v>7.5</v>
      </c>
      <c r="M41" s="335"/>
      <c r="N41" s="181"/>
      <c r="O41" s="181"/>
      <c r="P41" s="181"/>
      <c r="Q41" s="181"/>
      <c r="R41" s="181"/>
      <c r="S41" s="181"/>
      <c r="T41" s="181"/>
      <c r="U41" s="181"/>
      <c r="V41" s="181"/>
      <c r="W41" s="181"/>
      <c r="X41" s="181"/>
      <c r="Y41" s="181"/>
      <c r="Z41" s="181"/>
      <c r="AA41" s="181"/>
      <c r="AB41" s="181"/>
      <c r="AC41" s="181"/>
      <c r="AD41" s="181"/>
      <c r="AE41" s="181"/>
      <c r="AF41" s="181"/>
      <c r="AG41" s="181"/>
      <c r="AH41" s="181"/>
      <c r="AI41" s="181"/>
      <c r="AJ41" s="181"/>
      <c r="AK41" s="181"/>
      <c r="AL41" s="181"/>
      <c r="AM41" s="181"/>
      <c r="AN41" s="181"/>
      <c r="AO41" s="181"/>
    </row>
    <row r="42" spans="1:41" s="184" customFormat="1" ht="16" customHeight="1">
      <c r="A42" s="325"/>
      <c r="B42" s="111" t="str">
        <f>'Deploy Parameters'!F107</f>
        <v>vra01svr01b</v>
      </c>
      <c r="C42" s="108" t="s">
        <v>135</v>
      </c>
      <c r="D42" s="111" t="s">
        <v>53</v>
      </c>
      <c r="E42" s="110">
        <v>4</v>
      </c>
      <c r="F42" s="110">
        <v>18</v>
      </c>
      <c r="G42" s="110">
        <v>140</v>
      </c>
      <c r="H42" s="110">
        <f t="shared" si="4"/>
        <v>0</v>
      </c>
      <c r="I42" s="112"/>
      <c r="J42" s="110" t="s">
        <v>54</v>
      </c>
      <c r="K42" s="110" t="s">
        <v>54</v>
      </c>
      <c r="L42" s="114">
        <v>7.5</v>
      </c>
      <c r="M42" s="345"/>
      <c r="N42" s="181"/>
      <c r="O42" s="181"/>
      <c r="P42" s="181"/>
      <c r="Q42" s="181"/>
      <c r="R42" s="181"/>
      <c r="S42" s="181"/>
      <c r="T42" s="181"/>
      <c r="U42" s="181"/>
      <c r="V42" s="181"/>
      <c r="W42" s="181"/>
      <c r="X42" s="181"/>
      <c r="Y42" s="181"/>
      <c r="Z42" s="181"/>
      <c r="AA42" s="181"/>
      <c r="AB42" s="181"/>
      <c r="AC42" s="181"/>
      <c r="AD42" s="181"/>
      <c r="AE42" s="181"/>
      <c r="AF42" s="181"/>
      <c r="AG42" s="181"/>
      <c r="AH42" s="181"/>
      <c r="AI42" s="181"/>
      <c r="AJ42" s="181"/>
      <c r="AK42" s="181"/>
      <c r="AL42" s="181"/>
      <c r="AM42" s="181"/>
      <c r="AN42" s="181"/>
      <c r="AO42" s="181"/>
    </row>
    <row r="43" spans="1:41" s="184" customFormat="1" ht="16" customHeight="1">
      <c r="A43" s="325"/>
      <c r="B43" s="111" t="str">
        <f>'Deploy Parameters'!F108</f>
        <v>vra01svr01c</v>
      </c>
      <c r="C43" s="108" t="s">
        <v>1010</v>
      </c>
      <c r="D43" s="111" t="s">
        <v>53</v>
      </c>
      <c r="E43" s="110">
        <v>4</v>
      </c>
      <c r="F43" s="110">
        <v>18</v>
      </c>
      <c r="G43" s="110">
        <v>140</v>
      </c>
      <c r="H43" s="110">
        <f t="shared" ref="H43" si="5">F43*I43</f>
        <v>0</v>
      </c>
      <c r="I43" s="112"/>
      <c r="J43" s="110" t="s">
        <v>54</v>
      </c>
      <c r="K43" s="110" t="s">
        <v>54</v>
      </c>
      <c r="L43" s="114">
        <v>7.5</v>
      </c>
      <c r="M43" s="345"/>
      <c r="N43" s="181"/>
      <c r="O43" s="181"/>
      <c r="P43" s="181"/>
      <c r="Q43" s="181"/>
      <c r="R43" s="181"/>
      <c r="S43" s="181"/>
      <c r="T43" s="181"/>
      <c r="U43" s="181"/>
      <c r="V43" s="181"/>
      <c r="W43" s="181"/>
      <c r="X43" s="181"/>
      <c r="Y43" s="181"/>
      <c r="Z43" s="181"/>
      <c r="AA43" s="181"/>
      <c r="AB43" s="181"/>
      <c r="AC43" s="181"/>
      <c r="AD43" s="181"/>
      <c r="AE43" s="181"/>
      <c r="AF43" s="181"/>
      <c r="AG43" s="181"/>
      <c r="AH43" s="181"/>
      <c r="AI43" s="181"/>
      <c r="AJ43" s="181"/>
      <c r="AK43" s="181"/>
      <c r="AL43" s="181"/>
      <c r="AM43" s="181"/>
      <c r="AN43" s="181"/>
      <c r="AO43" s="181"/>
    </row>
    <row r="44" spans="1:41" s="184" customFormat="1" ht="16" customHeight="1">
      <c r="A44" s="325"/>
      <c r="B44" s="111" t="str">
        <f>'Deploy Parameters'!F109</f>
        <v>vra01iws01a</v>
      </c>
      <c r="C44" s="108" t="s">
        <v>136</v>
      </c>
      <c r="D44" s="111" t="s">
        <v>1189</v>
      </c>
      <c r="E44" s="110">
        <v>2</v>
      </c>
      <c r="F44" s="110">
        <v>8</v>
      </c>
      <c r="G44" s="110">
        <v>60</v>
      </c>
      <c r="H44" s="110">
        <f t="shared" si="4"/>
        <v>0</v>
      </c>
      <c r="I44" s="112"/>
      <c r="J44" s="110" t="s">
        <v>54</v>
      </c>
      <c r="K44" s="110" t="s">
        <v>54</v>
      </c>
      <c r="L44" s="114" t="s">
        <v>55</v>
      </c>
      <c r="M44" s="345"/>
      <c r="N44" s="181"/>
      <c r="O44" s="181"/>
      <c r="P44" s="181"/>
      <c r="Q44" s="181"/>
      <c r="R44" s="181"/>
      <c r="S44" s="181"/>
      <c r="T44" s="181"/>
      <c r="U44" s="181"/>
      <c r="V44" s="181"/>
      <c r="W44" s="181"/>
      <c r="X44" s="181"/>
      <c r="Y44" s="181"/>
      <c r="Z44" s="181"/>
      <c r="AA44" s="181"/>
      <c r="AB44" s="181"/>
      <c r="AC44" s="181"/>
      <c r="AD44" s="181"/>
      <c r="AE44" s="181"/>
      <c r="AF44" s="181"/>
      <c r="AG44" s="181"/>
      <c r="AH44" s="181"/>
      <c r="AI44" s="181"/>
      <c r="AJ44" s="181"/>
      <c r="AK44" s="181"/>
      <c r="AL44" s="181"/>
      <c r="AM44" s="181"/>
      <c r="AN44" s="181"/>
      <c r="AO44" s="181"/>
    </row>
    <row r="45" spans="1:41" s="184" customFormat="1" ht="16" customHeight="1">
      <c r="A45" s="325"/>
      <c r="B45" s="111" t="str">
        <f>'Deploy Parameters'!F110</f>
        <v>vra01iws01b</v>
      </c>
      <c r="C45" s="108" t="s">
        <v>244</v>
      </c>
      <c r="D45" s="111" t="s">
        <v>1189</v>
      </c>
      <c r="E45" s="110">
        <v>2</v>
      </c>
      <c r="F45" s="110">
        <v>8</v>
      </c>
      <c r="G45" s="110">
        <v>60</v>
      </c>
      <c r="H45" s="110">
        <f t="shared" si="4"/>
        <v>0</v>
      </c>
      <c r="I45" s="112"/>
      <c r="J45" s="110" t="s">
        <v>54</v>
      </c>
      <c r="K45" s="110" t="s">
        <v>54</v>
      </c>
      <c r="L45" s="114" t="s">
        <v>55</v>
      </c>
      <c r="M45" s="345"/>
      <c r="N45" s="181"/>
      <c r="O45" s="181"/>
      <c r="P45" s="181"/>
      <c r="Q45" s="181"/>
      <c r="R45" s="181"/>
      <c r="S45" s="181"/>
      <c r="T45" s="181"/>
      <c r="U45" s="181"/>
      <c r="V45" s="181"/>
      <c r="W45" s="181"/>
      <c r="X45" s="181"/>
      <c r="Y45" s="181"/>
      <c r="Z45" s="181"/>
      <c r="AA45" s="181"/>
      <c r="AB45" s="181"/>
      <c r="AC45" s="181"/>
      <c r="AD45" s="181"/>
      <c r="AE45" s="181"/>
      <c r="AF45" s="181"/>
      <c r="AG45" s="181"/>
      <c r="AH45" s="181"/>
      <c r="AI45" s="181"/>
      <c r="AJ45" s="181"/>
      <c r="AK45" s="181"/>
      <c r="AL45" s="181"/>
      <c r="AM45" s="181"/>
      <c r="AN45" s="181"/>
      <c r="AO45" s="181"/>
    </row>
    <row r="46" spans="1:41" s="184" customFormat="1" ht="16" customHeight="1">
      <c r="A46" s="325"/>
      <c r="B46" s="111" t="str">
        <f>'Deploy Parameters'!F111</f>
        <v>vra01ims01a</v>
      </c>
      <c r="C46" s="108" t="s">
        <v>137</v>
      </c>
      <c r="D46" s="111" t="s">
        <v>1189</v>
      </c>
      <c r="E46" s="110">
        <v>2</v>
      </c>
      <c r="F46" s="110">
        <v>8</v>
      </c>
      <c r="G46" s="110">
        <v>60</v>
      </c>
      <c r="H46" s="110">
        <f t="shared" si="4"/>
        <v>0</v>
      </c>
      <c r="I46" s="112"/>
      <c r="J46" s="110" t="s">
        <v>54</v>
      </c>
      <c r="K46" s="110" t="s">
        <v>54</v>
      </c>
      <c r="L46" s="114" t="s">
        <v>55</v>
      </c>
      <c r="M46" s="345"/>
      <c r="N46" s="181"/>
      <c r="O46" s="181"/>
      <c r="P46" s="181"/>
      <c r="Q46" s="181"/>
      <c r="R46" s="181"/>
      <c r="S46" s="181"/>
      <c r="T46" s="181"/>
      <c r="U46" s="181"/>
      <c r="V46" s="181"/>
      <c r="W46" s="181"/>
      <c r="X46" s="181"/>
      <c r="Y46" s="181"/>
      <c r="Z46" s="181"/>
      <c r="AA46" s="181"/>
      <c r="AB46" s="181"/>
      <c r="AC46" s="181"/>
      <c r="AD46" s="181"/>
      <c r="AE46" s="181"/>
      <c r="AF46" s="181"/>
      <c r="AG46" s="181"/>
      <c r="AH46" s="181"/>
      <c r="AI46" s="181"/>
      <c r="AJ46" s="181"/>
      <c r="AK46" s="181"/>
      <c r="AL46" s="181"/>
      <c r="AM46" s="181"/>
      <c r="AN46" s="181"/>
      <c r="AO46" s="181"/>
    </row>
    <row r="47" spans="1:41" s="184" customFormat="1" ht="16" customHeight="1">
      <c r="A47" s="325"/>
      <c r="B47" s="111" t="str">
        <f>'Deploy Parameters'!F112</f>
        <v>vra01ims01b</v>
      </c>
      <c r="C47" s="108" t="s">
        <v>138</v>
      </c>
      <c r="D47" s="111" t="s">
        <v>1189</v>
      </c>
      <c r="E47" s="110">
        <v>2</v>
      </c>
      <c r="F47" s="110">
        <v>8</v>
      </c>
      <c r="G47" s="110">
        <v>60</v>
      </c>
      <c r="H47" s="110">
        <f t="shared" si="4"/>
        <v>0</v>
      </c>
      <c r="I47" s="112"/>
      <c r="J47" s="110" t="s">
        <v>54</v>
      </c>
      <c r="K47" s="110" t="s">
        <v>54</v>
      </c>
      <c r="L47" s="114" t="s">
        <v>55</v>
      </c>
      <c r="M47" s="345"/>
      <c r="N47" s="181"/>
      <c r="O47" s="181"/>
      <c r="P47" s="181"/>
      <c r="Q47" s="181"/>
      <c r="R47" s="181"/>
      <c r="S47" s="181"/>
      <c r="T47" s="181"/>
      <c r="U47" s="181"/>
      <c r="V47" s="181"/>
      <c r="W47" s="181"/>
      <c r="X47" s="181"/>
      <c r="Y47" s="181"/>
      <c r="Z47" s="181"/>
      <c r="AA47" s="181"/>
      <c r="AB47" s="181"/>
      <c r="AC47" s="181"/>
      <c r="AD47" s="181"/>
      <c r="AE47" s="181"/>
      <c r="AF47" s="181"/>
      <c r="AG47" s="181"/>
      <c r="AH47" s="181"/>
      <c r="AI47" s="181"/>
      <c r="AJ47" s="181"/>
      <c r="AK47" s="181"/>
      <c r="AL47" s="181"/>
      <c r="AM47" s="181"/>
      <c r="AN47" s="181"/>
      <c r="AO47" s="181"/>
    </row>
    <row r="48" spans="1:41" s="184" customFormat="1" ht="16" customHeight="1">
      <c r="A48" s="325"/>
      <c r="B48" s="111" t="str">
        <f>'Deploy Parameters'!F113</f>
        <v>vra01dem01a</v>
      </c>
      <c r="C48" s="108" t="s">
        <v>245</v>
      </c>
      <c r="D48" s="111" t="s">
        <v>1189</v>
      </c>
      <c r="E48" s="110">
        <v>4</v>
      </c>
      <c r="F48" s="110">
        <v>8</v>
      </c>
      <c r="G48" s="110">
        <v>60</v>
      </c>
      <c r="H48" s="110">
        <f t="shared" si="4"/>
        <v>0</v>
      </c>
      <c r="I48" s="112"/>
      <c r="J48" s="110" t="s">
        <v>54</v>
      </c>
      <c r="K48" s="110" t="s">
        <v>54</v>
      </c>
      <c r="L48" s="114" t="s">
        <v>55</v>
      </c>
      <c r="M48" s="345"/>
      <c r="N48" s="181"/>
      <c r="O48" s="181"/>
      <c r="P48" s="181"/>
      <c r="Q48" s="181"/>
      <c r="R48" s="181"/>
      <c r="S48" s="181"/>
      <c r="T48" s="181"/>
      <c r="U48" s="181"/>
      <c r="V48" s="181"/>
      <c r="W48" s="181"/>
      <c r="X48" s="181"/>
      <c r="Y48" s="181"/>
      <c r="Z48" s="181"/>
      <c r="AA48" s="181"/>
      <c r="AB48" s="181"/>
      <c r="AC48" s="181"/>
      <c r="AD48" s="181"/>
      <c r="AE48" s="181"/>
      <c r="AF48" s="181"/>
      <c r="AG48" s="181"/>
      <c r="AH48" s="181"/>
      <c r="AI48" s="181"/>
      <c r="AJ48" s="181"/>
      <c r="AK48" s="181"/>
      <c r="AL48" s="181"/>
      <c r="AM48" s="181"/>
      <c r="AN48" s="181"/>
      <c r="AO48" s="181"/>
    </row>
    <row r="49" spans="1:41" s="184" customFormat="1" ht="16" customHeight="1">
      <c r="A49" s="325"/>
      <c r="B49" s="111" t="str">
        <f>'Deploy Parameters'!F114</f>
        <v>vra01dem01b</v>
      </c>
      <c r="C49" s="108" t="s">
        <v>139</v>
      </c>
      <c r="D49" s="111" t="s">
        <v>1189</v>
      </c>
      <c r="E49" s="110">
        <v>4</v>
      </c>
      <c r="F49" s="110">
        <v>8</v>
      </c>
      <c r="G49" s="110">
        <v>60</v>
      </c>
      <c r="H49" s="110">
        <f t="shared" si="4"/>
        <v>0</v>
      </c>
      <c r="I49" s="112"/>
      <c r="J49" s="110" t="s">
        <v>54</v>
      </c>
      <c r="K49" s="110" t="s">
        <v>54</v>
      </c>
      <c r="L49" s="114" t="s">
        <v>55</v>
      </c>
      <c r="M49" s="345"/>
      <c r="N49" s="181"/>
      <c r="O49" s="181"/>
      <c r="P49" s="181"/>
      <c r="Q49" s="181"/>
      <c r="R49" s="181"/>
      <c r="S49" s="181"/>
      <c r="T49" s="181"/>
      <c r="U49" s="181"/>
      <c r="V49" s="181"/>
      <c r="W49" s="181"/>
      <c r="X49" s="181"/>
      <c r="Y49" s="181"/>
      <c r="Z49" s="181"/>
      <c r="AA49" s="181"/>
      <c r="AB49" s="181"/>
      <c r="AC49" s="181"/>
      <c r="AD49" s="181"/>
      <c r="AE49" s="181"/>
      <c r="AF49" s="181"/>
      <c r="AG49" s="181"/>
      <c r="AH49" s="181"/>
      <c r="AI49" s="181"/>
      <c r="AJ49" s="181"/>
      <c r="AK49" s="181"/>
      <c r="AL49" s="181"/>
      <c r="AM49" s="181"/>
      <c r="AN49" s="181"/>
      <c r="AO49" s="181"/>
    </row>
    <row r="50" spans="1:41" s="184" customFormat="1" ht="16" customHeight="1">
      <c r="A50" s="325"/>
      <c r="B50" s="111" t="str">
        <f>'Deploy Parameters'!J106</f>
        <v>sfo01ias01a</v>
      </c>
      <c r="C50" s="108" t="s">
        <v>152</v>
      </c>
      <c r="D50" s="111" t="s">
        <v>1189</v>
      </c>
      <c r="E50" s="110">
        <v>2</v>
      </c>
      <c r="F50" s="110">
        <v>8</v>
      </c>
      <c r="G50" s="110">
        <v>60</v>
      </c>
      <c r="H50" s="110">
        <f t="shared" si="4"/>
        <v>0</v>
      </c>
      <c r="I50" s="112"/>
      <c r="J50" s="110"/>
      <c r="K50" s="110" t="s">
        <v>54</v>
      </c>
      <c r="L50" s="114" t="s">
        <v>55</v>
      </c>
      <c r="M50" s="345"/>
      <c r="N50" s="181"/>
      <c r="O50" s="181"/>
      <c r="P50" s="181"/>
      <c r="Q50" s="181"/>
      <c r="R50" s="181"/>
      <c r="S50" s="181"/>
      <c r="T50" s="181"/>
      <c r="U50" s="181"/>
      <c r="V50" s="181"/>
      <c r="W50" s="181"/>
      <c r="X50" s="181"/>
      <c r="Y50" s="181"/>
      <c r="Z50" s="181"/>
      <c r="AA50" s="181"/>
      <c r="AB50" s="181"/>
      <c r="AC50" s="181"/>
      <c r="AD50" s="181"/>
      <c r="AE50" s="181"/>
      <c r="AF50" s="181"/>
      <c r="AG50" s="181"/>
      <c r="AH50" s="181"/>
      <c r="AI50" s="181"/>
      <c r="AJ50" s="181"/>
      <c r="AK50" s="181"/>
      <c r="AL50" s="181"/>
      <c r="AM50" s="181"/>
      <c r="AN50" s="181"/>
      <c r="AO50" s="181"/>
    </row>
    <row r="51" spans="1:41" s="184" customFormat="1" ht="16" customHeight="1">
      <c r="A51" s="325"/>
      <c r="B51" s="111" t="str">
        <f>'Deploy Parameters'!J107</f>
        <v>sfo01ias01b</v>
      </c>
      <c r="C51" s="108" t="s">
        <v>153</v>
      </c>
      <c r="D51" s="111" t="s">
        <v>1189</v>
      </c>
      <c r="E51" s="110">
        <v>2</v>
      </c>
      <c r="F51" s="110">
        <v>8</v>
      </c>
      <c r="G51" s="110">
        <v>60</v>
      </c>
      <c r="H51" s="110">
        <f t="shared" si="4"/>
        <v>0</v>
      </c>
      <c r="I51" s="112"/>
      <c r="J51" s="110"/>
      <c r="K51" s="110" t="s">
        <v>54</v>
      </c>
      <c r="L51" s="114" t="s">
        <v>55</v>
      </c>
      <c r="M51" s="336"/>
      <c r="N51" s="181"/>
      <c r="O51" s="181"/>
      <c r="P51" s="181"/>
      <c r="Q51" s="181"/>
      <c r="R51" s="181"/>
      <c r="S51" s="181"/>
      <c r="T51" s="181"/>
      <c r="U51" s="181"/>
      <c r="V51" s="181"/>
      <c r="W51" s="181"/>
      <c r="X51" s="181"/>
      <c r="Y51" s="181"/>
      <c r="Z51" s="181"/>
      <c r="AA51" s="181"/>
      <c r="AB51" s="181"/>
      <c r="AC51" s="181"/>
      <c r="AD51" s="181"/>
      <c r="AE51" s="181"/>
      <c r="AF51" s="181"/>
      <c r="AG51" s="181"/>
      <c r="AH51" s="181"/>
      <c r="AI51" s="181"/>
      <c r="AJ51" s="181"/>
      <c r="AK51" s="181"/>
      <c r="AL51" s="181"/>
      <c r="AM51" s="181"/>
      <c r="AN51" s="181"/>
      <c r="AO51" s="181"/>
    </row>
    <row r="52" spans="1:41" s="184" customFormat="1" ht="16" customHeight="1">
      <c r="A52" s="325"/>
      <c r="B52" s="111" t="str">
        <f>'Deploy Parameters'!F122</f>
        <v>vrb01svr01</v>
      </c>
      <c r="C52" s="108" t="s">
        <v>592</v>
      </c>
      <c r="D52" s="111" t="s">
        <v>53</v>
      </c>
      <c r="E52" s="110">
        <v>4</v>
      </c>
      <c r="F52" s="110">
        <v>8</v>
      </c>
      <c r="G52" s="110">
        <v>50</v>
      </c>
      <c r="H52" s="110"/>
      <c r="I52" s="112"/>
      <c r="J52" s="110" t="s">
        <v>54</v>
      </c>
      <c r="K52" s="110" t="s">
        <v>54</v>
      </c>
      <c r="L52" s="114">
        <v>7.5</v>
      </c>
      <c r="M52" s="335"/>
      <c r="N52" s="181"/>
      <c r="O52" s="181"/>
      <c r="P52" s="181"/>
      <c r="Q52" s="181"/>
      <c r="R52" s="181"/>
      <c r="S52" s="181"/>
      <c r="T52" s="181"/>
      <c r="U52" s="181"/>
      <c r="V52" s="181"/>
      <c r="W52" s="181"/>
      <c r="X52" s="181"/>
      <c r="Y52" s="181"/>
      <c r="Z52" s="181"/>
      <c r="AA52" s="181"/>
      <c r="AB52" s="181"/>
      <c r="AC52" s="181"/>
      <c r="AD52" s="181"/>
      <c r="AE52" s="181"/>
      <c r="AF52" s="181"/>
      <c r="AG52" s="181"/>
      <c r="AH52" s="181"/>
      <c r="AI52" s="181"/>
      <c r="AJ52" s="181"/>
      <c r="AK52" s="181"/>
      <c r="AL52" s="181"/>
      <c r="AM52" s="181"/>
      <c r="AN52" s="181"/>
      <c r="AO52" s="181"/>
    </row>
    <row r="53" spans="1:41" s="184" customFormat="1" ht="16" customHeight="1">
      <c r="A53" s="325"/>
      <c r="B53" s="111" t="str">
        <f>'Deploy Parameters'!J122</f>
        <v>sfo01vrbc01</v>
      </c>
      <c r="C53" s="108" t="s">
        <v>1198</v>
      </c>
      <c r="D53" s="111" t="s">
        <v>53</v>
      </c>
      <c r="E53" s="110">
        <v>4</v>
      </c>
      <c r="F53" s="110">
        <v>2</v>
      </c>
      <c r="G53" s="110">
        <v>50</v>
      </c>
      <c r="H53" s="110"/>
      <c r="I53" s="112"/>
      <c r="J53" s="110"/>
      <c r="K53" s="110" t="s">
        <v>54</v>
      </c>
      <c r="L53" s="114">
        <v>7.5</v>
      </c>
      <c r="M53" s="336"/>
      <c r="N53" s="181"/>
      <c r="O53" s="181"/>
      <c r="P53" s="181"/>
      <c r="Q53" s="181"/>
      <c r="R53" s="181"/>
      <c r="S53" s="181"/>
      <c r="T53" s="181"/>
      <c r="U53" s="181"/>
      <c r="V53" s="181"/>
      <c r="W53" s="181"/>
      <c r="X53" s="181"/>
      <c r="Y53" s="181"/>
      <c r="Z53" s="181"/>
      <c r="AA53" s="181"/>
      <c r="AB53" s="181"/>
      <c r="AC53" s="181"/>
      <c r="AD53" s="181"/>
      <c r="AE53" s="181"/>
      <c r="AF53" s="181"/>
      <c r="AG53" s="181"/>
      <c r="AH53" s="181"/>
      <c r="AI53" s="181"/>
      <c r="AJ53" s="181"/>
      <c r="AK53" s="181"/>
      <c r="AL53" s="181"/>
      <c r="AM53" s="181"/>
      <c r="AN53" s="181"/>
      <c r="AO53" s="181"/>
    </row>
    <row r="54" spans="1:41" s="184" customFormat="1" ht="16" customHeight="1">
      <c r="A54" s="325"/>
      <c r="B54" s="111" t="str">
        <f>'Deploy Parameters'!F115</f>
        <v>vra01mssql01</v>
      </c>
      <c r="C54" s="108" t="s">
        <v>1200</v>
      </c>
      <c r="D54" s="111" t="s">
        <v>1189</v>
      </c>
      <c r="E54" s="110">
        <v>8</v>
      </c>
      <c r="F54" s="110">
        <v>16</v>
      </c>
      <c r="G54" s="110">
        <v>80</v>
      </c>
      <c r="H54" s="110">
        <f>F54*I54</f>
        <v>0</v>
      </c>
      <c r="I54" s="112"/>
      <c r="J54" s="110" t="s">
        <v>54</v>
      </c>
      <c r="K54" s="110" t="s">
        <v>54</v>
      </c>
      <c r="L54" s="114" t="s">
        <v>55</v>
      </c>
      <c r="M54" s="113"/>
      <c r="N54" s="181"/>
      <c r="O54" s="181"/>
      <c r="P54" s="181"/>
      <c r="Q54" s="181"/>
      <c r="R54" s="181"/>
      <c r="S54" s="181"/>
      <c r="T54" s="181"/>
      <c r="U54" s="181"/>
      <c r="V54" s="181"/>
      <c r="W54" s="181"/>
      <c r="X54" s="181"/>
      <c r="Y54" s="181"/>
      <c r="Z54" s="181"/>
      <c r="AA54" s="181"/>
      <c r="AB54" s="181"/>
      <c r="AC54" s="181"/>
      <c r="AD54" s="181"/>
      <c r="AE54" s="181"/>
      <c r="AF54" s="181"/>
      <c r="AG54" s="181"/>
      <c r="AH54" s="181"/>
      <c r="AI54" s="181"/>
      <c r="AJ54" s="181"/>
      <c r="AK54" s="181"/>
      <c r="AL54" s="181"/>
      <c r="AM54" s="181"/>
      <c r="AN54" s="181"/>
      <c r="AO54" s="181"/>
    </row>
    <row r="55" spans="1:41" s="184" customFormat="1" ht="16" customHeight="1">
      <c r="A55" s="325"/>
      <c r="B55" s="115"/>
      <c r="C55" s="116"/>
      <c r="D55" s="117" t="s">
        <v>1201</v>
      </c>
      <c r="E55" s="123">
        <f>SUM(E41:E54)</f>
        <v>48</v>
      </c>
      <c r="F55" s="123">
        <f t="shared" ref="F55:G55" si="6">SUM(F41:F54)</f>
        <v>144</v>
      </c>
      <c r="G55" s="123">
        <f t="shared" si="6"/>
        <v>1080</v>
      </c>
      <c r="H55" s="119"/>
      <c r="I55" s="119"/>
      <c r="J55" s="119"/>
      <c r="K55" s="119"/>
      <c r="L55" s="121"/>
      <c r="M55" s="119"/>
      <c r="N55" s="181"/>
      <c r="O55" s="181"/>
      <c r="P55" s="181"/>
      <c r="Q55" s="181"/>
      <c r="R55" s="181"/>
      <c r="S55" s="181"/>
      <c r="T55" s="181"/>
      <c r="U55" s="181"/>
      <c r="V55" s="181"/>
      <c r="W55" s="181"/>
      <c r="X55" s="181"/>
      <c r="Y55" s="181"/>
      <c r="Z55" s="181"/>
      <c r="AA55" s="181"/>
      <c r="AB55" s="181"/>
      <c r="AC55" s="181"/>
      <c r="AD55" s="181"/>
      <c r="AE55" s="181"/>
      <c r="AF55" s="181"/>
      <c r="AG55" s="181"/>
      <c r="AH55" s="181"/>
      <c r="AI55" s="181"/>
      <c r="AJ55" s="181"/>
      <c r="AK55" s="181"/>
      <c r="AL55" s="181"/>
      <c r="AM55" s="181"/>
      <c r="AN55" s="181"/>
      <c r="AO55" s="181"/>
    </row>
    <row r="56" spans="1:41" s="184" customFormat="1" ht="16" customHeight="1">
      <c r="A56" s="325"/>
      <c r="B56" s="151" t="s">
        <v>873</v>
      </c>
      <c r="C56" s="104"/>
      <c r="D56" s="104"/>
      <c r="E56" s="104"/>
      <c r="F56" s="104"/>
      <c r="G56" s="104"/>
      <c r="H56" s="104"/>
      <c r="I56" s="104"/>
      <c r="J56" s="105"/>
      <c r="K56" s="105"/>
      <c r="L56" s="122"/>
      <c r="M56" s="106"/>
      <c r="N56" s="181"/>
      <c r="O56" s="181"/>
      <c r="P56" s="181"/>
      <c r="Q56" s="181"/>
      <c r="R56" s="181"/>
      <c r="S56" s="181"/>
      <c r="T56" s="181"/>
      <c r="U56" s="181"/>
      <c r="V56" s="181"/>
      <c r="W56" s="181"/>
      <c r="X56" s="181"/>
      <c r="Y56" s="181"/>
      <c r="Z56" s="181"/>
      <c r="AA56" s="181"/>
      <c r="AB56" s="181"/>
      <c r="AC56" s="181"/>
      <c r="AD56" s="181"/>
      <c r="AE56" s="181"/>
      <c r="AF56" s="181"/>
      <c r="AG56" s="181"/>
      <c r="AH56" s="181"/>
      <c r="AI56" s="181"/>
      <c r="AJ56" s="181"/>
      <c r="AK56" s="181"/>
      <c r="AL56" s="181"/>
      <c r="AM56" s="181"/>
      <c r="AN56" s="181"/>
      <c r="AO56" s="181"/>
    </row>
    <row r="57" spans="1:41" s="184" customFormat="1" ht="16" customHeight="1">
      <c r="A57" s="325"/>
      <c r="B57" s="111" t="str">
        <f>'Deploy Parameters'!F154</f>
        <v>sfo01m01srm01</v>
      </c>
      <c r="C57" s="108" t="s">
        <v>457</v>
      </c>
      <c r="D57" s="111" t="s">
        <v>1189</v>
      </c>
      <c r="E57" s="110">
        <v>2</v>
      </c>
      <c r="F57" s="110">
        <v>4</v>
      </c>
      <c r="G57" s="110">
        <v>40</v>
      </c>
      <c r="H57" s="110">
        <f>F57*I57</f>
        <v>0</v>
      </c>
      <c r="I57" s="112"/>
      <c r="J57" s="110"/>
      <c r="K57" s="110" t="s">
        <v>54</v>
      </c>
      <c r="L57" s="114" t="s">
        <v>1190</v>
      </c>
      <c r="M57" s="201"/>
      <c r="N57" s="181"/>
      <c r="O57" s="181"/>
      <c r="P57" s="181"/>
      <c r="Q57" s="181"/>
      <c r="R57" s="181"/>
      <c r="S57" s="181"/>
      <c r="T57" s="181"/>
      <c r="U57" s="181"/>
      <c r="V57" s="181"/>
      <c r="W57" s="181"/>
      <c r="X57" s="181"/>
      <c r="Y57" s="181"/>
      <c r="Z57" s="181"/>
      <c r="AA57" s="181"/>
      <c r="AB57" s="181"/>
      <c r="AC57" s="181"/>
      <c r="AD57" s="181"/>
      <c r="AE57" s="181"/>
      <c r="AF57" s="181"/>
      <c r="AG57" s="181"/>
      <c r="AH57" s="181"/>
      <c r="AI57" s="181"/>
      <c r="AJ57" s="181"/>
      <c r="AK57" s="181"/>
      <c r="AL57" s="181"/>
      <c r="AM57" s="181"/>
      <c r="AN57" s="181"/>
      <c r="AO57" s="181"/>
    </row>
    <row r="58" spans="1:41" s="184" customFormat="1" ht="16" customHeight="1">
      <c r="A58" s="325"/>
      <c r="B58" s="111" t="str">
        <f>'Deploy Parameters'!J154</f>
        <v>sfo01m01vrms01</v>
      </c>
      <c r="C58" s="108" t="s">
        <v>458</v>
      </c>
      <c r="D58" s="111" t="s">
        <v>53</v>
      </c>
      <c r="E58" s="110">
        <v>4</v>
      </c>
      <c r="F58" s="110">
        <v>4</v>
      </c>
      <c r="G58" s="110">
        <v>18</v>
      </c>
      <c r="H58" s="110">
        <f>F58*I58</f>
        <v>0</v>
      </c>
      <c r="I58" s="112"/>
      <c r="J58" s="110"/>
      <c r="K58" s="110" t="s">
        <v>54</v>
      </c>
      <c r="L58" s="114" t="s">
        <v>1190</v>
      </c>
      <c r="M58" s="113"/>
      <c r="N58" s="181"/>
      <c r="O58" s="181"/>
      <c r="P58" s="181"/>
      <c r="Q58" s="181"/>
      <c r="R58" s="181"/>
      <c r="S58" s="181"/>
      <c r="T58" s="181"/>
      <c r="U58" s="181"/>
      <c r="V58" s="181"/>
      <c r="W58" s="181"/>
      <c r="X58" s="181"/>
      <c r="Y58" s="181"/>
      <c r="Z58" s="181"/>
      <c r="AA58" s="181"/>
      <c r="AB58" s="181"/>
      <c r="AC58" s="181"/>
      <c r="AD58" s="181"/>
      <c r="AE58" s="181"/>
      <c r="AF58" s="181"/>
      <c r="AG58" s="181"/>
      <c r="AH58" s="181"/>
      <c r="AI58" s="181"/>
      <c r="AJ58" s="181"/>
      <c r="AK58" s="181"/>
      <c r="AL58" s="181"/>
      <c r="AM58" s="181"/>
      <c r="AN58" s="181"/>
      <c r="AO58" s="181"/>
    </row>
    <row r="59" spans="1:41" s="184" customFormat="1" ht="16" customHeight="1">
      <c r="A59" s="325"/>
      <c r="B59" s="115"/>
      <c r="C59" s="116"/>
      <c r="D59" s="117" t="s">
        <v>867</v>
      </c>
      <c r="E59" s="124">
        <f>SUM(E57:E58)</f>
        <v>6</v>
      </c>
      <c r="F59" s="124">
        <f t="shared" ref="F59:G59" si="7">SUM(F57:F58)</f>
        <v>8</v>
      </c>
      <c r="G59" s="124">
        <f t="shared" si="7"/>
        <v>58</v>
      </c>
      <c r="H59" s="119"/>
      <c r="I59" s="119"/>
      <c r="J59" s="119"/>
      <c r="K59" s="119"/>
      <c r="L59" s="121"/>
      <c r="M59" s="119"/>
      <c r="N59" s="181"/>
      <c r="O59" s="181"/>
      <c r="P59" s="181"/>
      <c r="Q59" s="181"/>
      <c r="R59" s="181"/>
      <c r="S59" s="181"/>
      <c r="T59" s="181"/>
      <c r="U59" s="181"/>
      <c r="V59" s="181"/>
      <c r="W59" s="181"/>
      <c r="X59" s="181"/>
      <c r="Y59" s="181"/>
      <c r="Z59" s="181"/>
      <c r="AA59" s="181"/>
      <c r="AB59" s="181"/>
      <c r="AC59" s="181"/>
      <c r="AD59" s="181"/>
      <c r="AE59" s="181"/>
      <c r="AF59" s="181"/>
      <c r="AG59" s="181"/>
      <c r="AH59" s="181"/>
      <c r="AI59" s="181"/>
      <c r="AJ59" s="181"/>
      <c r="AK59" s="181"/>
      <c r="AL59" s="181"/>
      <c r="AM59" s="181"/>
      <c r="AN59" s="181"/>
      <c r="AO59" s="181"/>
    </row>
    <row r="60" spans="1:41" s="181" customFormat="1" ht="16" customHeight="1">
      <c r="A60" s="325"/>
      <c r="B60" s="125"/>
      <c r="C60" s="125"/>
      <c r="D60" s="126" t="s">
        <v>568</v>
      </c>
      <c r="E60" s="124">
        <f>E27+E39+E55+E59</f>
        <v>170</v>
      </c>
      <c r="F60" s="124">
        <f t="shared" ref="F60:G60" si="8">F27+F39+F55+F59</f>
        <v>429</v>
      </c>
      <c r="G60" s="124">
        <f t="shared" si="8"/>
        <v>10261</v>
      </c>
      <c r="H60" s="125" t="s">
        <v>868</v>
      </c>
      <c r="J60" s="119"/>
      <c r="K60" s="119"/>
      <c r="L60" s="127"/>
      <c r="M60" s="127"/>
    </row>
    <row r="61" spans="1:41" s="181" customFormat="1" ht="16" customHeight="1">
      <c r="A61" s="325"/>
      <c r="G61" s="127"/>
      <c r="I61" s="127"/>
      <c r="L61" s="127"/>
      <c r="M61" s="127"/>
    </row>
    <row r="62" spans="1:41" s="103" customFormat="1" ht="16" customHeight="1">
      <c r="A62" s="102"/>
      <c r="B62" s="346" t="s">
        <v>1192</v>
      </c>
      <c r="C62" s="348"/>
      <c r="D62" s="60"/>
      <c r="E62" s="60"/>
      <c r="F62" s="60"/>
      <c r="G62" s="60"/>
      <c r="H62" s="60"/>
      <c r="I62" s="60"/>
      <c r="J62" s="60"/>
      <c r="K62" s="60"/>
      <c r="L62" s="60"/>
      <c r="M62" s="60"/>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2"/>
      <c r="AK62" s="102"/>
      <c r="AL62" s="102"/>
      <c r="AM62" s="102"/>
      <c r="AN62" s="102"/>
      <c r="AO62" s="102"/>
    </row>
    <row r="63" spans="1:41" s="103" customFormat="1" ht="34" customHeight="1">
      <c r="A63" s="102"/>
      <c r="B63" s="57" t="s">
        <v>44</v>
      </c>
      <c r="C63" s="57" t="s">
        <v>45</v>
      </c>
      <c r="D63" s="57" t="s">
        <v>46</v>
      </c>
      <c r="E63" s="57" t="s">
        <v>47</v>
      </c>
      <c r="F63" s="57" t="s">
        <v>48</v>
      </c>
      <c r="G63" s="57" t="s">
        <v>288</v>
      </c>
      <c r="H63" s="57" t="s">
        <v>50</v>
      </c>
      <c r="I63" s="57" t="s">
        <v>51</v>
      </c>
      <c r="J63" s="57" t="s">
        <v>79</v>
      </c>
      <c r="K63" s="57" t="s">
        <v>869</v>
      </c>
      <c r="L63" s="57" t="s">
        <v>52</v>
      </c>
      <c r="M63" s="57"/>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2"/>
      <c r="AK63" s="102"/>
      <c r="AL63" s="102"/>
      <c r="AM63" s="102"/>
      <c r="AN63" s="102"/>
      <c r="AO63" s="102"/>
    </row>
    <row r="64" spans="1:41" s="184" customFormat="1" ht="16" customHeight="1">
      <c r="A64" s="325"/>
      <c r="B64" s="151" t="s">
        <v>865</v>
      </c>
      <c r="C64" s="104"/>
      <c r="D64" s="104"/>
      <c r="E64" s="104"/>
      <c r="F64" s="104"/>
      <c r="G64" s="104"/>
      <c r="H64" s="104"/>
      <c r="I64" s="104"/>
      <c r="J64" s="105"/>
      <c r="K64" s="105"/>
      <c r="L64" s="106"/>
      <c r="M64" s="106"/>
      <c r="N64" s="181"/>
      <c r="O64" s="181"/>
      <c r="P64" s="181"/>
      <c r="Q64" s="181"/>
      <c r="R64" s="181"/>
      <c r="S64" s="181"/>
      <c r="T64" s="181"/>
      <c r="U64" s="181"/>
      <c r="V64" s="181"/>
      <c r="W64" s="181"/>
      <c r="X64" s="181"/>
      <c r="Y64" s="181"/>
      <c r="Z64" s="181"/>
      <c r="AA64" s="181"/>
      <c r="AB64" s="181"/>
      <c r="AC64" s="181"/>
      <c r="AD64" s="181"/>
      <c r="AE64" s="181"/>
      <c r="AF64" s="181"/>
      <c r="AG64" s="181"/>
      <c r="AH64" s="181"/>
      <c r="AI64" s="181"/>
      <c r="AJ64" s="181"/>
      <c r="AK64" s="181"/>
      <c r="AL64" s="181"/>
      <c r="AM64" s="181"/>
      <c r="AN64" s="181"/>
      <c r="AO64" s="181"/>
    </row>
    <row r="65" spans="1:41" s="184" customFormat="1" ht="16" customHeight="1">
      <c r="A65" s="325"/>
      <c r="B65" s="111" t="s">
        <v>1088</v>
      </c>
      <c r="C65" s="108" t="s">
        <v>412</v>
      </c>
      <c r="D65" s="111" t="s">
        <v>53</v>
      </c>
      <c r="E65" s="110">
        <v>4</v>
      </c>
      <c r="F65" s="110">
        <v>4</v>
      </c>
      <c r="G65" s="110">
        <v>20</v>
      </c>
      <c r="H65" s="110">
        <f t="shared" ref="H65:H71" si="9">F65*I65</f>
        <v>0</v>
      </c>
      <c r="I65" s="112"/>
      <c r="J65" s="110"/>
      <c r="K65" s="110"/>
      <c r="L65" s="110" t="s">
        <v>1188</v>
      </c>
      <c r="M65" s="113"/>
      <c r="N65" s="181"/>
      <c r="O65" s="181"/>
      <c r="P65" s="181"/>
      <c r="Q65" s="181"/>
      <c r="R65" s="181"/>
      <c r="S65" s="181"/>
      <c r="T65" s="181"/>
      <c r="U65" s="181"/>
      <c r="V65" s="181"/>
      <c r="W65" s="181"/>
      <c r="X65" s="181"/>
      <c r="Y65" s="181"/>
      <c r="Z65" s="181"/>
      <c r="AA65" s="181"/>
      <c r="AB65" s="181"/>
      <c r="AC65" s="181"/>
      <c r="AD65" s="181"/>
      <c r="AE65" s="181"/>
      <c r="AF65" s="181"/>
      <c r="AG65" s="181"/>
      <c r="AH65" s="181"/>
      <c r="AI65" s="181"/>
      <c r="AJ65" s="181"/>
      <c r="AK65" s="181"/>
      <c r="AL65" s="181"/>
      <c r="AM65" s="181"/>
      <c r="AN65" s="181"/>
      <c r="AO65" s="181"/>
    </row>
    <row r="66" spans="1:41" s="184" customFormat="1" ht="16" customHeight="1">
      <c r="A66" s="325"/>
      <c r="B66" s="111" t="s">
        <v>1089</v>
      </c>
      <c r="C66" s="108" t="s">
        <v>414</v>
      </c>
      <c r="D66" s="111" t="s">
        <v>53</v>
      </c>
      <c r="E66" s="110">
        <v>4</v>
      </c>
      <c r="F66" s="110">
        <v>4</v>
      </c>
      <c r="G66" s="110">
        <v>20</v>
      </c>
      <c r="H66" s="110">
        <f t="shared" si="9"/>
        <v>0</v>
      </c>
      <c r="I66" s="112"/>
      <c r="J66" s="110"/>
      <c r="K66" s="110"/>
      <c r="L66" s="110" t="s">
        <v>1188</v>
      </c>
      <c r="M66" s="113"/>
      <c r="N66" s="181"/>
      <c r="O66" s="181"/>
      <c r="P66" s="181"/>
      <c r="Q66" s="181"/>
      <c r="R66" s="181"/>
      <c r="S66" s="181"/>
      <c r="T66" s="181"/>
      <c r="U66" s="181"/>
      <c r="V66" s="181"/>
      <c r="W66" s="181"/>
      <c r="X66" s="181"/>
      <c r="Y66" s="181"/>
      <c r="Z66" s="181"/>
      <c r="AA66" s="181"/>
      <c r="AB66" s="181"/>
      <c r="AC66" s="181"/>
      <c r="AD66" s="181"/>
      <c r="AE66" s="181"/>
      <c r="AF66" s="181"/>
      <c r="AG66" s="181"/>
      <c r="AH66" s="181"/>
      <c r="AI66" s="181"/>
      <c r="AJ66" s="181"/>
      <c r="AK66" s="181"/>
      <c r="AL66" s="181"/>
      <c r="AM66" s="181"/>
      <c r="AN66" s="181"/>
      <c r="AO66" s="181"/>
    </row>
    <row r="67" spans="1:41" s="184" customFormat="1" ht="16" customHeight="1">
      <c r="A67" s="325"/>
      <c r="B67" s="111" t="s">
        <v>1090</v>
      </c>
      <c r="C67" s="108" t="s">
        <v>413</v>
      </c>
      <c r="D67" s="111" t="s">
        <v>53</v>
      </c>
      <c r="E67" s="110">
        <v>4</v>
      </c>
      <c r="F67" s="110">
        <v>4</v>
      </c>
      <c r="G67" s="110">
        <v>20</v>
      </c>
      <c r="H67" s="110">
        <f t="shared" si="9"/>
        <v>0</v>
      </c>
      <c r="I67" s="112"/>
      <c r="J67" s="110"/>
      <c r="K67" s="110"/>
      <c r="L67" s="110" t="s">
        <v>1188</v>
      </c>
      <c r="M67" s="113"/>
      <c r="N67" s="181"/>
      <c r="O67" s="181"/>
      <c r="P67" s="181"/>
      <c r="Q67" s="181"/>
      <c r="R67" s="181"/>
      <c r="S67" s="181"/>
      <c r="T67" s="181"/>
      <c r="U67" s="181"/>
      <c r="V67" s="181"/>
      <c r="W67" s="181"/>
      <c r="X67" s="181"/>
      <c r="Y67" s="181"/>
      <c r="Z67" s="181"/>
      <c r="AA67" s="181"/>
      <c r="AB67" s="181"/>
      <c r="AC67" s="181"/>
      <c r="AD67" s="181"/>
      <c r="AE67" s="181"/>
      <c r="AF67" s="181"/>
      <c r="AG67" s="181"/>
      <c r="AH67" s="181"/>
      <c r="AI67" s="181"/>
      <c r="AJ67" s="181"/>
      <c r="AK67" s="181"/>
      <c r="AL67" s="181"/>
      <c r="AM67" s="181"/>
      <c r="AN67" s="181"/>
      <c r="AO67" s="181"/>
    </row>
    <row r="68" spans="1:41" s="184" customFormat="1" ht="16" customHeight="1">
      <c r="A68" s="325"/>
      <c r="B68" s="111" t="str">
        <f>'Deploy Parameters'!J73&amp;"-0"</f>
        <v>sfo01w01esg01-0</v>
      </c>
      <c r="C68" s="108" t="s">
        <v>289</v>
      </c>
      <c r="D68" s="111" t="s">
        <v>53</v>
      </c>
      <c r="E68" s="110">
        <v>2</v>
      </c>
      <c r="F68" s="110">
        <v>1</v>
      </c>
      <c r="G68" s="110">
        <v>1</v>
      </c>
      <c r="H68" s="110">
        <f t="shared" si="9"/>
        <v>0</v>
      </c>
      <c r="I68" s="112"/>
      <c r="J68" s="110"/>
      <c r="K68" s="110"/>
      <c r="L68" s="110" t="s">
        <v>1188</v>
      </c>
      <c r="M68" s="113"/>
      <c r="N68" s="181"/>
      <c r="O68" s="181"/>
      <c r="P68" s="181"/>
      <c r="Q68" s="181"/>
      <c r="R68" s="181"/>
      <c r="S68" s="181"/>
      <c r="T68" s="181"/>
      <c r="U68" s="181"/>
      <c r="V68" s="181"/>
      <c r="W68" s="181"/>
      <c r="X68" s="181"/>
      <c r="Y68" s="181"/>
      <c r="Z68" s="181"/>
      <c r="AA68" s="181"/>
      <c r="AB68" s="181"/>
      <c r="AC68" s="181"/>
      <c r="AD68" s="181"/>
      <c r="AE68" s="181"/>
      <c r="AF68" s="181"/>
      <c r="AG68" s="181"/>
      <c r="AH68" s="181"/>
      <c r="AI68" s="181"/>
      <c r="AJ68" s="181"/>
      <c r="AK68" s="181"/>
      <c r="AL68" s="181"/>
      <c r="AM68" s="181"/>
      <c r="AN68" s="181"/>
      <c r="AO68" s="181"/>
    </row>
    <row r="69" spans="1:41" s="184" customFormat="1" ht="16" customHeight="1">
      <c r="A69" s="325"/>
      <c r="B69" s="111" t="str">
        <f>'Deploy Parameters'!J77&amp;"-0"</f>
        <v>sfo01w01esg02-0</v>
      </c>
      <c r="C69" s="108" t="s">
        <v>290</v>
      </c>
      <c r="D69" s="111" t="s">
        <v>53</v>
      </c>
      <c r="E69" s="110">
        <v>2</v>
      </c>
      <c r="F69" s="110">
        <v>1</v>
      </c>
      <c r="G69" s="110">
        <v>1</v>
      </c>
      <c r="H69" s="110">
        <f t="shared" si="9"/>
        <v>0</v>
      </c>
      <c r="I69" s="112"/>
      <c r="J69" s="110"/>
      <c r="K69" s="110"/>
      <c r="L69" s="110" t="s">
        <v>1188</v>
      </c>
      <c r="M69" s="113"/>
      <c r="N69" s="181"/>
      <c r="O69" s="181"/>
      <c r="P69" s="181"/>
      <c r="Q69" s="181"/>
      <c r="R69" s="181"/>
      <c r="S69" s="181"/>
      <c r="T69" s="181"/>
      <c r="U69" s="181"/>
      <c r="V69" s="181"/>
      <c r="W69" s="181"/>
      <c r="X69" s="181"/>
      <c r="Y69" s="181"/>
      <c r="Z69" s="181"/>
      <c r="AA69" s="181"/>
      <c r="AB69" s="181"/>
      <c r="AC69" s="181"/>
      <c r="AD69" s="181"/>
      <c r="AE69" s="181"/>
      <c r="AF69" s="181"/>
      <c r="AG69" s="181"/>
      <c r="AH69" s="181"/>
      <c r="AI69" s="181"/>
      <c r="AJ69" s="181"/>
      <c r="AK69" s="181"/>
      <c r="AL69" s="181"/>
      <c r="AM69" s="181"/>
      <c r="AN69" s="181"/>
      <c r="AO69" s="181"/>
    </row>
    <row r="70" spans="1:41" s="184" customFormat="1" ht="16" customHeight="1">
      <c r="A70" s="325"/>
      <c r="B70" s="111" t="str">
        <f>"edge-xx-0-"&amp;'Deploy Parameters'!J88</f>
        <v>edge-xx-0-sfo01w01udlr01</v>
      </c>
      <c r="C70" s="108" t="s">
        <v>358</v>
      </c>
      <c r="D70" s="111" t="s">
        <v>53</v>
      </c>
      <c r="E70" s="110">
        <v>2</v>
      </c>
      <c r="F70" s="110">
        <v>0.5</v>
      </c>
      <c r="G70" s="110">
        <v>1</v>
      </c>
      <c r="H70" s="110">
        <f t="shared" si="9"/>
        <v>0</v>
      </c>
      <c r="I70" s="112"/>
      <c r="J70" s="110"/>
      <c r="K70" s="110"/>
      <c r="L70" s="110" t="s">
        <v>1188</v>
      </c>
      <c r="M70" s="113"/>
      <c r="N70" s="181"/>
      <c r="O70" s="181"/>
      <c r="P70" s="181"/>
      <c r="Q70" s="181"/>
      <c r="R70" s="181"/>
      <c r="S70" s="181"/>
      <c r="T70" s="181"/>
      <c r="U70" s="181"/>
      <c r="V70" s="181"/>
      <c r="W70" s="181"/>
      <c r="X70" s="181"/>
      <c r="Y70" s="181"/>
      <c r="Z70" s="181"/>
      <c r="AA70" s="181"/>
      <c r="AB70" s="181"/>
      <c r="AC70" s="181"/>
      <c r="AD70" s="181"/>
      <c r="AE70" s="181"/>
      <c r="AF70" s="181"/>
      <c r="AG70" s="181"/>
      <c r="AH70" s="181"/>
      <c r="AI70" s="181"/>
      <c r="AJ70" s="181"/>
      <c r="AK70" s="181"/>
      <c r="AL70" s="181"/>
      <c r="AM70" s="181"/>
      <c r="AN70" s="181"/>
      <c r="AO70" s="181"/>
    </row>
    <row r="71" spans="1:41" s="184" customFormat="1" ht="16" customHeight="1">
      <c r="A71" s="325"/>
      <c r="B71" s="111" t="str">
        <f>"edge-xx-1-"&amp;'Deploy Parameters'!J88</f>
        <v>edge-xx-1-sfo01w01udlr01</v>
      </c>
      <c r="C71" s="108" t="s">
        <v>359</v>
      </c>
      <c r="D71" s="111" t="s">
        <v>53</v>
      </c>
      <c r="E71" s="110">
        <v>2</v>
      </c>
      <c r="F71" s="110">
        <v>0.5</v>
      </c>
      <c r="G71" s="110">
        <v>1</v>
      </c>
      <c r="H71" s="110">
        <f t="shared" si="9"/>
        <v>0</v>
      </c>
      <c r="I71" s="112"/>
      <c r="J71" s="110"/>
      <c r="K71" s="110"/>
      <c r="L71" s="110" t="s">
        <v>1188</v>
      </c>
      <c r="M71" s="113"/>
      <c r="N71" s="181"/>
      <c r="O71" s="181"/>
      <c r="P71" s="181"/>
      <c r="Q71" s="181"/>
      <c r="R71" s="181"/>
      <c r="S71" s="181"/>
      <c r="T71" s="181"/>
      <c r="U71" s="181"/>
      <c r="V71" s="181"/>
      <c r="W71" s="181"/>
      <c r="X71" s="181"/>
      <c r="Y71" s="181"/>
      <c r="Z71" s="181"/>
      <c r="AA71" s="181"/>
      <c r="AB71" s="181"/>
      <c r="AC71" s="181"/>
      <c r="AD71" s="181"/>
      <c r="AE71" s="181"/>
      <c r="AF71" s="181"/>
      <c r="AG71" s="181"/>
      <c r="AH71" s="181"/>
      <c r="AI71" s="181"/>
      <c r="AJ71" s="181"/>
      <c r="AK71" s="181"/>
      <c r="AL71" s="181"/>
      <c r="AM71" s="181"/>
      <c r="AN71" s="181"/>
      <c r="AO71" s="181"/>
    </row>
    <row r="72" spans="1:41" s="181" customFormat="1" ht="16" customHeight="1">
      <c r="A72" s="325"/>
      <c r="D72" s="125" t="s">
        <v>566</v>
      </c>
      <c r="E72" s="124">
        <f>SUM(E65:E71)</f>
        <v>20</v>
      </c>
      <c r="F72" s="124">
        <f>SUM(F65:F71)</f>
        <v>15</v>
      </c>
      <c r="G72" s="124">
        <f>SUM(G65:G71)</f>
        <v>64</v>
      </c>
      <c r="L72" s="127"/>
      <c r="M72" s="127"/>
    </row>
    <row r="73" spans="1:41" s="181" customFormat="1" ht="16" customHeight="1">
      <c r="A73" s="325"/>
      <c r="L73" s="127"/>
      <c r="M73" s="127"/>
    </row>
    <row r="74" spans="1:41" s="181" customFormat="1" ht="16" customHeight="1">
      <c r="A74" s="325"/>
      <c r="D74" s="349" t="s">
        <v>871</v>
      </c>
      <c r="E74" s="350"/>
      <c r="F74" s="350"/>
      <c r="G74" s="350"/>
      <c r="H74" s="351"/>
      <c r="I74" s="351"/>
      <c r="J74" s="351"/>
      <c r="K74" s="351"/>
      <c r="L74" s="127"/>
      <c r="M74" s="127"/>
    </row>
    <row r="75" spans="1:41" s="181" customFormat="1" ht="16" customHeight="1" thickBot="1">
      <c r="A75" s="325"/>
      <c r="E75" s="128" t="s">
        <v>56</v>
      </c>
      <c r="F75" s="128" t="s">
        <v>48</v>
      </c>
      <c r="G75" s="128" t="s">
        <v>49</v>
      </c>
      <c r="J75" s="118"/>
      <c r="K75" s="118"/>
      <c r="L75" s="127"/>
      <c r="M75" s="127"/>
    </row>
    <row r="76" spans="1:41" s="181" customFormat="1" ht="16" customHeight="1" thickBot="1">
      <c r="A76" s="325"/>
      <c r="D76" s="125" t="s">
        <v>57</v>
      </c>
      <c r="E76" s="129">
        <f>SUM(E60)</f>
        <v>170</v>
      </c>
      <c r="F76" s="129">
        <f>SUM(F60)</f>
        <v>429</v>
      </c>
      <c r="G76" s="129">
        <f>SUM(G60)</f>
        <v>10261</v>
      </c>
      <c r="J76" s="119"/>
      <c r="K76" s="119"/>
      <c r="L76" s="127"/>
      <c r="M76" s="127"/>
    </row>
    <row r="77" spans="1:41" s="181" customFormat="1" ht="16" customHeight="1" thickBot="1">
      <c r="A77" s="325"/>
      <c r="D77" s="125" t="s">
        <v>870</v>
      </c>
      <c r="G77" s="129">
        <f>G30+G31+G32+G41+G42+G44+G45+G46+G47+G48+G49+G52+G54</f>
        <v>3914</v>
      </c>
      <c r="L77" s="127"/>
      <c r="M77" s="127"/>
    </row>
    <row r="78" spans="1:41" s="181" customFormat="1" ht="16" customHeight="1">
      <c r="A78" s="325"/>
      <c r="D78" s="125" t="s">
        <v>58</v>
      </c>
      <c r="E78" s="127"/>
      <c r="F78" s="127"/>
      <c r="G78" s="127">
        <f>ROUNDUP(G76*1.3,0)</f>
        <v>13340</v>
      </c>
      <c r="J78" s="127"/>
      <c r="K78" s="127"/>
      <c r="L78" s="127"/>
      <c r="M78" s="127"/>
    </row>
    <row r="79" spans="1:41" s="181" customFormat="1" ht="16" customHeight="1" thickBot="1">
      <c r="A79" s="325"/>
      <c r="L79" s="127"/>
      <c r="M79" s="127"/>
    </row>
    <row r="80" spans="1:41" s="181" customFormat="1" ht="16" customHeight="1">
      <c r="A80" s="325"/>
      <c r="D80" s="337" t="s">
        <v>59</v>
      </c>
      <c r="E80" s="338"/>
      <c r="F80" s="338"/>
      <c r="G80" s="339"/>
      <c r="I80" s="130" t="s">
        <v>60</v>
      </c>
      <c r="J80" s="131"/>
      <c r="K80" s="131"/>
      <c r="L80" s="132"/>
      <c r="M80" s="133"/>
    </row>
    <row r="81" spans="1:15" s="181" customFormat="1" ht="16" customHeight="1">
      <c r="A81" s="325"/>
      <c r="D81" s="352" t="s">
        <v>61</v>
      </c>
      <c r="E81" s="353"/>
      <c r="F81" s="195">
        <v>4</v>
      </c>
      <c r="G81" s="134" t="s">
        <v>7</v>
      </c>
      <c r="I81" s="135" t="s">
        <v>366</v>
      </c>
      <c r="J81" s="116"/>
      <c r="K81" s="136">
        <f>(L86*L87)*F81</f>
        <v>16384</v>
      </c>
      <c r="L81" s="134" t="s">
        <v>62</v>
      </c>
    </row>
    <row r="82" spans="1:15" s="181" customFormat="1" ht="16" customHeight="1">
      <c r="A82" s="325"/>
      <c r="D82" s="352" t="s">
        <v>63</v>
      </c>
      <c r="E82" s="353"/>
      <c r="F82" s="195">
        <v>1</v>
      </c>
      <c r="G82" s="134" t="s">
        <v>7</v>
      </c>
      <c r="I82" s="135" t="s">
        <v>64</v>
      </c>
      <c r="J82" s="116"/>
      <c r="K82" s="116">
        <f>F82</f>
        <v>1</v>
      </c>
      <c r="L82" s="134" t="s">
        <v>7</v>
      </c>
    </row>
    <row r="83" spans="1:15" s="181" customFormat="1" ht="16" customHeight="1" thickBot="1">
      <c r="A83" s="325"/>
      <c r="D83" s="354" t="s">
        <v>65</v>
      </c>
      <c r="E83" s="355"/>
      <c r="F83" s="129">
        <f>F81-F82</f>
        <v>3</v>
      </c>
      <c r="G83" s="137" t="s">
        <v>7</v>
      </c>
      <c r="I83" s="135" t="s">
        <v>66</v>
      </c>
      <c r="J83" s="116"/>
      <c r="K83" s="138">
        <v>15</v>
      </c>
      <c r="L83" s="134" t="s">
        <v>67</v>
      </c>
    </row>
    <row r="84" spans="1:15" s="181" customFormat="1" ht="16" customHeight="1" thickBot="1">
      <c r="A84" s="325"/>
      <c r="I84" s="135" t="s">
        <v>369</v>
      </c>
      <c r="J84" s="116"/>
      <c r="K84" s="136">
        <f>((K81/100*K83)+K81)/F81</f>
        <v>4710.3999999999996</v>
      </c>
      <c r="L84" s="134" t="s">
        <v>62</v>
      </c>
    </row>
    <row r="85" spans="1:15" s="181" customFormat="1" ht="16" customHeight="1">
      <c r="A85" s="325"/>
      <c r="D85" s="337" t="s">
        <v>1199</v>
      </c>
      <c r="E85" s="338"/>
      <c r="F85" s="338"/>
      <c r="G85" s="339"/>
      <c r="I85" s="139" t="s">
        <v>363</v>
      </c>
      <c r="J85" s="140"/>
      <c r="K85" s="141" t="s">
        <v>364</v>
      </c>
      <c r="L85" s="142" t="s">
        <v>365</v>
      </c>
      <c r="N85" s="116"/>
      <c r="O85" s="116"/>
    </row>
    <row r="86" spans="1:15" s="181" customFormat="1" ht="16" customHeight="1">
      <c r="A86" s="325"/>
      <c r="D86" s="352" t="s">
        <v>360</v>
      </c>
      <c r="E86" s="353"/>
      <c r="F86" s="136">
        <f>$F$76/$F$81</f>
        <v>107.25</v>
      </c>
      <c r="G86" s="134" t="s">
        <v>62</v>
      </c>
      <c r="I86" s="143" t="s">
        <v>355</v>
      </c>
      <c r="J86" s="116"/>
      <c r="K86" s="197">
        <v>300</v>
      </c>
      <c r="L86" s="198">
        <v>2048</v>
      </c>
      <c r="N86" s="116"/>
      <c r="O86" s="116"/>
    </row>
    <row r="87" spans="1:15" s="181" customFormat="1" ht="16" customHeight="1">
      <c r="A87" s="325"/>
      <c r="D87" s="352" t="s">
        <v>68</v>
      </c>
      <c r="E87" s="353"/>
      <c r="F87" s="196">
        <v>192</v>
      </c>
      <c r="G87" s="134" t="s">
        <v>62</v>
      </c>
      <c r="I87" s="135" t="s">
        <v>69</v>
      </c>
      <c r="J87" s="116"/>
      <c r="K87" s="199">
        <v>1</v>
      </c>
      <c r="L87" s="200">
        <v>2</v>
      </c>
      <c r="N87" s="116"/>
      <c r="O87" s="116"/>
    </row>
    <row r="88" spans="1:15" s="181" customFormat="1" ht="16" customHeight="1">
      <c r="A88" s="325"/>
      <c r="D88" s="352" t="s">
        <v>70</v>
      </c>
      <c r="E88" s="353"/>
      <c r="F88" s="138">
        <f>$F$86/$F$87*100</f>
        <v>55.859375</v>
      </c>
      <c r="G88" s="134" t="s">
        <v>67</v>
      </c>
      <c r="I88" s="135" t="s">
        <v>367</v>
      </c>
      <c r="J88" s="116"/>
      <c r="K88" s="116">
        <f>(K86*K87)+(L86*L87)</f>
        <v>4396</v>
      </c>
      <c r="L88" s="134" t="s">
        <v>62</v>
      </c>
      <c r="N88" s="116"/>
      <c r="O88" s="116"/>
    </row>
    <row r="89" spans="1:15" s="181" customFormat="1" ht="16" customHeight="1" thickBot="1">
      <c r="A89" s="325"/>
      <c r="D89" s="352" t="s">
        <v>71</v>
      </c>
      <c r="E89" s="353"/>
      <c r="F89" s="116">
        <f>$F$76/$F$83</f>
        <v>143</v>
      </c>
      <c r="G89" s="134" t="s">
        <v>62</v>
      </c>
      <c r="I89" s="145" t="s">
        <v>368</v>
      </c>
      <c r="J89" s="183"/>
      <c r="K89" s="146">
        <f>K88*F81</f>
        <v>17584</v>
      </c>
      <c r="L89" s="137" t="s">
        <v>62</v>
      </c>
      <c r="N89" s="116"/>
      <c r="O89" s="116"/>
    </row>
    <row r="90" spans="1:15" s="181" customFormat="1" ht="16" customHeight="1" thickBot="1">
      <c r="A90" s="325"/>
      <c r="D90" s="354" t="s">
        <v>72</v>
      </c>
      <c r="E90" s="355"/>
      <c r="F90" s="147">
        <f>$F$89/$F$87*100</f>
        <v>74.479166666666657</v>
      </c>
      <c r="G90" s="137" t="s">
        <v>67</v>
      </c>
      <c r="L90" s="144"/>
      <c r="M90" s="144"/>
      <c r="N90" s="116"/>
      <c r="O90" s="116"/>
    </row>
    <row r="91" spans="1:15" s="181" customFormat="1" ht="16" customHeight="1" thickBot="1">
      <c r="A91" s="325"/>
      <c r="H91" s="148"/>
      <c r="I91" s="148"/>
      <c r="J91" s="116"/>
      <c r="K91" s="116"/>
      <c r="L91" s="118"/>
      <c r="M91" s="118"/>
      <c r="N91" s="116"/>
      <c r="O91" s="116"/>
    </row>
    <row r="92" spans="1:15" s="181" customFormat="1" ht="16" customHeight="1">
      <c r="A92" s="325"/>
      <c r="D92" s="337" t="s">
        <v>73</v>
      </c>
      <c r="E92" s="338"/>
      <c r="F92" s="338"/>
      <c r="G92" s="339"/>
      <c r="H92" s="136"/>
      <c r="I92" s="116"/>
      <c r="J92" s="116"/>
      <c r="K92" s="116"/>
      <c r="L92" s="144"/>
      <c r="M92" s="144"/>
      <c r="N92" s="116"/>
      <c r="O92" s="116"/>
    </row>
    <row r="93" spans="1:15" s="181" customFormat="1" ht="16" customHeight="1">
      <c r="A93" s="325"/>
      <c r="D93" s="135"/>
      <c r="E93" s="180" t="s">
        <v>74</v>
      </c>
      <c r="F93" s="196">
        <v>2</v>
      </c>
      <c r="G93" s="134" t="s">
        <v>75</v>
      </c>
      <c r="H93" s="136"/>
      <c r="I93" s="116"/>
      <c r="J93" s="116"/>
      <c r="K93" s="116"/>
      <c r="L93" s="144"/>
      <c r="M93" s="144"/>
      <c r="N93" s="116"/>
      <c r="O93" s="116"/>
    </row>
    <row r="94" spans="1:15" s="181" customFormat="1" ht="16" customHeight="1">
      <c r="A94" s="325"/>
      <c r="D94" s="135"/>
      <c r="E94" s="180" t="s">
        <v>76</v>
      </c>
      <c r="F94" s="196">
        <v>12</v>
      </c>
      <c r="G94" s="134" t="s">
        <v>77</v>
      </c>
      <c r="H94" s="116"/>
      <c r="I94" s="116"/>
      <c r="J94" s="116"/>
      <c r="K94" s="116"/>
      <c r="L94" s="119"/>
      <c r="M94" s="119"/>
      <c r="N94" s="116"/>
      <c r="O94" s="116"/>
    </row>
    <row r="95" spans="1:15" s="181" customFormat="1" ht="16" customHeight="1">
      <c r="A95" s="325"/>
      <c r="D95" s="135"/>
      <c r="E95" s="180" t="s">
        <v>68</v>
      </c>
      <c r="F95" s="136">
        <f>$F$93*$F$94</f>
        <v>24</v>
      </c>
      <c r="G95" s="134" t="s">
        <v>77</v>
      </c>
      <c r="H95" s="116"/>
      <c r="I95" s="116"/>
      <c r="J95" s="116"/>
      <c r="K95" s="116"/>
      <c r="L95" s="119"/>
      <c r="M95" s="119"/>
      <c r="N95" s="116"/>
      <c r="O95" s="116"/>
    </row>
    <row r="96" spans="1:15" s="181" customFormat="1" ht="16" customHeight="1">
      <c r="A96" s="325"/>
      <c r="D96" s="135"/>
      <c r="E96" s="180" t="s">
        <v>78</v>
      </c>
      <c r="F96" s="136">
        <f>$F$95*$F$81</f>
        <v>96</v>
      </c>
      <c r="G96" s="134" t="s">
        <v>77</v>
      </c>
      <c r="L96" s="127"/>
      <c r="M96" s="127"/>
    </row>
    <row r="97" spans="1:13" s="181" customFormat="1" ht="16" customHeight="1">
      <c r="A97" s="325"/>
      <c r="D97" s="135"/>
      <c r="E97" s="180" t="s">
        <v>361</v>
      </c>
      <c r="F97" s="149">
        <f>$E$76/($F$81*$F$95)</f>
        <v>1.7708333333333333</v>
      </c>
      <c r="G97" s="134"/>
      <c r="L97" s="127"/>
      <c r="M97" s="127"/>
    </row>
    <row r="98" spans="1:13" s="181" customFormat="1" ht="16" customHeight="1" thickBot="1">
      <c r="A98" s="325"/>
      <c r="D98" s="145"/>
      <c r="E98" s="182" t="s">
        <v>362</v>
      </c>
      <c r="F98" s="150">
        <f>E76/(F83*F95)</f>
        <v>2.3611111111111112</v>
      </c>
      <c r="G98" s="137"/>
      <c r="L98" s="127"/>
      <c r="M98" s="127"/>
    </row>
    <row r="99" spans="1:13" s="181" customFormat="1">
      <c r="A99" s="325"/>
      <c r="L99" s="127"/>
      <c r="M99" s="127"/>
    </row>
    <row r="100" spans="1:13" s="181" customFormat="1">
      <c r="A100" s="325"/>
      <c r="L100" s="127"/>
      <c r="M100" s="127"/>
    </row>
    <row r="101" spans="1:13" s="181" customFormat="1">
      <c r="A101" s="325"/>
      <c r="L101" s="127"/>
      <c r="M101" s="127"/>
    </row>
    <row r="102" spans="1:13" s="181" customFormat="1">
      <c r="A102" s="325"/>
      <c r="L102" s="127"/>
      <c r="M102" s="127"/>
    </row>
    <row r="103" spans="1:13" s="181" customFormat="1">
      <c r="A103" s="325"/>
      <c r="L103" s="127"/>
      <c r="M103" s="127"/>
    </row>
    <row r="104" spans="1:13" s="181" customFormat="1">
      <c r="A104" s="325"/>
      <c r="L104" s="127"/>
      <c r="M104" s="127"/>
    </row>
    <row r="105" spans="1:13" s="181" customFormat="1">
      <c r="A105" s="325"/>
      <c r="L105" s="127"/>
      <c r="M105" s="127"/>
    </row>
    <row r="106" spans="1:13" s="181" customFormat="1">
      <c r="A106" s="325"/>
      <c r="L106" s="127"/>
      <c r="M106" s="127"/>
    </row>
    <row r="107" spans="1:13" s="181" customFormat="1">
      <c r="A107" s="325"/>
      <c r="L107" s="127"/>
      <c r="M107" s="127"/>
    </row>
    <row r="108" spans="1:13" s="181" customFormat="1">
      <c r="A108" s="325"/>
      <c r="L108" s="127"/>
      <c r="M108" s="127"/>
    </row>
    <row r="109" spans="1:13" s="181" customFormat="1">
      <c r="A109" s="325"/>
      <c r="L109" s="127"/>
      <c r="M109" s="127"/>
    </row>
    <row r="110" spans="1:13" s="181" customFormat="1">
      <c r="A110" s="325"/>
      <c r="L110" s="127"/>
      <c r="M110" s="127"/>
    </row>
    <row r="111" spans="1:13" s="181" customFormat="1">
      <c r="A111" s="325"/>
      <c r="L111" s="127"/>
      <c r="M111" s="127"/>
    </row>
    <row r="112" spans="1:13" s="181" customFormat="1">
      <c r="A112" s="325"/>
      <c r="L112" s="127"/>
      <c r="M112" s="127"/>
    </row>
    <row r="113" spans="1:13" s="181" customFormat="1">
      <c r="A113" s="325"/>
      <c r="L113" s="127"/>
      <c r="M113" s="127"/>
    </row>
    <row r="114" spans="1:13" s="181" customFormat="1">
      <c r="A114" s="325"/>
      <c r="L114" s="127"/>
      <c r="M114" s="127"/>
    </row>
    <row r="115" spans="1:13" s="181" customFormat="1">
      <c r="A115" s="325"/>
      <c r="L115" s="127"/>
      <c r="M115" s="127"/>
    </row>
    <row r="116" spans="1:13" s="181" customFormat="1">
      <c r="A116" s="325"/>
      <c r="L116" s="127"/>
      <c r="M116" s="127"/>
    </row>
    <row r="117" spans="1:13" s="181" customFormat="1">
      <c r="A117" s="325"/>
      <c r="L117" s="127"/>
      <c r="M117" s="127"/>
    </row>
    <row r="118" spans="1:13" s="181" customFormat="1">
      <c r="A118" s="325"/>
      <c r="L118" s="127"/>
      <c r="M118" s="127"/>
    </row>
    <row r="119" spans="1:13" s="181" customFormat="1">
      <c r="A119" s="325"/>
      <c r="L119" s="127"/>
      <c r="M119" s="127"/>
    </row>
    <row r="120" spans="1:13" s="181" customFormat="1">
      <c r="A120" s="325"/>
      <c r="L120" s="127"/>
      <c r="M120" s="127"/>
    </row>
    <row r="121" spans="1:13" s="181" customFormat="1">
      <c r="A121" s="325"/>
      <c r="L121" s="127"/>
      <c r="M121" s="127"/>
    </row>
    <row r="122" spans="1:13" s="181" customFormat="1">
      <c r="A122" s="325"/>
      <c r="L122" s="127"/>
      <c r="M122" s="127"/>
    </row>
    <row r="123" spans="1:13" s="181" customFormat="1">
      <c r="A123" s="325"/>
      <c r="L123" s="127"/>
      <c r="M123" s="127"/>
    </row>
    <row r="124" spans="1:13" s="181" customFormat="1">
      <c r="A124" s="325"/>
      <c r="L124" s="127"/>
      <c r="M124" s="127"/>
    </row>
    <row r="125" spans="1:13" s="181" customFormat="1">
      <c r="A125" s="325"/>
      <c r="L125" s="127"/>
      <c r="M125" s="127"/>
    </row>
    <row r="126" spans="1:13" s="181" customFormat="1">
      <c r="A126" s="325"/>
      <c r="L126" s="127"/>
      <c r="M126" s="127"/>
    </row>
    <row r="127" spans="1:13" s="181" customFormat="1">
      <c r="A127" s="325"/>
      <c r="L127" s="127"/>
      <c r="M127" s="127"/>
    </row>
    <row r="128" spans="1:13" s="181" customFormat="1">
      <c r="A128" s="325"/>
      <c r="L128" s="127"/>
      <c r="M128" s="127"/>
    </row>
    <row r="129" spans="1:13" s="181" customFormat="1">
      <c r="A129" s="325"/>
      <c r="L129" s="127"/>
      <c r="M129" s="127"/>
    </row>
    <row r="130" spans="1:13" s="181" customFormat="1">
      <c r="A130" s="325"/>
      <c r="L130" s="127"/>
      <c r="M130" s="127"/>
    </row>
    <row r="131" spans="1:13" s="181" customFormat="1">
      <c r="A131" s="325"/>
      <c r="L131" s="127"/>
      <c r="M131" s="127"/>
    </row>
    <row r="132" spans="1:13" s="181" customFormat="1">
      <c r="A132" s="325"/>
      <c r="L132" s="127"/>
      <c r="M132" s="127"/>
    </row>
    <row r="133" spans="1:13" s="181" customFormat="1">
      <c r="A133" s="325"/>
      <c r="L133" s="127"/>
      <c r="M133" s="127"/>
    </row>
    <row r="134" spans="1:13" s="181" customFormat="1">
      <c r="A134" s="325"/>
      <c r="L134" s="127"/>
      <c r="M134" s="127"/>
    </row>
    <row r="135" spans="1:13" s="181" customFormat="1">
      <c r="A135" s="325"/>
      <c r="L135" s="127"/>
      <c r="M135" s="127"/>
    </row>
    <row r="136" spans="1:13" s="181" customFormat="1">
      <c r="A136" s="325"/>
      <c r="L136" s="127"/>
      <c r="M136" s="127"/>
    </row>
    <row r="137" spans="1:13" s="181" customFormat="1">
      <c r="A137" s="325"/>
      <c r="L137" s="127"/>
      <c r="M137" s="127"/>
    </row>
    <row r="138" spans="1:13" s="181" customFormat="1">
      <c r="A138" s="325"/>
      <c r="L138" s="127"/>
      <c r="M138" s="127"/>
    </row>
    <row r="139" spans="1:13" s="181" customFormat="1">
      <c r="A139" s="325"/>
      <c r="L139" s="127"/>
      <c r="M139" s="127"/>
    </row>
    <row r="140" spans="1:13" s="181" customFormat="1">
      <c r="A140" s="325"/>
      <c r="L140" s="127"/>
      <c r="M140" s="127"/>
    </row>
    <row r="141" spans="1:13" s="181" customFormat="1">
      <c r="A141" s="325"/>
      <c r="L141" s="127"/>
      <c r="M141" s="127"/>
    </row>
    <row r="142" spans="1:13" s="181" customFormat="1">
      <c r="A142" s="325"/>
      <c r="L142" s="127"/>
      <c r="M142" s="127"/>
    </row>
    <row r="143" spans="1:13" s="181" customFormat="1">
      <c r="A143" s="325"/>
      <c r="L143" s="127"/>
      <c r="M143" s="127"/>
    </row>
    <row r="144" spans="1:13" s="181" customFormat="1">
      <c r="A144" s="325"/>
      <c r="L144" s="127"/>
      <c r="M144" s="127"/>
    </row>
    <row r="145" spans="1:13" s="181" customFormat="1">
      <c r="A145" s="325"/>
      <c r="L145" s="127"/>
      <c r="M145" s="127"/>
    </row>
    <row r="146" spans="1:13" s="181" customFormat="1">
      <c r="A146" s="325"/>
      <c r="L146" s="127"/>
      <c r="M146" s="127"/>
    </row>
    <row r="147" spans="1:13" s="181" customFormat="1">
      <c r="A147" s="325"/>
      <c r="L147" s="127"/>
      <c r="M147" s="127"/>
    </row>
    <row r="148" spans="1:13" s="181" customFormat="1">
      <c r="A148" s="325"/>
      <c r="L148" s="127"/>
      <c r="M148" s="127"/>
    </row>
    <row r="149" spans="1:13" s="181" customFormat="1">
      <c r="A149" s="325"/>
      <c r="L149" s="127"/>
      <c r="M149" s="127"/>
    </row>
    <row r="150" spans="1:13" s="181" customFormat="1">
      <c r="A150" s="325"/>
      <c r="L150" s="127"/>
      <c r="M150" s="127"/>
    </row>
    <row r="151" spans="1:13" s="181" customFormat="1">
      <c r="A151" s="325"/>
      <c r="L151" s="127"/>
      <c r="M151" s="127"/>
    </row>
    <row r="152" spans="1:13" s="181" customFormat="1">
      <c r="A152" s="325"/>
      <c r="L152" s="127"/>
      <c r="M152" s="127"/>
    </row>
    <row r="153" spans="1:13" s="56" customFormat="1">
      <c r="L153" s="61"/>
      <c r="M153" s="61"/>
    </row>
    <row r="154" spans="1:13" s="56" customFormat="1">
      <c r="L154" s="61"/>
      <c r="M154" s="61"/>
    </row>
    <row r="155" spans="1:13" s="56" customFormat="1">
      <c r="L155" s="61"/>
      <c r="M155" s="61"/>
    </row>
    <row r="156" spans="1:13" s="56" customFormat="1">
      <c r="L156" s="61"/>
      <c r="M156" s="61"/>
    </row>
    <row r="157" spans="1:13" s="56" customFormat="1">
      <c r="L157" s="61"/>
      <c r="M157" s="61"/>
    </row>
    <row r="158" spans="1:13" s="56" customFormat="1">
      <c r="L158" s="61"/>
      <c r="M158" s="61"/>
    </row>
    <row r="159" spans="1:13" s="56" customFormat="1">
      <c r="L159" s="61"/>
      <c r="M159" s="61"/>
    </row>
    <row r="160" spans="1:13" s="56" customFormat="1">
      <c r="L160" s="61"/>
      <c r="M160" s="61"/>
    </row>
    <row r="161" spans="12:13" s="56" customFormat="1">
      <c r="L161" s="61"/>
      <c r="M161" s="61"/>
    </row>
    <row r="162" spans="12:13" s="56" customFormat="1">
      <c r="L162" s="61"/>
      <c r="M162" s="61"/>
    </row>
    <row r="163" spans="12:13" s="56" customFormat="1">
      <c r="L163" s="61"/>
      <c r="M163" s="61"/>
    </row>
    <row r="164" spans="12:13" s="56" customFormat="1">
      <c r="L164" s="61"/>
      <c r="M164" s="61"/>
    </row>
    <row r="165" spans="12:13" s="56" customFormat="1">
      <c r="L165" s="61"/>
      <c r="M165" s="61"/>
    </row>
    <row r="166" spans="12:13" s="56" customFormat="1">
      <c r="L166" s="61"/>
      <c r="M166" s="61"/>
    </row>
    <row r="167" spans="12:13" s="56" customFormat="1">
      <c r="L167" s="61"/>
      <c r="M167" s="61"/>
    </row>
    <row r="168" spans="12:13" s="56" customFormat="1">
      <c r="L168" s="61"/>
      <c r="M168" s="61"/>
    </row>
    <row r="169" spans="12:13" s="56" customFormat="1">
      <c r="L169" s="61"/>
      <c r="M169" s="61"/>
    </row>
    <row r="170" spans="12:13" s="56" customFormat="1">
      <c r="L170" s="61"/>
      <c r="M170" s="61"/>
    </row>
    <row r="171" spans="12:13" s="56" customFormat="1">
      <c r="L171" s="61"/>
      <c r="M171" s="61"/>
    </row>
    <row r="172" spans="12:13" s="56" customFormat="1">
      <c r="L172" s="61"/>
      <c r="M172" s="61"/>
    </row>
    <row r="173" spans="12:13" s="56" customFormat="1">
      <c r="L173" s="61"/>
      <c r="M173" s="61"/>
    </row>
    <row r="174" spans="12:13" s="56" customFormat="1">
      <c r="L174" s="61"/>
      <c r="M174" s="61"/>
    </row>
    <row r="175" spans="12:13" s="56" customFormat="1">
      <c r="L175" s="61"/>
      <c r="M175" s="61"/>
    </row>
    <row r="176" spans="12:13" s="56" customFormat="1">
      <c r="L176" s="61"/>
      <c r="M176" s="61"/>
    </row>
    <row r="177" spans="12:13" s="56" customFormat="1">
      <c r="L177" s="61"/>
      <c r="M177" s="61"/>
    </row>
    <row r="178" spans="12:13" s="56" customFormat="1">
      <c r="L178" s="61"/>
      <c r="M178" s="61"/>
    </row>
    <row r="179" spans="12:13" s="56" customFormat="1">
      <c r="L179" s="61"/>
      <c r="M179" s="61"/>
    </row>
    <row r="180" spans="12:13" s="56" customFormat="1">
      <c r="L180" s="61"/>
      <c r="M180" s="61"/>
    </row>
    <row r="181" spans="12:13" s="56" customFormat="1">
      <c r="L181" s="61"/>
      <c r="M181" s="61"/>
    </row>
    <row r="182" spans="12:13" s="56" customFormat="1">
      <c r="L182" s="61"/>
      <c r="M182" s="61"/>
    </row>
    <row r="183" spans="12:13" s="56" customFormat="1">
      <c r="L183" s="61"/>
      <c r="M183" s="61"/>
    </row>
    <row r="184" spans="12:13" s="56" customFormat="1">
      <c r="L184" s="61"/>
      <c r="M184" s="61"/>
    </row>
    <row r="185" spans="12:13" s="56" customFormat="1">
      <c r="L185" s="61"/>
      <c r="M185" s="61"/>
    </row>
    <row r="186" spans="12:13" s="56" customFormat="1">
      <c r="L186" s="61"/>
      <c r="M186" s="61"/>
    </row>
    <row r="187" spans="12:13" s="56" customFormat="1">
      <c r="L187" s="61"/>
      <c r="M187" s="61"/>
    </row>
    <row r="188" spans="12:13" s="56" customFormat="1">
      <c r="L188" s="61"/>
      <c r="M188" s="61"/>
    </row>
    <row r="189" spans="12:13" s="56" customFormat="1">
      <c r="L189" s="61"/>
      <c r="M189" s="61"/>
    </row>
    <row r="190" spans="12:13" s="56" customFormat="1">
      <c r="L190" s="61"/>
      <c r="M190" s="61"/>
    </row>
    <row r="191" spans="12:13" s="56" customFormat="1">
      <c r="L191" s="61"/>
      <c r="M191" s="61"/>
    </row>
    <row r="192" spans="12:13" s="56" customFormat="1">
      <c r="L192" s="61"/>
      <c r="M192" s="61"/>
    </row>
    <row r="193" spans="12:13" s="56" customFormat="1">
      <c r="L193" s="61"/>
      <c r="M193" s="61"/>
    </row>
    <row r="194" spans="12:13" s="56" customFormat="1">
      <c r="L194" s="61"/>
      <c r="M194" s="61"/>
    </row>
    <row r="195" spans="12:13" s="56" customFormat="1">
      <c r="L195" s="61"/>
      <c r="M195" s="61"/>
    </row>
    <row r="196" spans="12:13" s="56" customFormat="1">
      <c r="L196" s="61"/>
      <c r="M196" s="61"/>
    </row>
    <row r="197" spans="12:13" s="56" customFormat="1">
      <c r="L197" s="61"/>
      <c r="M197" s="61"/>
    </row>
    <row r="198" spans="12:13" s="56" customFormat="1">
      <c r="L198" s="61"/>
      <c r="M198" s="61"/>
    </row>
    <row r="199" spans="12:13" s="56" customFormat="1">
      <c r="L199" s="61"/>
      <c r="M199" s="61"/>
    </row>
    <row r="200" spans="12:13" s="56" customFormat="1">
      <c r="L200" s="61"/>
      <c r="M200" s="61"/>
    </row>
    <row r="201" spans="12:13" s="56" customFormat="1">
      <c r="L201" s="61"/>
      <c r="M201" s="61"/>
    </row>
    <row r="202" spans="12:13" s="56" customFormat="1">
      <c r="L202" s="61"/>
      <c r="M202" s="61"/>
    </row>
    <row r="203" spans="12:13" s="56" customFormat="1">
      <c r="L203" s="61"/>
      <c r="M203" s="61"/>
    </row>
    <row r="204" spans="12:13" s="56" customFormat="1">
      <c r="L204" s="61"/>
      <c r="M204" s="61"/>
    </row>
    <row r="205" spans="12:13" s="56" customFormat="1">
      <c r="L205" s="61"/>
      <c r="M205" s="61"/>
    </row>
    <row r="206" spans="12:13" s="56" customFormat="1">
      <c r="L206" s="61"/>
      <c r="M206" s="61"/>
    </row>
    <row r="207" spans="12:13" s="56" customFormat="1">
      <c r="L207" s="61"/>
      <c r="M207" s="61"/>
    </row>
    <row r="208" spans="12:13" s="56" customFormat="1">
      <c r="L208" s="61"/>
      <c r="M208" s="61"/>
    </row>
    <row r="209" spans="12:13" s="56" customFormat="1">
      <c r="L209" s="61"/>
      <c r="M209" s="61"/>
    </row>
    <row r="210" spans="12:13" s="56" customFormat="1">
      <c r="L210" s="61"/>
      <c r="M210" s="61"/>
    </row>
    <row r="211" spans="12:13" s="56" customFormat="1">
      <c r="L211" s="61"/>
      <c r="M211" s="61"/>
    </row>
    <row r="212" spans="12:13" s="56" customFormat="1">
      <c r="L212" s="61"/>
      <c r="M212" s="61"/>
    </row>
    <row r="213" spans="12:13" s="56" customFormat="1">
      <c r="L213" s="61"/>
      <c r="M213" s="61"/>
    </row>
    <row r="214" spans="12:13" s="56" customFormat="1">
      <c r="L214" s="61"/>
      <c r="M214" s="61"/>
    </row>
    <row r="215" spans="12:13" s="56" customFormat="1">
      <c r="L215" s="61"/>
      <c r="M215" s="61"/>
    </row>
    <row r="216" spans="12:13" s="56" customFormat="1">
      <c r="L216" s="61"/>
      <c r="M216" s="61"/>
    </row>
    <row r="217" spans="12:13" s="56" customFormat="1">
      <c r="L217" s="61"/>
      <c r="M217" s="61"/>
    </row>
    <row r="218" spans="12:13" s="56" customFormat="1">
      <c r="L218" s="61"/>
      <c r="M218" s="61"/>
    </row>
    <row r="219" spans="12:13" s="56" customFormat="1">
      <c r="L219" s="61"/>
      <c r="M219" s="61"/>
    </row>
    <row r="220" spans="12:13" s="56" customFormat="1">
      <c r="L220" s="61"/>
      <c r="M220" s="61"/>
    </row>
    <row r="221" spans="12:13" s="56" customFormat="1">
      <c r="L221" s="61"/>
      <c r="M221" s="61"/>
    </row>
    <row r="222" spans="12:13" s="56" customFormat="1">
      <c r="L222" s="61"/>
      <c r="M222" s="61"/>
    </row>
    <row r="223" spans="12:13" s="56" customFormat="1">
      <c r="L223" s="61"/>
      <c r="M223" s="61"/>
    </row>
    <row r="224" spans="12:13" s="56" customFormat="1">
      <c r="L224" s="61"/>
      <c r="M224" s="61"/>
    </row>
    <row r="225" spans="12:13" s="56" customFormat="1">
      <c r="L225" s="61"/>
      <c r="M225" s="61"/>
    </row>
    <row r="226" spans="12:13" s="56" customFormat="1">
      <c r="L226" s="61"/>
      <c r="M226" s="61"/>
    </row>
    <row r="227" spans="12:13" s="56" customFormat="1">
      <c r="L227" s="61"/>
      <c r="M227" s="61"/>
    </row>
    <row r="228" spans="12:13" s="56" customFormat="1">
      <c r="L228" s="61"/>
      <c r="M228" s="61"/>
    </row>
    <row r="229" spans="12:13" s="56" customFormat="1">
      <c r="L229" s="61"/>
      <c r="M229" s="61"/>
    </row>
    <row r="230" spans="12:13" s="56" customFormat="1">
      <c r="L230" s="61"/>
      <c r="M230" s="61"/>
    </row>
    <row r="231" spans="12:13" s="56" customFormat="1">
      <c r="L231" s="61"/>
      <c r="M231" s="61"/>
    </row>
    <row r="232" spans="12:13" s="56" customFormat="1">
      <c r="L232" s="61"/>
      <c r="M232" s="61"/>
    </row>
    <row r="233" spans="12:13" s="56" customFormat="1">
      <c r="L233" s="61"/>
      <c r="M233" s="61"/>
    </row>
    <row r="234" spans="12:13" s="56" customFormat="1">
      <c r="L234" s="61"/>
      <c r="M234" s="61"/>
    </row>
    <row r="235" spans="12:13" s="56" customFormat="1">
      <c r="L235" s="61"/>
      <c r="M235" s="61"/>
    </row>
    <row r="236" spans="12:13" s="56" customFormat="1">
      <c r="L236" s="61"/>
      <c r="M236" s="61"/>
    </row>
    <row r="237" spans="12:13" s="56" customFormat="1">
      <c r="L237" s="61"/>
      <c r="M237" s="61"/>
    </row>
    <row r="238" spans="12:13" s="56" customFormat="1">
      <c r="L238" s="61"/>
      <c r="M238" s="61"/>
    </row>
    <row r="239" spans="12:13" s="56" customFormat="1">
      <c r="L239" s="61"/>
      <c r="M239" s="61"/>
    </row>
    <row r="240" spans="12:13" s="56" customFormat="1">
      <c r="L240" s="61"/>
      <c r="M240" s="61"/>
    </row>
    <row r="241" spans="12:13" s="56" customFormat="1">
      <c r="L241" s="61"/>
      <c r="M241" s="61"/>
    </row>
    <row r="242" spans="12:13" s="56" customFormat="1">
      <c r="L242" s="61"/>
      <c r="M242" s="61"/>
    </row>
    <row r="243" spans="12:13" s="56" customFormat="1">
      <c r="L243" s="61"/>
      <c r="M243" s="61"/>
    </row>
    <row r="244" spans="12:13" s="56" customFormat="1">
      <c r="L244" s="61"/>
      <c r="M244" s="61"/>
    </row>
    <row r="245" spans="12:13" s="56" customFormat="1">
      <c r="L245" s="61"/>
      <c r="M245" s="61"/>
    </row>
    <row r="246" spans="12:13" s="56" customFormat="1">
      <c r="L246" s="61"/>
      <c r="M246" s="61"/>
    </row>
    <row r="247" spans="12:13" s="56" customFormat="1">
      <c r="L247" s="61"/>
      <c r="M247" s="61"/>
    </row>
    <row r="248" spans="12:13" s="56" customFormat="1">
      <c r="L248" s="61"/>
      <c r="M248" s="61"/>
    </row>
    <row r="249" spans="12:13" s="56" customFormat="1">
      <c r="L249" s="61"/>
      <c r="M249" s="61"/>
    </row>
    <row r="250" spans="12:13" s="56" customFormat="1">
      <c r="L250" s="61"/>
      <c r="M250" s="61"/>
    </row>
    <row r="251" spans="12:13" s="56" customFormat="1">
      <c r="L251" s="61"/>
      <c r="M251" s="61"/>
    </row>
    <row r="252" spans="12:13" s="56" customFormat="1">
      <c r="L252" s="61"/>
      <c r="M252" s="61"/>
    </row>
    <row r="253" spans="12:13" s="56" customFormat="1">
      <c r="L253" s="61"/>
      <c r="M253" s="61"/>
    </row>
    <row r="254" spans="12:13" s="56" customFormat="1">
      <c r="L254" s="61"/>
      <c r="M254" s="61"/>
    </row>
    <row r="255" spans="12:13" s="56" customFormat="1">
      <c r="L255" s="61"/>
      <c r="M255" s="61"/>
    </row>
    <row r="256" spans="12:13" s="56" customFormat="1">
      <c r="L256" s="61"/>
      <c r="M256" s="61"/>
    </row>
    <row r="257" spans="12:13" s="56" customFormat="1">
      <c r="L257" s="61"/>
      <c r="M257" s="61"/>
    </row>
    <row r="258" spans="12:13" s="56" customFormat="1">
      <c r="L258" s="61"/>
      <c r="M258" s="61"/>
    </row>
    <row r="259" spans="12:13" s="56" customFormat="1">
      <c r="L259" s="61"/>
      <c r="M259" s="61"/>
    </row>
    <row r="260" spans="12:13" s="56" customFormat="1">
      <c r="L260" s="61"/>
      <c r="M260" s="61"/>
    </row>
    <row r="261" spans="12:13" s="56" customFormat="1">
      <c r="L261" s="61"/>
      <c r="M261" s="61"/>
    </row>
    <row r="262" spans="12:13" s="56" customFormat="1">
      <c r="L262" s="61"/>
      <c r="M262" s="61"/>
    </row>
    <row r="263" spans="12:13" s="56" customFormat="1">
      <c r="L263" s="61"/>
      <c r="M263" s="61"/>
    </row>
    <row r="264" spans="12:13" s="56" customFormat="1">
      <c r="L264" s="61"/>
      <c r="M264" s="61"/>
    </row>
    <row r="265" spans="12:13" s="56" customFormat="1">
      <c r="L265" s="61"/>
      <c r="M265" s="61"/>
    </row>
    <row r="266" spans="12:13" s="56" customFormat="1">
      <c r="L266" s="61"/>
      <c r="M266" s="61"/>
    </row>
    <row r="267" spans="12:13" s="56" customFormat="1">
      <c r="L267" s="61"/>
      <c r="M267" s="61"/>
    </row>
    <row r="268" spans="12:13" s="56" customFormat="1">
      <c r="L268" s="61"/>
      <c r="M268" s="61"/>
    </row>
    <row r="269" spans="12:13" s="56" customFormat="1">
      <c r="L269" s="61"/>
      <c r="M269" s="61"/>
    </row>
    <row r="270" spans="12:13" s="56" customFormat="1">
      <c r="L270" s="61"/>
      <c r="M270" s="61"/>
    </row>
    <row r="271" spans="12:13" s="56" customFormat="1">
      <c r="L271" s="61"/>
      <c r="M271" s="61"/>
    </row>
    <row r="272" spans="12:13" s="56" customFormat="1">
      <c r="L272" s="61"/>
      <c r="M272" s="61"/>
    </row>
    <row r="273" spans="12:13" s="56" customFormat="1">
      <c r="L273" s="61"/>
      <c r="M273" s="61"/>
    </row>
    <row r="274" spans="12:13" s="56" customFormat="1">
      <c r="L274" s="61"/>
      <c r="M274" s="61"/>
    </row>
    <row r="275" spans="12:13" s="56" customFormat="1">
      <c r="L275" s="61"/>
      <c r="M275" s="61"/>
    </row>
    <row r="276" spans="12:13" s="56" customFormat="1">
      <c r="L276" s="61"/>
      <c r="M276" s="61"/>
    </row>
    <row r="277" spans="12:13" s="56" customFormat="1">
      <c r="L277" s="61"/>
      <c r="M277" s="61"/>
    </row>
    <row r="278" spans="12:13" s="56" customFormat="1">
      <c r="L278" s="61"/>
      <c r="M278" s="61"/>
    </row>
    <row r="279" spans="12:13" s="56" customFormat="1">
      <c r="L279" s="61"/>
      <c r="M279" s="61"/>
    </row>
    <row r="280" spans="12:13" s="56" customFormat="1">
      <c r="L280" s="61"/>
      <c r="M280" s="61"/>
    </row>
    <row r="281" spans="12:13" s="56" customFormat="1">
      <c r="L281" s="61"/>
      <c r="M281" s="61"/>
    </row>
    <row r="282" spans="12:13" s="56" customFormat="1">
      <c r="L282" s="61"/>
      <c r="M282" s="61"/>
    </row>
    <row r="283" spans="12:13" s="56" customFormat="1">
      <c r="L283" s="61"/>
      <c r="M283" s="61"/>
    </row>
    <row r="284" spans="12:13" s="56" customFormat="1">
      <c r="L284" s="61"/>
      <c r="M284" s="61"/>
    </row>
    <row r="285" spans="12:13" s="56" customFormat="1">
      <c r="L285" s="61"/>
      <c r="M285" s="61"/>
    </row>
    <row r="286" spans="12:13" s="56" customFormat="1">
      <c r="L286" s="61"/>
      <c r="M286" s="61"/>
    </row>
    <row r="287" spans="12:13" s="56" customFormat="1">
      <c r="L287" s="61"/>
      <c r="M287" s="61"/>
    </row>
    <row r="288" spans="12:13" s="56" customFormat="1">
      <c r="L288" s="61"/>
      <c r="M288" s="61"/>
    </row>
    <row r="289" spans="12:13" s="56" customFormat="1">
      <c r="L289" s="61"/>
      <c r="M289" s="61"/>
    </row>
    <row r="290" spans="12:13" s="56" customFormat="1">
      <c r="L290" s="61"/>
      <c r="M290" s="61"/>
    </row>
    <row r="291" spans="12:13" s="56" customFormat="1">
      <c r="L291" s="61"/>
      <c r="M291" s="61"/>
    </row>
    <row r="292" spans="12:13" s="56" customFormat="1">
      <c r="L292" s="61"/>
      <c r="M292" s="61"/>
    </row>
    <row r="293" spans="12:13" s="56" customFormat="1">
      <c r="L293" s="61"/>
      <c r="M293" s="61"/>
    </row>
    <row r="294" spans="12:13" s="56" customFormat="1">
      <c r="L294" s="61"/>
      <c r="M294" s="61"/>
    </row>
    <row r="295" spans="12:13" s="56" customFormat="1">
      <c r="L295" s="61"/>
      <c r="M295" s="61"/>
    </row>
    <row r="296" spans="12:13" s="56" customFormat="1">
      <c r="L296" s="61"/>
      <c r="M296" s="61"/>
    </row>
    <row r="297" spans="12:13" s="56" customFormat="1">
      <c r="L297" s="61"/>
      <c r="M297" s="61"/>
    </row>
    <row r="298" spans="12:13" s="56" customFormat="1">
      <c r="L298" s="61"/>
      <c r="M298" s="61"/>
    </row>
    <row r="299" spans="12:13" s="56" customFormat="1">
      <c r="L299" s="61"/>
      <c r="M299" s="61"/>
    </row>
    <row r="300" spans="12:13" s="56" customFormat="1">
      <c r="L300" s="61"/>
      <c r="M300" s="61"/>
    </row>
    <row r="301" spans="12:13" s="56" customFormat="1">
      <c r="L301" s="61"/>
      <c r="M301" s="61"/>
    </row>
    <row r="302" spans="12:13" s="56" customFormat="1">
      <c r="L302" s="61"/>
      <c r="M302" s="61"/>
    </row>
    <row r="303" spans="12:13" s="56" customFormat="1">
      <c r="L303" s="61"/>
      <c r="M303" s="61"/>
    </row>
    <row r="304" spans="12:13" s="56" customFormat="1">
      <c r="L304" s="61"/>
      <c r="M304" s="61"/>
    </row>
    <row r="305" spans="12:13" s="56" customFormat="1">
      <c r="L305" s="61"/>
      <c r="M305" s="61"/>
    </row>
    <row r="306" spans="12:13" s="56" customFormat="1">
      <c r="L306" s="61"/>
      <c r="M306" s="61"/>
    </row>
    <row r="307" spans="12:13" s="56" customFormat="1">
      <c r="L307" s="61"/>
      <c r="M307" s="61"/>
    </row>
    <row r="308" spans="12:13" s="56" customFormat="1">
      <c r="L308" s="61"/>
      <c r="M308" s="61"/>
    </row>
    <row r="309" spans="12:13" s="56" customFormat="1">
      <c r="L309" s="61"/>
      <c r="M309" s="61"/>
    </row>
    <row r="310" spans="12:13" s="56" customFormat="1">
      <c r="L310" s="61"/>
      <c r="M310" s="61"/>
    </row>
    <row r="311" spans="12:13" s="56" customFormat="1">
      <c r="L311" s="61"/>
      <c r="M311" s="61"/>
    </row>
    <row r="312" spans="12:13" s="56" customFormat="1">
      <c r="L312" s="61"/>
      <c r="M312" s="61"/>
    </row>
    <row r="313" spans="12:13" s="56" customFormat="1">
      <c r="L313" s="61"/>
      <c r="M313" s="61"/>
    </row>
    <row r="314" spans="12:13" s="56" customFormat="1">
      <c r="L314" s="61"/>
      <c r="M314" s="61"/>
    </row>
    <row r="315" spans="12:13" s="56" customFormat="1">
      <c r="L315" s="61"/>
      <c r="M315" s="61"/>
    </row>
    <row r="316" spans="12:13" s="56" customFormat="1">
      <c r="L316" s="61"/>
      <c r="M316" s="61"/>
    </row>
    <row r="317" spans="12:13" s="56" customFormat="1">
      <c r="L317" s="61"/>
      <c r="M317" s="61"/>
    </row>
  </sheetData>
  <sheetProtection sheet="1" objects="1" scenarios="1"/>
  <mergeCells count="19">
    <mergeCell ref="D86:E86"/>
    <mergeCell ref="D80:G80"/>
    <mergeCell ref="D81:E81"/>
    <mergeCell ref="D82:E82"/>
    <mergeCell ref="D83:E83"/>
    <mergeCell ref="D87:E87"/>
    <mergeCell ref="D88:E88"/>
    <mergeCell ref="D89:E89"/>
    <mergeCell ref="D90:E90"/>
    <mergeCell ref="D92:G92"/>
    <mergeCell ref="B3:M3"/>
    <mergeCell ref="M52:M53"/>
    <mergeCell ref="D85:G85"/>
    <mergeCell ref="M35:M37"/>
    <mergeCell ref="M30:M32"/>
    <mergeCell ref="M41:M51"/>
    <mergeCell ref="B6:C6"/>
    <mergeCell ref="B62:C62"/>
    <mergeCell ref="D74:K74"/>
  </mergeCells>
  <conditionalFormatting sqref="M8">
    <cfRule type="containsBlanks" dxfId="345" priority="12">
      <formula>LEN(TRIM(M8))=0</formula>
    </cfRule>
  </conditionalFormatting>
  <conditionalFormatting sqref="M9">
    <cfRule type="containsBlanks" dxfId="344" priority="11">
      <formula>LEN(TRIM(M9))=0</formula>
    </cfRule>
  </conditionalFormatting>
  <conditionalFormatting sqref="M10">
    <cfRule type="containsBlanks" dxfId="343" priority="10">
      <formula>LEN(TRIM(M10))=0</formula>
    </cfRule>
  </conditionalFormatting>
  <conditionalFormatting sqref="M12">
    <cfRule type="containsBlanks" dxfId="342" priority="9">
      <formula>LEN(TRIM(M12))=0</formula>
    </cfRule>
  </conditionalFormatting>
  <conditionalFormatting sqref="M13">
    <cfRule type="containsBlanks" dxfId="341" priority="8">
      <formula>LEN(TRIM(M13))=0</formula>
    </cfRule>
  </conditionalFormatting>
  <conditionalFormatting sqref="M30:M32">
    <cfRule type="containsBlanks" dxfId="340" priority="7">
      <formula>LEN(TRIM(M30))=0</formula>
    </cfRule>
  </conditionalFormatting>
  <conditionalFormatting sqref="M41:M51">
    <cfRule type="containsBlanks" dxfId="339" priority="5">
      <formula>LEN(TRIM(M41))=0</formula>
    </cfRule>
  </conditionalFormatting>
  <conditionalFormatting sqref="M52:M53">
    <cfRule type="containsBlanks" dxfId="338" priority="4">
      <formula>LEN(TRIM(M52))=0</formula>
    </cfRule>
  </conditionalFormatting>
  <conditionalFormatting sqref="M57">
    <cfRule type="containsBlanks" dxfId="337" priority="3">
      <formula>LEN(TRIM(M57))=0</formula>
    </cfRule>
  </conditionalFormatting>
  <conditionalFormatting sqref="M35:M37">
    <cfRule type="containsBlanks" dxfId="336" priority="2">
      <formula>LEN(TRIM(M35))=0</formula>
    </cfRule>
  </conditionalFormatting>
  <conditionalFormatting sqref="M15">
    <cfRule type="containsBlanks" dxfId="335" priority="1">
      <formula>LEN(TRIM(M15))=0</formula>
    </cfRule>
  </conditionalFormatting>
  <dataValidations count="3">
    <dataValidation type="textLength" allowBlank="1" showInputMessage="1" showErrorMessage="1" sqref="M57 M12:M13 M30:M32 M35:M38 M9:M10 M41:M51 M15" xr:uid="{00000000-0002-0000-0100-000000000000}">
      <formula1>29</formula1>
      <formula2>29</formula2>
    </dataValidation>
    <dataValidation type="textLength" allowBlank="1" showInputMessage="1" showErrorMessage="1" promptTitle="ESXi License Key" prompt="When entering the ESXi license key, a vCloud Suite license key can also be supplied" sqref="M8" xr:uid="{3CE6020F-E1BF-7844-8E26-74907AFBC0BD}">
      <formula1>29</formula1>
      <formula2>29</formula2>
    </dataValidation>
    <dataValidation type="textLength" allowBlank="1" showInputMessage="1" showErrorMessage="1" promptTitle="vRealize Business for Cloud " prompt="If using a vRealize Suite license use the same key for vRealize Automation and vRealize Business for Cloud_x000a_" sqref="M52:M53" xr:uid="{A9B8C35C-53DB-0243-97B2-52C21416AD90}">
      <formula1>29</formula1>
      <formula2>29</formula2>
    </dataValidation>
  </dataValidations>
  <pageMargins left="0.7" right="0.7" top="0.75" bottom="0.75" header="0.3" footer="0.3"/>
  <pageSetup paperSize="9" orientation="portrait" horizontalDpi="75" verticalDpi="7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B1:I114"/>
  <sheetViews>
    <sheetView showGridLines="0" zoomScaleNormal="100" zoomScalePageLayoutView="117" workbookViewId="0">
      <pane ySplit="3" topLeftCell="A4" activePane="bottomLeft" state="frozen"/>
      <selection pane="bottomLeft" activeCell="D54" sqref="D54"/>
    </sheetView>
  </sheetViews>
  <sheetFormatPr baseColWidth="10" defaultColWidth="8.83203125" defaultRowHeight="14"/>
  <cols>
    <col min="1" max="1" width="1.5" style="65" customWidth="1"/>
    <col min="2" max="2" width="26.83203125" style="65" customWidth="1"/>
    <col min="3" max="3" width="16.83203125" style="65" customWidth="1"/>
    <col min="4" max="4" width="87.83203125" style="63" customWidth="1"/>
    <col min="5" max="5" width="13.83203125" style="64" customWidth="1"/>
    <col min="6" max="6" width="45.83203125" style="65" customWidth="1"/>
    <col min="7" max="7" width="35.33203125" style="63" customWidth="1"/>
    <col min="8" max="16384" width="8.83203125" style="65"/>
  </cols>
  <sheetData>
    <row r="1" spans="2:9" ht="48" customHeight="1">
      <c r="B1" s="62"/>
      <c r="C1" s="62"/>
      <c r="D1" s="63" t="s">
        <v>5</v>
      </c>
    </row>
    <row r="2" spans="2:9" ht="2" customHeight="1" thickBot="1"/>
    <row r="3" spans="2:9" ht="51" customHeight="1" thickBot="1">
      <c r="B3" s="332" t="s">
        <v>1185</v>
      </c>
      <c r="C3" s="363"/>
      <c r="D3" s="363"/>
      <c r="E3" s="363"/>
      <c r="F3" s="364"/>
      <c r="G3" s="101"/>
      <c r="H3" s="66"/>
      <c r="I3" s="66"/>
    </row>
    <row r="4" spans="2:9" s="68" customFormat="1" ht="4" customHeight="1" thickBot="1">
      <c r="B4" s="67"/>
      <c r="C4" s="67"/>
      <c r="G4" s="65"/>
      <c r="H4" s="65"/>
    </row>
    <row r="5" spans="2:9" s="88" customFormat="1" ht="16" customHeight="1">
      <c r="B5" s="367" t="s">
        <v>25</v>
      </c>
      <c r="C5" s="368"/>
      <c r="D5" s="188"/>
      <c r="E5" s="72"/>
      <c r="G5" s="87"/>
      <c r="H5" s="87"/>
    </row>
    <row r="6" spans="2:9" s="88" customFormat="1" ht="16" customHeight="1">
      <c r="B6" s="365" t="s">
        <v>1175</v>
      </c>
      <c r="C6" s="366"/>
      <c r="D6" s="74" t="s">
        <v>9</v>
      </c>
      <c r="E6" s="75" t="s">
        <v>1173</v>
      </c>
    </row>
    <row r="7" spans="2:9" s="88" customFormat="1" ht="16" customHeight="1">
      <c r="B7" s="359" t="s">
        <v>940</v>
      </c>
      <c r="C7" s="360"/>
      <c r="D7" s="78" t="s">
        <v>1167</v>
      </c>
      <c r="E7" s="189" t="s">
        <v>1174</v>
      </c>
    </row>
    <row r="8" spans="2:9" s="88" customFormat="1" ht="16" customHeight="1">
      <c r="B8" s="359" t="s">
        <v>941</v>
      </c>
      <c r="C8" s="360"/>
      <c r="D8" s="78" t="s">
        <v>1168</v>
      </c>
      <c r="E8" s="189" t="s">
        <v>1174</v>
      </c>
    </row>
    <row r="9" spans="2:9" s="88" customFormat="1" ht="16" customHeight="1">
      <c r="B9" s="359" t="s">
        <v>1067</v>
      </c>
      <c r="C9" s="360"/>
      <c r="D9" s="78" t="s">
        <v>1169</v>
      </c>
      <c r="E9" s="189" t="s">
        <v>1174</v>
      </c>
    </row>
    <row r="10" spans="2:9" s="88" customFormat="1" ht="16" customHeight="1">
      <c r="B10" s="359" t="s">
        <v>942</v>
      </c>
      <c r="C10" s="360"/>
      <c r="D10" s="78" t="s">
        <v>1170</v>
      </c>
      <c r="E10" s="189" t="s">
        <v>1174</v>
      </c>
    </row>
    <row r="11" spans="2:9" s="88" customFormat="1" ht="16" customHeight="1">
      <c r="B11" s="359" t="s">
        <v>1017</v>
      </c>
      <c r="C11" s="360"/>
      <c r="D11" s="78" t="s">
        <v>1171</v>
      </c>
      <c r="E11" s="189" t="s">
        <v>1174</v>
      </c>
    </row>
    <row r="12" spans="2:9" s="88" customFormat="1" ht="16" customHeight="1" thickBot="1">
      <c r="B12" s="361" t="s">
        <v>1018</v>
      </c>
      <c r="C12" s="362"/>
      <c r="D12" s="84" t="s">
        <v>1172</v>
      </c>
      <c r="E12" s="190" t="s">
        <v>1174</v>
      </c>
    </row>
    <row r="13" spans="2:9" s="88" customFormat="1" ht="4" customHeight="1" thickBot="1">
      <c r="B13" s="89"/>
      <c r="C13" s="89"/>
    </row>
    <row r="14" spans="2:9" s="96" customFormat="1" ht="18">
      <c r="B14" s="100" t="s">
        <v>24</v>
      </c>
      <c r="C14" s="165"/>
      <c r="D14" s="166"/>
      <c r="E14" s="167"/>
      <c r="F14" s="168"/>
    </row>
    <row r="15" spans="2:9" s="96" customFormat="1" ht="16" customHeight="1">
      <c r="B15" s="73" t="s">
        <v>23</v>
      </c>
      <c r="C15" s="74" t="s">
        <v>196</v>
      </c>
      <c r="D15" s="74" t="s">
        <v>9</v>
      </c>
      <c r="E15" s="74" t="s">
        <v>556</v>
      </c>
      <c r="F15" s="75" t="s">
        <v>832</v>
      </c>
    </row>
    <row r="16" spans="2:9" s="96" customFormat="1" ht="16" customHeight="1">
      <c r="B16" s="356" t="s">
        <v>865</v>
      </c>
      <c r="C16" s="357"/>
      <c r="D16" s="357"/>
      <c r="E16" s="357"/>
      <c r="F16" s="358"/>
    </row>
    <row r="17" spans="2:7" s="96" customFormat="1" ht="30" customHeight="1">
      <c r="B17" s="186" t="s">
        <v>15</v>
      </c>
      <c r="C17" s="185" t="s">
        <v>16</v>
      </c>
      <c r="D17" s="78" t="s">
        <v>1209</v>
      </c>
      <c r="E17" s="79" t="s">
        <v>557</v>
      </c>
      <c r="F17" s="80" t="s">
        <v>11</v>
      </c>
    </row>
    <row r="18" spans="2:7" s="96" customFormat="1" ht="30" customHeight="1">
      <c r="B18" s="203" t="s">
        <v>1260</v>
      </c>
      <c r="C18" s="185" t="s">
        <v>16</v>
      </c>
      <c r="D18" s="202" t="s">
        <v>1207</v>
      </c>
      <c r="E18" s="79" t="s">
        <v>558</v>
      </c>
      <c r="F18" s="80" t="s">
        <v>875</v>
      </c>
    </row>
    <row r="19" spans="2:7" s="96" customFormat="1" ht="30" customHeight="1">
      <c r="B19" s="77" t="s">
        <v>158</v>
      </c>
      <c r="C19" s="185" t="s">
        <v>16</v>
      </c>
      <c r="D19" s="202" t="s">
        <v>1206</v>
      </c>
      <c r="E19" s="79" t="s">
        <v>557</v>
      </c>
      <c r="F19" s="80" t="s">
        <v>11</v>
      </c>
    </row>
    <row r="20" spans="2:7" s="96" customFormat="1" ht="30" customHeight="1">
      <c r="B20" s="77" t="s">
        <v>15</v>
      </c>
      <c r="C20" s="185" t="s">
        <v>16</v>
      </c>
      <c r="D20" s="202" t="s">
        <v>1208</v>
      </c>
      <c r="E20" s="79" t="s">
        <v>557</v>
      </c>
      <c r="F20" s="80" t="s">
        <v>11</v>
      </c>
    </row>
    <row r="21" spans="2:7" s="96" customFormat="1" ht="30" customHeight="1">
      <c r="B21" s="77" t="s">
        <v>159</v>
      </c>
      <c r="C21" s="185" t="s">
        <v>16</v>
      </c>
      <c r="D21" s="202" t="s">
        <v>1210</v>
      </c>
      <c r="E21" s="79" t="s">
        <v>557</v>
      </c>
      <c r="F21" s="80" t="s">
        <v>11</v>
      </c>
    </row>
    <row r="22" spans="2:7" s="96" customFormat="1" ht="30" customHeight="1">
      <c r="B22" s="77" t="s">
        <v>159</v>
      </c>
      <c r="C22" s="185" t="s">
        <v>16</v>
      </c>
      <c r="D22" s="202" t="s">
        <v>1211</v>
      </c>
      <c r="E22" s="79" t="s">
        <v>557</v>
      </c>
      <c r="F22" s="80" t="s">
        <v>11</v>
      </c>
    </row>
    <row r="23" spans="2:7" s="96" customFormat="1" ht="30" customHeight="1">
      <c r="B23" s="203" t="s">
        <v>1261</v>
      </c>
      <c r="C23" s="185" t="s">
        <v>16</v>
      </c>
      <c r="D23" s="78" t="s">
        <v>26</v>
      </c>
      <c r="E23" s="79" t="s">
        <v>558</v>
      </c>
      <c r="F23" s="80" t="str">
        <f>B8</f>
        <v>ug-vCenterAdmins</v>
      </c>
      <c r="G23" s="82" t="s">
        <v>506</v>
      </c>
    </row>
    <row r="24" spans="2:7" s="96" customFormat="1" ht="16" customHeight="1">
      <c r="B24" s="356" t="s">
        <v>872</v>
      </c>
      <c r="C24" s="357"/>
      <c r="D24" s="357"/>
      <c r="E24" s="357"/>
      <c r="F24" s="358"/>
      <c r="G24" s="169"/>
    </row>
    <row r="25" spans="2:7" s="96" customFormat="1" ht="30" customHeight="1">
      <c r="B25" s="77" t="s">
        <v>15</v>
      </c>
      <c r="C25" s="185" t="s">
        <v>965</v>
      </c>
      <c r="D25" s="202" t="s">
        <v>1212</v>
      </c>
      <c r="E25" s="79" t="s">
        <v>557</v>
      </c>
      <c r="F25" s="80" t="s">
        <v>11</v>
      </c>
      <c r="G25" s="169"/>
    </row>
    <row r="26" spans="2:7" s="96" customFormat="1" ht="30" customHeight="1">
      <c r="B26" s="77" t="s">
        <v>964</v>
      </c>
      <c r="C26" s="185" t="s">
        <v>965</v>
      </c>
      <c r="D26" s="202" t="s">
        <v>1213</v>
      </c>
      <c r="E26" s="79" t="s">
        <v>557</v>
      </c>
      <c r="F26" s="80" t="s">
        <v>11</v>
      </c>
      <c r="G26" s="169"/>
    </row>
    <row r="27" spans="2:7" s="96" customFormat="1" ht="30" customHeight="1">
      <c r="B27" s="203" t="s">
        <v>1054</v>
      </c>
      <c r="C27" s="185" t="s">
        <v>965</v>
      </c>
      <c r="D27" s="202" t="s">
        <v>1214</v>
      </c>
      <c r="E27" s="79" t="s">
        <v>558</v>
      </c>
      <c r="F27" s="80" t="s">
        <v>11</v>
      </c>
      <c r="G27" s="169"/>
    </row>
    <row r="28" spans="2:7" s="96" customFormat="1" ht="30" customHeight="1">
      <c r="B28" s="77" t="s">
        <v>15</v>
      </c>
      <c r="C28" s="185" t="s">
        <v>16</v>
      </c>
      <c r="D28" s="202" t="s">
        <v>1215</v>
      </c>
      <c r="E28" s="79" t="s">
        <v>557</v>
      </c>
      <c r="F28" s="80" t="s">
        <v>11</v>
      </c>
      <c r="G28" s="169"/>
    </row>
    <row r="29" spans="2:7" s="96" customFormat="1" ht="30" customHeight="1">
      <c r="B29" s="77" t="s">
        <v>159</v>
      </c>
      <c r="C29" s="185" t="s">
        <v>16</v>
      </c>
      <c r="D29" s="202" t="s">
        <v>1216</v>
      </c>
      <c r="E29" s="79" t="s">
        <v>557</v>
      </c>
      <c r="F29" s="80" t="s">
        <v>11</v>
      </c>
      <c r="G29" s="169"/>
    </row>
    <row r="30" spans="2:7" s="96" customFormat="1" ht="30" customHeight="1">
      <c r="B30" s="203" t="s">
        <v>860</v>
      </c>
      <c r="C30" s="185" t="s">
        <v>16</v>
      </c>
      <c r="D30" s="78" t="s">
        <v>1096</v>
      </c>
      <c r="E30" s="79" t="s">
        <v>558</v>
      </c>
      <c r="F30" s="80" t="s">
        <v>11</v>
      </c>
      <c r="G30" s="169"/>
    </row>
    <row r="31" spans="2:7" s="96" customFormat="1" ht="30" customHeight="1">
      <c r="B31" s="203" t="s">
        <v>576</v>
      </c>
      <c r="C31" s="185" t="s">
        <v>16</v>
      </c>
      <c r="D31" s="202" t="s">
        <v>1217</v>
      </c>
      <c r="E31" s="79" t="s">
        <v>558</v>
      </c>
      <c r="F31" s="80" t="s">
        <v>11</v>
      </c>
      <c r="G31" s="169"/>
    </row>
    <row r="32" spans="2:7" s="96" customFormat="1" ht="30" customHeight="1">
      <c r="B32" s="203" t="s">
        <v>585</v>
      </c>
      <c r="C32" s="185" t="s">
        <v>16</v>
      </c>
      <c r="D32" s="202" t="s">
        <v>1218</v>
      </c>
      <c r="E32" s="79" t="s">
        <v>558</v>
      </c>
      <c r="F32" s="80" t="s">
        <v>11</v>
      </c>
      <c r="G32" s="169"/>
    </row>
    <row r="33" spans="2:7" s="96" customFormat="1" ht="30" customHeight="1">
      <c r="B33" s="203" t="s">
        <v>577</v>
      </c>
      <c r="C33" s="185" t="s">
        <v>16</v>
      </c>
      <c r="D33" s="202" t="s">
        <v>1219</v>
      </c>
      <c r="E33" s="79" t="s">
        <v>558</v>
      </c>
      <c r="F33" s="80" t="s">
        <v>11</v>
      </c>
      <c r="G33" s="169"/>
    </row>
    <row r="34" spans="2:7" s="96" customFormat="1" ht="30" customHeight="1">
      <c r="B34" s="203" t="s">
        <v>586</v>
      </c>
      <c r="C34" s="185" t="s">
        <v>16</v>
      </c>
      <c r="D34" s="202" t="s">
        <v>1220</v>
      </c>
      <c r="E34" s="79" t="s">
        <v>558</v>
      </c>
      <c r="F34" s="80" t="s">
        <v>11</v>
      </c>
      <c r="G34" s="169"/>
    </row>
    <row r="35" spans="2:7" s="96" customFormat="1" ht="30" customHeight="1">
      <c r="B35" s="203" t="s">
        <v>622</v>
      </c>
      <c r="C35" s="185" t="s">
        <v>16</v>
      </c>
      <c r="D35" s="202" t="s">
        <v>1221</v>
      </c>
      <c r="E35" s="79" t="s">
        <v>558</v>
      </c>
      <c r="F35" s="80" t="s">
        <v>11</v>
      </c>
      <c r="G35" s="169"/>
    </row>
    <row r="36" spans="2:7" s="96" customFormat="1" ht="30" customHeight="1">
      <c r="B36" s="203" t="s">
        <v>861</v>
      </c>
      <c r="C36" s="185" t="s">
        <v>16</v>
      </c>
      <c r="D36" s="202" t="s">
        <v>1224</v>
      </c>
      <c r="E36" s="79" t="s">
        <v>558</v>
      </c>
      <c r="F36" s="80" t="s">
        <v>11</v>
      </c>
      <c r="G36" s="169"/>
    </row>
    <row r="37" spans="2:7" s="96" customFormat="1" ht="30" customHeight="1">
      <c r="B37" s="203" t="s">
        <v>554</v>
      </c>
      <c r="C37" s="185" t="s">
        <v>16</v>
      </c>
      <c r="D37" s="202" t="s">
        <v>1222</v>
      </c>
      <c r="E37" s="79" t="s">
        <v>558</v>
      </c>
      <c r="F37" s="80" t="s">
        <v>11</v>
      </c>
      <c r="G37" s="169"/>
    </row>
    <row r="38" spans="2:7" s="96" customFormat="1" ht="30" customHeight="1">
      <c r="B38" s="203" t="s">
        <v>555</v>
      </c>
      <c r="C38" s="185" t="s">
        <v>16</v>
      </c>
      <c r="D38" s="202" t="s">
        <v>1223</v>
      </c>
      <c r="E38" s="79" t="s">
        <v>558</v>
      </c>
      <c r="F38" s="80" t="s">
        <v>11</v>
      </c>
      <c r="G38" s="169"/>
    </row>
    <row r="39" spans="2:7" s="96" customFormat="1" ht="30" customHeight="1">
      <c r="B39" s="77" t="s">
        <v>15</v>
      </c>
      <c r="C39" s="185" t="s">
        <v>16</v>
      </c>
      <c r="D39" s="202" t="s">
        <v>1225</v>
      </c>
      <c r="E39" s="79" t="s">
        <v>557</v>
      </c>
      <c r="F39" s="80" t="s">
        <v>11</v>
      </c>
      <c r="G39" s="169"/>
    </row>
    <row r="40" spans="2:7" s="96" customFormat="1" ht="30" customHeight="1">
      <c r="B40" s="77" t="s">
        <v>159</v>
      </c>
      <c r="C40" s="185" t="s">
        <v>16</v>
      </c>
      <c r="D40" s="202" t="s">
        <v>1226</v>
      </c>
      <c r="E40" s="79" t="s">
        <v>557</v>
      </c>
      <c r="F40" s="80" t="s">
        <v>11</v>
      </c>
      <c r="G40" s="169"/>
    </row>
    <row r="41" spans="2:7" s="96" customFormat="1" ht="30" customHeight="1">
      <c r="B41" s="203" t="s">
        <v>952</v>
      </c>
      <c r="C41" s="185" t="s">
        <v>16</v>
      </c>
      <c r="D41" s="202" t="s">
        <v>1227</v>
      </c>
      <c r="E41" s="79" t="s">
        <v>558</v>
      </c>
      <c r="F41" s="80" t="s">
        <v>11</v>
      </c>
      <c r="G41" s="169"/>
    </row>
    <row r="42" spans="2:7" s="96" customFormat="1" ht="30" customHeight="1">
      <c r="B42" s="203" t="s">
        <v>89</v>
      </c>
      <c r="C42" s="185" t="s">
        <v>16</v>
      </c>
      <c r="D42" s="78" t="s">
        <v>953</v>
      </c>
      <c r="E42" s="79" t="s">
        <v>558</v>
      </c>
      <c r="F42" s="80" t="s">
        <v>11</v>
      </c>
      <c r="G42" s="169"/>
    </row>
    <row r="43" spans="2:7" s="96" customFormat="1" ht="30" customHeight="1">
      <c r="B43" s="203" t="s">
        <v>1156</v>
      </c>
      <c r="C43" s="185" t="s">
        <v>16</v>
      </c>
      <c r="D43" s="78" t="s">
        <v>1231</v>
      </c>
      <c r="E43" s="79" t="s">
        <v>557</v>
      </c>
      <c r="F43" s="80" t="s">
        <v>11</v>
      </c>
      <c r="G43" s="169"/>
    </row>
    <row r="44" spans="2:7" s="96" customFormat="1" ht="16" customHeight="1">
      <c r="B44" s="356" t="s">
        <v>866</v>
      </c>
      <c r="C44" s="357"/>
      <c r="D44" s="357"/>
      <c r="E44" s="357"/>
      <c r="F44" s="358"/>
      <c r="G44" s="169"/>
    </row>
    <row r="45" spans="2:7" s="96" customFormat="1" ht="30" customHeight="1">
      <c r="B45" s="77" t="s">
        <v>15</v>
      </c>
      <c r="C45" s="185" t="s">
        <v>16</v>
      </c>
      <c r="D45" s="78" t="s">
        <v>1228</v>
      </c>
      <c r="E45" s="79" t="s">
        <v>557</v>
      </c>
      <c r="F45" s="80" t="s">
        <v>11</v>
      </c>
      <c r="G45" s="169"/>
    </row>
    <row r="46" spans="2:7" s="96" customFormat="1" ht="30" customHeight="1">
      <c r="B46" s="77" t="s">
        <v>158</v>
      </c>
      <c r="C46" s="185" t="s">
        <v>16</v>
      </c>
      <c r="D46" s="78" t="s">
        <v>1097</v>
      </c>
      <c r="E46" s="79" t="s">
        <v>557</v>
      </c>
      <c r="F46" s="80" t="s">
        <v>11</v>
      </c>
      <c r="G46" s="169"/>
    </row>
    <row r="47" spans="2:7" s="96" customFormat="1" ht="30" customHeight="1">
      <c r="B47" s="203" t="s">
        <v>27</v>
      </c>
      <c r="C47" s="185" t="s">
        <v>16</v>
      </c>
      <c r="D47" s="78" t="s">
        <v>150</v>
      </c>
      <c r="E47" s="79" t="s">
        <v>558</v>
      </c>
      <c r="F47" s="80" t="str">
        <f>"Local Adminstrators of all IaaS Servers, "&amp;B8&amp;", "&amp;B10</f>
        <v>Local Adminstrators of all IaaS Servers, ug-vCenterAdmins, ug-vROAdmins</v>
      </c>
      <c r="G47" s="169"/>
    </row>
    <row r="48" spans="2:7" s="96" customFormat="1" ht="30" customHeight="1">
      <c r="B48" s="203" t="s">
        <v>1059</v>
      </c>
      <c r="C48" s="185" t="s">
        <v>16</v>
      </c>
      <c r="D48" s="78" t="s">
        <v>1060</v>
      </c>
      <c r="E48" s="79" t="s">
        <v>558</v>
      </c>
      <c r="F48" s="80" t="str">
        <f>B10</f>
        <v>ug-vROAdmins</v>
      </c>
      <c r="G48" s="169"/>
    </row>
    <row r="49" spans="2:7" s="96" customFormat="1" ht="28" customHeight="1">
      <c r="B49" s="203" t="s">
        <v>455</v>
      </c>
      <c r="C49" s="185" t="s">
        <v>16</v>
      </c>
      <c r="D49" s="78" t="s">
        <v>874</v>
      </c>
      <c r="E49" s="79" t="s">
        <v>557</v>
      </c>
      <c r="F49" s="80" t="s">
        <v>841</v>
      </c>
      <c r="G49" s="169"/>
    </row>
    <row r="50" spans="2:7" s="96" customFormat="1" ht="28" customHeight="1">
      <c r="B50" s="77" t="s">
        <v>15</v>
      </c>
      <c r="C50" s="185" t="s">
        <v>16</v>
      </c>
      <c r="D50" s="78" t="s">
        <v>1229</v>
      </c>
      <c r="E50" s="79" t="s">
        <v>557</v>
      </c>
      <c r="F50" s="80" t="s">
        <v>11</v>
      </c>
      <c r="G50" s="169"/>
    </row>
    <row r="51" spans="2:7" s="96" customFormat="1" ht="28" customHeight="1">
      <c r="B51" s="203" t="s">
        <v>1262</v>
      </c>
      <c r="C51" s="185" t="s">
        <v>16</v>
      </c>
      <c r="D51" s="78" t="s">
        <v>1098</v>
      </c>
      <c r="E51" s="79" t="s">
        <v>558</v>
      </c>
      <c r="F51" s="80" t="str">
        <f>B12</f>
        <v>ug-vra-archs-rainpole</v>
      </c>
      <c r="G51" s="169"/>
    </row>
    <row r="52" spans="2:7" s="96" customFormat="1" ht="28" customHeight="1">
      <c r="B52" s="203" t="s">
        <v>1263</v>
      </c>
      <c r="C52" s="185" t="s">
        <v>16</v>
      </c>
      <c r="D52" s="78" t="s">
        <v>1259</v>
      </c>
      <c r="E52" s="79" t="s">
        <v>558</v>
      </c>
      <c r="F52" s="80" t="str">
        <f>B11&amp;", "&amp;B10</f>
        <v>ug-vra-admins-rainpole, ug-vROAdmins</v>
      </c>
      <c r="G52" s="169"/>
    </row>
    <row r="53" spans="2:7" s="96" customFormat="1" ht="16" customHeight="1">
      <c r="B53" s="356" t="s">
        <v>873</v>
      </c>
      <c r="C53" s="357"/>
      <c r="D53" s="357"/>
      <c r="E53" s="357"/>
      <c r="F53" s="358"/>
      <c r="G53" s="169"/>
    </row>
    <row r="54" spans="2:7" s="96" customFormat="1" ht="30" customHeight="1">
      <c r="B54" s="203" t="s">
        <v>455</v>
      </c>
      <c r="C54" s="185" t="s">
        <v>16</v>
      </c>
      <c r="D54" s="78" t="s">
        <v>1028</v>
      </c>
      <c r="E54" s="79" t="s">
        <v>557</v>
      </c>
      <c r="F54" s="80" t="s">
        <v>841</v>
      </c>
      <c r="G54" s="169"/>
    </row>
    <row r="55" spans="2:7" s="96" customFormat="1" ht="30" customHeight="1">
      <c r="B55" s="203" t="s">
        <v>837</v>
      </c>
      <c r="C55" s="185" t="s">
        <v>16</v>
      </c>
      <c r="D55" s="78" t="s">
        <v>838</v>
      </c>
      <c r="E55" s="79" t="s">
        <v>558</v>
      </c>
      <c r="F55" s="80" t="s">
        <v>11</v>
      </c>
      <c r="G55" s="169"/>
    </row>
    <row r="56" spans="2:7" s="96" customFormat="1" ht="30" customHeight="1">
      <c r="B56" s="77" t="s">
        <v>15</v>
      </c>
      <c r="C56" s="185" t="s">
        <v>16</v>
      </c>
      <c r="D56" s="78" t="s">
        <v>1230</v>
      </c>
      <c r="E56" s="79" t="s">
        <v>557</v>
      </c>
      <c r="F56" s="80" t="s">
        <v>11</v>
      </c>
      <c r="G56" s="169"/>
    </row>
    <row r="57" spans="2:7" s="96" customFormat="1" ht="30" customHeight="1" thickBot="1">
      <c r="B57" s="204" t="s">
        <v>839</v>
      </c>
      <c r="C57" s="205" t="s">
        <v>16</v>
      </c>
      <c r="D57" s="84" t="s">
        <v>840</v>
      </c>
      <c r="E57" s="85" t="s">
        <v>558</v>
      </c>
      <c r="F57" s="81" t="s">
        <v>11</v>
      </c>
      <c r="G57" s="169"/>
    </row>
    <row r="58" spans="2:7" s="76" customFormat="1" ht="13">
      <c r="D58" s="83"/>
      <c r="E58" s="86"/>
      <c r="G58" s="83"/>
    </row>
    <row r="59" spans="2:7" s="76" customFormat="1" ht="13">
      <c r="D59" s="83"/>
      <c r="E59" s="86"/>
      <c r="G59" s="83"/>
    </row>
    <row r="60" spans="2:7" s="76" customFormat="1" ht="13">
      <c r="D60" s="83"/>
      <c r="E60" s="86"/>
      <c r="G60" s="83"/>
    </row>
    <row r="61" spans="2:7" s="76" customFormat="1" ht="13">
      <c r="D61" s="83"/>
      <c r="E61" s="86"/>
      <c r="G61" s="83"/>
    </row>
    <row r="62" spans="2:7" s="76" customFormat="1" ht="13">
      <c r="D62" s="83"/>
      <c r="E62" s="86"/>
      <c r="G62" s="83"/>
    </row>
    <row r="63" spans="2:7" s="76" customFormat="1" ht="13">
      <c r="D63" s="83"/>
      <c r="E63" s="86"/>
      <c r="G63" s="83"/>
    </row>
    <row r="64" spans="2:7" s="76" customFormat="1" ht="13">
      <c r="D64" s="83"/>
      <c r="E64" s="86"/>
      <c r="G64" s="83"/>
    </row>
    <row r="65" spans="4:7" s="76" customFormat="1" ht="13">
      <c r="D65" s="83"/>
      <c r="E65" s="86"/>
      <c r="G65" s="83"/>
    </row>
    <row r="66" spans="4:7" s="76" customFormat="1" ht="13">
      <c r="D66" s="83"/>
      <c r="E66" s="86"/>
      <c r="G66" s="83"/>
    </row>
    <row r="67" spans="4:7" s="76" customFormat="1" ht="13">
      <c r="D67" s="83"/>
      <c r="E67" s="86"/>
      <c r="G67" s="83"/>
    </row>
    <row r="68" spans="4:7" s="76" customFormat="1" ht="13">
      <c r="D68" s="83"/>
      <c r="E68" s="86"/>
      <c r="G68" s="83"/>
    </row>
    <row r="69" spans="4:7" s="76" customFormat="1" ht="13">
      <c r="D69" s="83"/>
      <c r="E69" s="86"/>
      <c r="G69" s="83"/>
    </row>
    <row r="70" spans="4:7" s="76" customFormat="1" ht="13">
      <c r="D70" s="83"/>
      <c r="E70" s="86"/>
      <c r="G70" s="83"/>
    </row>
    <row r="71" spans="4:7" s="76" customFormat="1" ht="13">
      <c r="D71" s="83"/>
      <c r="E71" s="86"/>
      <c r="G71" s="83"/>
    </row>
    <row r="72" spans="4:7" s="76" customFormat="1" ht="13">
      <c r="D72" s="83"/>
      <c r="E72" s="86"/>
      <c r="G72" s="83"/>
    </row>
    <row r="73" spans="4:7" s="76" customFormat="1" ht="13">
      <c r="D73" s="83"/>
      <c r="E73" s="86"/>
      <c r="G73" s="83"/>
    </row>
    <row r="74" spans="4:7" s="76" customFormat="1" ht="13">
      <c r="D74" s="83"/>
      <c r="E74" s="86"/>
      <c r="G74" s="83"/>
    </row>
    <row r="75" spans="4:7" s="76" customFormat="1" ht="13">
      <c r="D75" s="83"/>
      <c r="E75" s="86"/>
      <c r="G75" s="83"/>
    </row>
    <row r="76" spans="4:7" s="69" customFormat="1">
      <c r="D76" s="70"/>
      <c r="E76" s="71"/>
      <c r="G76" s="70"/>
    </row>
    <row r="77" spans="4:7" s="69" customFormat="1">
      <c r="D77" s="70"/>
      <c r="E77" s="71"/>
      <c r="G77" s="70"/>
    </row>
    <row r="78" spans="4:7" s="69" customFormat="1">
      <c r="D78" s="70"/>
      <c r="E78" s="71"/>
      <c r="G78" s="70"/>
    </row>
    <row r="79" spans="4:7" s="69" customFormat="1">
      <c r="D79" s="70"/>
      <c r="E79" s="71"/>
      <c r="G79" s="70"/>
    </row>
    <row r="80" spans="4:7" s="69" customFormat="1">
      <c r="D80" s="70"/>
      <c r="E80" s="71"/>
      <c r="G80" s="70"/>
    </row>
    <row r="81" spans="2:7" s="69" customFormat="1">
      <c r="D81" s="70"/>
      <c r="E81" s="71"/>
      <c r="G81" s="70"/>
    </row>
    <row r="82" spans="2:7" s="69" customFormat="1">
      <c r="D82" s="70"/>
      <c r="E82" s="71"/>
      <c r="G82" s="70"/>
    </row>
    <row r="83" spans="2:7" s="69" customFormat="1">
      <c r="D83" s="70"/>
      <c r="E83" s="71"/>
      <c r="G83" s="70"/>
    </row>
    <row r="84" spans="2:7" s="69" customFormat="1">
      <c r="D84" s="70"/>
      <c r="E84" s="71"/>
      <c r="G84" s="70"/>
    </row>
    <row r="85" spans="2:7" s="69" customFormat="1">
      <c r="D85" s="70"/>
      <c r="E85" s="71"/>
      <c r="G85" s="70"/>
    </row>
    <row r="86" spans="2:7" s="69" customFormat="1">
      <c r="D86" s="70"/>
      <c r="E86" s="71"/>
      <c r="G86" s="70"/>
    </row>
    <row r="87" spans="2:7" s="69" customFormat="1">
      <c r="D87" s="70"/>
      <c r="E87" s="71"/>
      <c r="G87" s="63"/>
    </row>
    <row r="88" spans="2:7" s="69" customFormat="1">
      <c r="D88" s="70"/>
      <c r="E88" s="71"/>
      <c r="G88" s="63"/>
    </row>
    <row r="89" spans="2:7" s="69" customFormat="1">
      <c r="D89" s="70"/>
      <c r="E89" s="71"/>
      <c r="G89" s="63"/>
    </row>
    <row r="90" spans="2:7">
      <c r="B90" s="69"/>
      <c r="C90" s="69"/>
      <c r="D90" s="70"/>
      <c r="E90" s="71"/>
      <c r="F90" s="69"/>
    </row>
    <row r="91" spans="2:7">
      <c r="B91" s="69"/>
      <c r="C91" s="69"/>
      <c r="D91" s="70"/>
      <c r="E91" s="71"/>
      <c r="F91" s="69"/>
    </row>
    <row r="92" spans="2:7">
      <c r="B92" s="69"/>
      <c r="C92" s="69"/>
      <c r="D92" s="70"/>
      <c r="E92" s="71"/>
      <c r="F92" s="69"/>
    </row>
    <row r="93" spans="2:7">
      <c r="B93" s="69"/>
      <c r="C93" s="69"/>
      <c r="D93" s="70"/>
      <c r="E93" s="71"/>
      <c r="F93" s="69"/>
    </row>
    <row r="94" spans="2:7">
      <c r="B94" s="69"/>
      <c r="C94" s="69"/>
      <c r="D94" s="70"/>
      <c r="E94" s="71"/>
      <c r="F94" s="69"/>
    </row>
    <row r="95" spans="2:7">
      <c r="B95" s="69"/>
      <c r="C95" s="69"/>
      <c r="D95" s="70"/>
      <c r="E95" s="71"/>
      <c r="F95" s="69"/>
    </row>
    <row r="96" spans="2:7">
      <c r="B96" s="69"/>
      <c r="C96" s="69"/>
      <c r="D96" s="70"/>
      <c r="E96" s="71"/>
      <c r="F96" s="69"/>
    </row>
    <row r="97" spans="2:6">
      <c r="B97" s="69"/>
      <c r="C97" s="69"/>
      <c r="D97" s="70"/>
      <c r="E97" s="71"/>
      <c r="F97" s="69"/>
    </row>
    <row r="98" spans="2:6">
      <c r="B98" s="69"/>
      <c r="C98" s="69"/>
      <c r="D98" s="70"/>
      <c r="E98" s="71"/>
      <c r="F98" s="69"/>
    </row>
    <row r="99" spans="2:6">
      <c r="B99" s="69"/>
      <c r="C99" s="69"/>
      <c r="D99" s="70"/>
      <c r="E99" s="71"/>
      <c r="F99" s="69"/>
    </row>
    <row r="100" spans="2:6">
      <c r="B100" s="69"/>
      <c r="C100" s="69"/>
      <c r="D100" s="70"/>
      <c r="E100" s="71"/>
      <c r="F100" s="69"/>
    </row>
    <row r="101" spans="2:6">
      <c r="B101" s="69"/>
      <c r="C101" s="69"/>
      <c r="D101" s="70"/>
      <c r="E101" s="71"/>
      <c r="F101" s="69"/>
    </row>
    <row r="102" spans="2:6">
      <c r="B102" s="69"/>
      <c r="C102" s="69"/>
      <c r="D102" s="70"/>
      <c r="E102" s="71"/>
      <c r="F102" s="69"/>
    </row>
    <row r="103" spans="2:6">
      <c r="B103" s="69"/>
      <c r="C103" s="69"/>
      <c r="D103" s="70"/>
      <c r="E103" s="71"/>
      <c r="F103" s="69"/>
    </row>
    <row r="104" spans="2:6">
      <c r="B104" s="69"/>
      <c r="C104" s="69"/>
      <c r="D104" s="70"/>
      <c r="E104" s="71"/>
      <c r="F104" s="69"/>
    </row>
    <row r="105" spans="2:6">
      <c r="B105" s="69"/>
      <c r="C105" s="69"/>
      <c r="D105" s="70"/>
      <c r="E105" s="71"/>
      <c r="F105" s="69"/>
    </row>
    <row r="106" spans="2:6">
      <c r="B106" s="69"/>
      <c r="C106" s="69"/>
      <c r="D106" s="70"/>
      <c r="E106" s="71"/>
      <c r="F106" s="69"/>
    </row>
    <row r="107" spans="2:6">
      <c r="B107" s="69"/>
      <c r="C107" s="69"/>
      <c r="D107" s="70"/>
      <c r="E107" s="71"/>
      <c r="F107" s="69"/>
    </row>
    <row r="108" spans="2:6">
      <c r="B108" s="69"/>
      <c r="C108" s="69"/>
      <c r="D108" s="70"/>
      <c r="E108" s="71"/>
      <c r="F108" s="69"/>
    </row>
    <row r="109" spans="2:6">
      <c r="B109" s="69"/>
      <c r="C109" s="69"/>
      <c r="D109" s="70"/>
      <c r="E109" s="71"/>
      <c r="F109" s="69"/>
    </row>
    <row r="110" spans="2:6">
      <c r="B110" s="69"/>
      <c r="C110" s="69"/>
      <c r="D110" s="70"/>
      <c r="E110" s="71"/>
      <c r="F110" s="69"/>
    </row>
    <row r="111" spans="2:6">
      <c r="B111" s="69"/>
      <c r="C111" s="69"/>
      <c r="D111" s="70"/>
      <c r="E111" s="71"/>
      <c r="F111" s="69"/>
    </row>
    <row r="112" spans="2:6">
      <c r="B112" s="69"/>
      <c r="C112" s="69"/>
      <c r="D112" s="70"/>
      <c r="E112" s="71"/>
      <c r="F112" s="69"/>
    </row>
    <row r="113" spans="2:6">
      <c r="B113" s="69"/>
      <c r="C113" s="69"/>
      <c r="D113" s="70"/>
      <c r="E113" s="71"/>
      <c r="F113" s="69"/>
    </row>
    <row r="114" spans="2:6">
      <c r="B114" s="69"/>
      <c r="C114" s="69"/>
      <c r="D114" s="70"/>
      <c r="E114" s="71"/>
      <c r="F114" s="69"/>
    </row>
  </sheetData>
  <sheetProtection sheet="1" objects="1" scenarios="1"/>
  <mergeCells count="13">
    <mergeCell ref="B3:F3"/>
    <mergeCell ref="B6:C6"/>
    <mergeCell ref="B5:C5"/>
    <mergeCell ref="B8:C8"/>
    <mergeCell ref="B10:C10"/>
    <mergeCell ref="B7:C7"/>
    <mergeCell ref="B9:C9"/>
    <mergeCell ref="B53:F53"/>
    <mergeCell ref="B16:F16"/>
    <mergeCell ref="B24:F24"/>
    <mergeCell ref="B44:F44"/>
    <mergeCell ref="B11:C11"/>
    <mergeCell ref="B12:C12"/>
  </mergeCells>
  <conditionalFormatting sqref="C19">
    <cfRule type="expression" dxfId="334" priority="90">
      <formula>LEN($C$19)&lt;8</formula>
    </cfRule>
  </conditionalFormatting>
  <conditionalFormatting sqref="C20">
    <cfRule type="expression" dxfId="333" priority="86">
      <formula>LEN($C$20)&lt;8</formula>
    </cfRule>
  </conditionalFormatting>
  <conditionalFormatting sqref="C18">
    <cfRule type="expression" dxfId="332" priority="84">
      <formula>LEN($C$18)&lt;8</formula>
    </cfRule>
  </conditionalFormatting>
  <conditionalFormatting sqref="C21">
    <cfRule type="expression" dxfId="331" priority="81">
      <formula>LEN($C$21)&lt;8</formula>
    </cfRule>
  </conditionalFormatting>
  <conditionalFormatting sqref="C22">
    <cfRule type="expression" dxfId="330" priority="80">
      <formula>LEN($C$22)&lt;8</formula>
    </cfRule>
  </conditionalFormatting>
  <conditionalFormatting sqref="C23">
    <cfRule type="expression" dxfId="329" priority="79">
      <formula>LEN($C$23)&lt;8</formula>
    </cfRule>
  </conditionalFormatting>
  <conditionalFormatting sqref="C30">
    <cfRule type="expression" dxfId="328" priority="78">
      <formula>LEN($C$30)&lt;8</formula>
    </cfRule>
  </conditionalFormatting>
  <conditionalFormatting sqref="C40">
    <cfRule type="expression" dxfId="327" priority="76">
      <formula>LEN($C$40)&lt;8</formula>
    </cfRule>
  </conditionalFormatting>
  <conditionalFormatting sqref="C41">
    <cfRule type="expression" dxfId="326" priority="75">
      <formula>LEN($C$41)&lt;8</formula>
    </cfRule>
  </conditionalFormatting>
  <conditionalFormatting sqref="C43">
    <cfRule type="expression" dxfId="325" priority="74">
      <formula>LEN($C$43)&lt;8</formula>
    </cfRule>
  </conditionalFormatting>
  <conditionalFormatting sqref="C45">
    <cfRule type="expression" dxfId="324" priority="73">
      <formula>LEN($C$45)&lt;8</formula>
    </cfRule>
  </conditionalFormatting>
  <conditionalFormatting sqref="C46">
    <cfRule type="expression" dxfId="323" priority="71">
      <formula>LEN($C$46)&lt;8</formula>
    </cfRule>
  </conditionalFormatting>
  <conditionalFormatting sqref="C47">
    <cfRule type="expression" dxfId="322" priority="70">
      <formula>LEN(C47)&lt;8</formula>
    </cfRule>
  </conditionalFormatting>
  <conditionalFormatting sqref="C50">
    <cfRule type="expression" dxfId="321" priority="68">
      <formula>LEN($C$50)&lt;8</formula>
    </cfRule>
  </conditionalFormatting>
  <conditionalFormatting sqref="C51">
    <cfRule type="expression" dxfId="320" priority="65">
      <formula>LEN($C$51)&lt;8</formula>
    </cfRule>
  </conditionalFormatting>
  <conditionalFormatting sqref="C52">
    <cfRule type="expression" dxfId="319" priority="64">
      <formula>LEN($C$52)&lt;8</formula>
    </cfRule>
  </conditionalFormatting>
  <conditionalFormatting sqref="B32">
    <cfRule type="containsBlanks" dxfId="318" priority="92">
      <formula>LEN(TRIM(B32))=0</formula>
    </cfRule>
  </conditionalFormatting>
  <conditionalFormatting sqref="B31">
    <cfRule type="containsBlanks" dxfId="317" priority="40">
      <formula>LEN(TRIM(B31))=0</formula>
    </cfRule>
  </conditionalFormatting>
  <conditionalFormatting sqref="B23">
    <cfRule type="containsBlanks" dxfId="316" priority="43">
      <formula>LEN(TRIM(B23))=0</formula>
    </cfRule>
  </conditionalFormatting>
  <conditionalFormatting sqref="C31">
    <cfRule type="expression" dxfId="315" priority="50">
      <formula>LEN($C$31)&lt;8</formula>
    </cfRule>
  </conditionalFormatting>
  <conditionalFormatting sqref="C37">
    <cfRule type="expression" dxfId="314" priority="49">
      <formula>LEN($C$37)&lt;8</formula>
    </cfRule>
  </conditionalFormatting>
  <conditionalFormatting sqref="C54">
    <cfRule type="expression" dxfId="313" priority="45">
      <formula>LEN($C$54)&lt;8</formula>
    </cfRule>
  </conditionalFormatting>
  <conditionalFormatting sqref="B54">
    <cfRule type="containsBlanks" dxfId="312" priority="41">
      <formula>LEN(TRIM(B54))=0</formula>
    </cfRule>
  </conditionalFormatting>
  <conditionalFormatting sqref="B33">
    <cfRule type="containsBlanks" dxfId="311" priority="39">
      <formula>LEN(TRIM(B33))=0</formula>
    </cfRule>
  </conditionalFormatting>
  <conditionalFormatting sqref="B42:B43">
    <cfRule type="containsBlanks" dxfId="310" priority="504">
      <formula>LEN(TRIM(B42))=0</formula>
    </cfRule>
  </conditionalFormatting>
  <conditionalFormatting sqref="B48">
    <cfRule type="containsBlanks" dxfId="309" priority="37">
      <formula>LEN(TRIM(B48))=0</formula>
    </cfRule>
  </conditionalFormatting>
  <conditionalFormatting sqref="B12">
    <cfRule type="containsBlanks" dxfId="308" priority="24">
      <formula>LEN(TRIM(B12))=0</formula>
    </cfRule>
  </conditionalFormatting>
  <conditionalFormatting sqref="B49">
    <cfRule type="containsBlanks" dxfId="307" priority="34">
      <formula>LEN(TRIM(B49))=0</formula>
    </cfRule>
  </conditionalFormatting>
  <conditionalFormatting sqref="B51">
    <cfRule type="containsBlanks" dxfId="306" priority="32">
      <formula>LEN(TRIM(B51))=0</formula>
    </cfRule>
  </conditionalFormatting>
  <conditionalFormatting sqref="B52">
    <cfRule type="containsBlanks" dxfId="305" priority="31">
      <formula>LEN(TRIM(B52))=0</formula>
    </cfRule>
  </conditionalFormatting>
  <conditionalFormatting sqref="B7">
    <cfRule type="containsBlanks" dxfId="304" priority="30">
      <formula>LEN(TRIM(B7))=0</formula>
    </cfRule>
  </conditionalFormatting>
  <conditionalFormatting sqref="B8">
    <cfRule type="containsBlanks" dxfId="303" priority="28">
      <formula>LEN(TRIM(B8))=0</formula>
    </cfRule>
  </conditionalFormatting>
  <conditionalFormatting sqref="B10">
    <cfRule type="containsBlanks" dxfId="302" priority="27">
      <formula>LEN(TRIM(B10))=0</formula>
    </cfRule>
  </conditionalFormatting>
  <conditionalFormatting sqref="B11">
    <cfRule type="containsBlanks" dxfId="301" priority="26">
      <formula>LEN(TRIM(B11))=0</formula>
    </cfRule>
  </conditionalFormatting>
  <conditionalFormatting sqref="C38:C39">
    <cfRule type="expression" dxfId="300" priority="21">
      <formula>LEN($C$38)&lt;8</formula>
    </cfRule>
  </conditionalFormatting>
  <conditionalFormatting sqref="B38:B39 B35:B36">
    <cfRule type="containsBlanks" dxfId="299" priority="20">
      <formula>LEN(TRIM(B35))=0</formula>
    </cfRule>
  </conditionalFormatting>
  <conditionalFormatting sqref="B34">
    <cfRule type="containsBlanks" dxfId="298" priority="93">
      <formula>LEN(TRIM(B34))=0</formula>
    </cfRule>
  </conditionalFormatting>
  <conditionalFormatting sqref="C32">
    <cfRule type="expression" dxfId="297" priority="18">
      <formula>LEN($C$32)&lt;8</formula>
    </cfRule>
  </conditionalFormatting>
  <conditionalFormatting sqref="C33">
    <cfRule type="expression" dxfId="296" priority="17">
      <formula>LEN($C$33)&lt;8</formula>
    </cfRule>
  </conditionalFormatting>
  <conditionalFormatting sqref="C36">
    <cfRule type="expression" dxfId="295" priority="16">
      <formula>LEN($C$36)&lt;8</formula>
    </cfRule>
  </conditionalFormatting>
  <conditionalFormatting sqref="B55 B57">
    <cfRule type="containsBlanks" dxfId="294" priority="15">
      <formula>LEN(TRIM(B55))=0</formula>
    </cfRule>
  </conditionalFormatting>
  <conditionalFormatting sqref="C57">
    <cfRule type="expression" dxfId="293" priority="14">
      <formula>LEN($C$57)&lt;8</formula>
    </cfRule>
  </conditionalFormatting>
  <conditionalFormatting sqref="C55">
    <cfRule type="expression" dxfId="292" priority="13">
      <formula>LEN($C$55)&lt;8</formula>
    </cfRule>
  </conditionalFormatting>
  <conditionalFormatting sqref="C49">
    <cfRule type="expression" dxfId="291" priority="503">
      <formula>LEN(#REF!)&lt;8</formula>
    </cfRule>
  </conditionalFormatting>
  <conditionalFormatting sqref="B30">
    <cfRule type="containsBlanks" dxfId="290" priority="12">
      <formula>LEN(TRIM(B30))=0</formula>
    </cfRule>
  </conditionalFormatting>
  <conditionalFormatting sqref="B41">
    <cfRule type="containsBlanks" dxfId="289" priority="11">
      <formula>LEN(TRIM(B41))=0</formula>
    </cfRule>
  </conditionalFormatting>
  <conditionalFormatting sqref="C26">
    <cfRule type="expression" dxfId="288" priority="10">
      <formula>LEN($C$26)&lt;8</formula>
    </cfRule>
  </conditionalFormatting>
  <conditionalFormatting sqref="C27:C28">
    <cfRule type="expression" dxfId="287" priority="8">
      <formula>LEN($C$27)&lt;8</formula>
    </cfRule>
  </conditionalFormatting>
  <conditionalFormatting sqref="B27:B28">
    <cfRule type="containsBlanks" dxfId="286" priority="6">
      <formula>LEN(TRIM(B27))=0</formula>
    </cfRule>
  </conditionalFormatting>
  <conditionalFormatting sqref="C48">
    <cfRule type="expression" dxfId="285" priority="5">
      <formula>LEN(C48)&lt;8</formula>
    </cfRule>
  </conditionalFormatting>
  <conditionalFormatting sqref="B9">
    <cfRule type="containsBlanks" dxfId="284" priority="4">
      <formula>LEN(TRIM(B9))=0</formula>
    </cfRule>
  </conditionalFormatting>
  <conditionalFormatting sqref="C17">
    <cfRule type="expression" dxfId="283" priority="2">
      <formula>LEN($C$17)&lt;8</formula>
    </cfRule>
  </conditionalFormatting>
  <dataValidations count="2">
    <dataValidation allowBlank="1" showInputMessage="1" showErrorMessage="1" promptTitle="Domain Join Service Account" prompt="Required to join systems to Active Directory. Restrictive access should be assigned as follows:_x000a__x000a_1. Delegate ‘join domain access’_x000a_2. Add user to the Account Operators group_x000a_3. Set access rights as per https://support.microsoft.com/en-gb/kb/932455" sqref="B18" xr:uid="{5E29B062-8C37-AB49-81BF-0D1D40C71718}"/>
    <dataValidation allowBlank="1" showInputMessage="1" showErrorMessage="1" prompt="This Active Directory account is not used during the automated deployment process, but used post-deployment to log into vRealize Automation as a user to validate access" sqref="B51 B52" xr:uid="{532E0B55-6105-6642-B08B-42616118914D}"/>
  </dataValidations>
  <printOptions horizontalCentered="1"/>
  <pageMargins left="0.5" right="0.5" top="0.5" bottom="0.5" header="0.25" footer="0.25"/>
  <pageSetup orientation="portrait" r:id="rId1"/>
  <headerFooter alignWithMargins="0">
    <oddFooter>&amp;L&amp;8http://www.vertex42.com/ExcelTemplates/spring-cleaning-checklist.html</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B128"/>
  <sheetViews>
    <sheetView zoomScale="130" zoomScaleNormal="130" workbookViewId="0">
      <pane ySplit="4" topLeftCell="A5" activePane="bottomLeft" state="frozen"/>
      <selection pane="bottomLeft" activeCell="I15" sqref="I15"/>
    </sheetView>
  </sheetViews>
  <sheetFormatPr baseColWidth="10" defaultColWidth="12.5" defaultRowHeight="13"/>
  <cols>
    <col min="1" max="1" width="1.6640625" style="90" customWidth="1"/>
    <col min="2" max="2" width="9.33203125" style="97" customWidth="1"/>
    <col min="3" max="3" width="32.6640625" style="97" customWidth="1"/>
    <col min="4" max="5" width="17.6640625" style="97" customWidth="1"/>
    <col min="6" max="6" width="7.5" style="97" customWidth="1"/>
    <col min="7" max="7" width="2.6640625" style="90" customWidth="1"/>
    <col min="8" max="11" width="28.83203125" style="97" customWidth="1"/>
    <col min="12" max="15" width="28.83203125" style="90" customWidth="1"/>
    <col min="16" max="28" width="12.5" style="90"/>
    <col min="29" max="16384" width="12.5" style="97"/>
  </cols>
  <sheetData>
    <row r="1" spans="1:28" s="90" customFormat="1" ht="48" customHeight="1"/>
    <row r="2" spans="1:28" s="91" customFormat="1" ht="2" customHeight="1" thickBot="1">
      <c r="C2" s="92"/>
      <c r="D2" s="93"/>
      <c r="E2" s="93"/>
    </row>
    <row r="3" spans="1:28" s="91" customFormat="1" ht="32.25" customHeight="1" thickBot="1">
      <c r="B3" s="369" t="s">
        <v>1038</v>
      </c>
      <c r="C3" s="370"/>
      <c r="D3" s="370"/>
      <c r="E3" s="370"/>
      <c r="F3" s="370"/>
      <c r="G3" s="370"/>
      <c r="H3" s="370"/>
      <c r="I3" s="370"/>
      <c r="J3" s="370"/>
      <c r="K3" s="371"/>
    </row>
    <row r="4" spans="1:28" s="96" customFormat="1" ht="4" customHeight="1" thickBot="1">
      <c r="A4" s="94"/>
      <c r="B4" s="94"/>
      <c r="C4" s="95"/>
      <c r="D4" s="95"/>
      <c r="E4" s="95"/>
      <c r="F4" s="94"/>
      <c r="G4" s="94"/>
      <c r="H4" s="94"/>
      <c r="I4" s="94"/>
      <c r="J4" s="94"/>
      <c r="K4" s="91"/>
      <c r="L4" s="91"/>
      <c r="M4" s="94"/>
      <c r="N4" s="94"/>
      <c r="O4" s="94"/>
      <c r="P4" s="94"/>
      <c r="Q4" s="94"/>
      <c r="R4" s="94"/>
      <c r="S4" s="94"/>
      <c r="T4" s="94"/>
      <c r="U4" s="94"/>
      <c r="V4" s="94"/>
      <c r="W4" s="94"/>
      <c r="X4" s="94"/>
      <c r="Y4" s="94"/>
      <c r="Z4" s="94"/>
      <c r="AA4" s="94"/>
    </row>
    <row r="5" spans="1:28" s="154" customFormat="1" ht="16" customHeight="1">
      <c r="A5" s="152"/>
      <c r="B5" s="372" t="s">
        <v>1124</v>
      </c>
      <c r="C5" s="373"/>
      <c r="D5" s="373"/>
      <c r="E5" s="373"/>
      <c r="F5" s="374"/>
      <c r="G5" s="153"/>
      <c r="H5" s="375" t="s">
        <v>1126</v>
      </c>
      <c r="I5" s="376"/>
      <c r="J5" s="376"/>
      <c r="K5" s="376"/>
      <c r="L5" s="376"/>
      <c r="M5" s="376"/>
      <c r="N5" s="376"/>
      <c r="O5" s="377"/>
      <c r="P5" s="152"/>
      <c r="Q5" s="152"/>
      <c r="R5" s="152"/>
      <c r="S5" s="152"/>
      <c r="T5" s="152"/>
      <c r="U5" s="152"/>
      <c r="V5" s="152"/>
      <c r="W5" s="152"/>
      <c r="X5" s="152"/>
      <c r="Y5" s="152"/>
      <c r="Z5" s="152"/>
      <c r="AA5" s="152"/>
      <c r="AB5" s="152"/>
    </row>
    <row r="6" spans="1:28" s="154" customFormat="1" ht="16" customHeight="1">
      <c r="A6" s="152"/>
      <c r="B6" s="155" t="s">
        <v>8</v>
      </c>
      <c r="C6" s="156" t="s">
        <v>195</v>
      </c>
      <c r="D6" s="156" t="s">
        <v>323</v>
      </c>
      <c r="E6" s="156" t="s">
        <v>10</v>
      </c>
      <c r="F6" s="157" t="s">
        <v>38</v>
      </c>
      <c r="G6" s="158"/>
      <c r="H6" s="268" t="s">
        <v>877</v>
      </c>
      <c r="I6" s="269" t="s">
        <v>878</v>
      </c>
      <c r="J6" s="269" t="s">
        <v>879</v>
      </c>
      <c r="K6" s="269" t="s">
        <v>880</v>
      </c>
      <c r="L6" s="269" t="s">
        <v>11</v>
      </c>
      <c r="M6" s="269" t="s">
        <v>11</v>
      </c>
      <c r="N6" s="269" t="s">
        <v>11</v>
      </c>
      <c r="O6" s="270" t="s">
        <v>11</v>
      </c>
      <c r="P6" s="152"/>
      <c r="Q6" s="152"/>
      <c r="R6" s="152"/>
      <c r="S6" s="152"/>
      <c r="T6" s="152"/>
      <c r="U6" s="152"/>
      <c r="V6" s="152"/>
      <c r="W6" s="152"/>
      <c r="X6" s="152"/>
      <c r="Y6" s="152"/>
      <c r="Z6" s="152"/>
      <c r="AA6" s="152"/>
      <c r="AB6" s="152"/>
    </row>
    <row r="7" spans="1:28" s="154" customFormat="1" ht="16" customHeight="1">
      <c r="A7" s="152"/>
      <c r="B7" s="247">
        <v>1611</v>
      </c>
      <c r="C7" s="248" t="str">
        <f>'Deploy Parameters'!J31&amp;"-management"</f>
        <v>sfo01-m01-vds01-management</v>
      </c>
      <c r="D7" s="249" t="s">
        <v>1264</v>
      </c>
      <c r="E7" s="249" t="s">
        <v>1265</v>
      </c>
      <c r="F7" s="250">
        <v>9000</v>
      </c>
      <c r="G7" s="159"/>
      <c r="H7" s="271" t="s">
        <v>1280</v>
      </c>
      <c r="I7" s="272" t="s">
        <v>1281</v>
      </c>
      <c r="J7" s="272" t="s">
        <v>1282</v>
      </c>
      <c r="K7" s="272" t="s">
        <v>1283</v>
      </c>
      <c r="L7" s="272" t="s">
        <v>11</v>
      </c>
      <c r="M7" s="272" t="s">
        <v>11</v>
      </c>
      <c r="N7" s="272" t="s">
        <v>11</v>
      </c>
      <c r="O7" s="273" t="s">
        <v>11</v>
      </c>
      <c r="P7" s="152"/>
      <c r="Q7" s="152"/>
      <c r="R7" s="152"/>
      <c r="S7" s="152"/>
      <c r="T7" s="152"/>
      <c r="U7" s="152"/>
      <c r="V7" s="152"/>
      <c r="W7" s="152"/>
      <c r="X7" s="152"/>
      <c r="Y7" s="152"/>
      <c r="Z7" s="152"/>
      <c r="AA7" s="152"/>
      <c r="AB7" s="152"/>
    </row>
    <row r="8" spans="1:28" s="154" customFormat="1" ht="16" customHeight="1">
      <c r="A8" s="152"/>
      <c r="B8" s="251">
        <v>1615</v>
      </c>
      <c r="C8" s="252" t="str">
        <f>'Deploy Parameters'!J31&amp;"-nfs"</f>
        <v>sfo01-m01-vds01-nfs</v>
      </c>
      <c r="D8" s="253" t="s">
        <v>1272</v>
      </c>
      <c r="E8" s="253" t="s">
        <v>1273</v>
      </c>
      <c r="F8" s="254">
        <v>9000</v>
      </c>
      <c r="G8" s="159"/>
      <c r="H8" s="274" t="s">
        <v>1365</v>
      </c>
      <c r="I8" s="275" t="s">
        <v>1366</v>
      </c>
      <c r="J8" s="275" t="s">
        <v>1367</v>
      </c>
      <c r="K8" s="275" t="s">
        <v>1368</v>
      </c>
      <c r="L8" s="275" t="s">
        <v>11</v>
      </c>
      <c r="M8" s="275" t="s">
        <v>11</v>
      </c>
      <c r="N8" s="275" t="s">
        <v>11</v>
      </c>
      <c r="O8" s="276" t="s">
        <v>11</v>
      </c>
      <c r="P8" s="152"/>
      <c r="Q8" s="152"/>
      <c r="R8" s="152"/>
      <c r="S8" s="152"/>
      <c r="T8" s="152"/>
      <c r="U8" s="152"/>
      <c r="V8" s="152"/>
      <c r="W8" s="152"/>
      <c r="X8" s="152"/>
      <c r="Y8" s="152"/>
      <c r="Z8" s="152"/>
      <c r="AA8" s="152"/>
      <c r="AB8" s="152"/>
    </row>
    <row r="9" spans="1:28" s="154" customFormat="1" ht="16" customHeight="1">
      <c r="A9" s="152"/>
      <c r="B9" s="251">
        <v>1612</v>
      </c>
      <c r="C9" s="252" t="str">
        <f>'Deploy Parameters'!J31&amp;"-vmotion"</f>
        <v>sfo01-m01-vds01-vmotion</v>
      </c>
      <c r="D9" s="253" t="s">
        <v>1266</v>
      </c>
      <c r="E9" s="253" t="s">
        <v>1267</v>
      </c>
      <c r="F9" s="254">
        <v>9000</v>
      </c>
      <c r="G9" s="159"/>
      <c r="H9" s="274" t="s">
        <v>1284</v>
      </c>
      <c r="I9" s="275" t="s">
        <v>1285</v>
      </c>
      <c r="J9" s="275" t="s">
        <v>1286</v>
      </c>
      <c r="K9" s="275" t="s">
        <v>1287</v>
      </c>
      <c r="L9" s="275" t="s">
        <v>11</v>
      </c>
      <c r="M9" s="275" t="s">
        <v>11</v>
      </c>
      <c r="N9" s="275" t="s">
        <v>11</v>
      </c>
      <c r="O9" s="276" t="s">
        <v>11</v>
      </c>
      <c r="P9" s="152"/>
      <c r="Q9" s="152"/>
      <c r="R9" s="152"/>
      <c r="S9" s="152"/>
      <c r="T9" s="152"/>
      <c r="U9" s="152"/>
      <c r="V9" s="152"/>
      <c r="W9" s="152"/>
      <c r="X9" s="152"/>
      <c r="Y9" s="152"/>
      <c r="Z9" s="152"/>
      <c r="AA9" s="152"/>
      <c r="AB9" s="152"/>
    </row>
    <row r="10" spans="1:28" s="154" customFormat="1" ht="16" customHeight="1">
      <c r="A10" s="152"/>
      <c r="B10" s="251">
        <v>1613</v>
      </c>
      <c r="C10" s="252" t="str">
        <f>'Deploy Parameters'!J31&amp;"-vsan"</f>
        <v>sfo01-m01-vds01-vsan</v>
      </c>
      <c r="D10" s="253" t="s">
        <v>1268</v>
      </c>
      <c r="E10" s="255" t="s">
        <v>1269</v>
      </c>
      <c r="F10" s="254">
        <v>9000</v>
      </c>
      <c r="G10" s="159"/>
      <c r="H10" s="274" t="s">
        <v>1288</v>
      </c>
      <c r="I10" s="275" t="s">
        <v>1289</v>
      </c>
      <c r="J10" s="275" t="s">
        <v>1290</v>
      </c>
      <c r="K10" s="275" t="s">
        <v>1291</v>
      </c>
      <c r="L10" s="275" t="s">
        <v>11</v>
      </c>
      <c r="M10" s="275" t="s">
        <v>11</v>
      </c>
      <c r="N10" s="275" t="s">
        <v>11</v>
      </c>
      <c r="O10" s="276" t="s">
        <v>11</v>
      </c>
      <c r="P10" s="152"/>
      <c r="Q10" s="152"/>
      <c r="R10" s="152"/>
      <c r="S10" s="152"/>
      <c r="T10" s="152"/>
      <c r="U10" s="152"/>
      <c r="V10" s="152"/>
      <c r="W10" s="152"/>
      <c r="X10" s="152"/>
      <c r="Y10" s="152"/>
      <c r="Z10" s="152"/>
      <c r="AA10" s="152"/>
      <c r="AB10" s="152"/>
    </row>
    <row r="11" spans="1:28" s="154" customFormat="1" ht="16" customHeight="1" thickBot="1">
      <c r="A11" s="152"/>
      <c r="B11" s="251">
        <v>1616</v>
      </c>
      <c r="C11" s="252" t="str">
        <f>'Deploy Parameters'!J31&amp;"-replication"</f>
        <v>sfo01-m01-vds01-replication</v>
      </c>
      <c r="D11" s="253" t="s">
        <v>1274</v>
      </c>
      <c r="E11" s="255" t="s">
        <v>1275</v>
      </c>
      <c r="F11" s="254">
        <v>9000</v>
      </c>
      <c r="G11" s="159"/>
      <c r="H11" s="277" t="s">
        <v>1292</v>
      </c>
      <c r="I11" s="278" t="s">
        <v>1293</v>
      </c>
      <c r="J11" s="278" t="s">
        <v>1294</v>
      </c>
      <c r="K11" s="278" t="s">
        <v>1295</v>
      </c>
      <c r="L11" s="278" t="s">
        <v>11</v>
      </c>
      <c r="M11" s="278" t="s">
        <v>11</v>
      </c>
      <c r="N11" s="278" t="s">
        <v>11</v>
      </c>
      <c r="O11" s="279" t="s">
        <v>11</v>
      </c>
      <c r="P11" s="152"/>
      <c r="Q11" s="152"/>
      <c r="R11" s="152"/>
      <c r="S11" s="152"/>
      <c r="T11" s="152"/>
      <c r="U11" s="152"/>
      <c r="V11" s="152"/>
      <c r="W11" s="152"/>
      <c r="X11" s="152"/>
      <c r="Y11" s="152"/>
      <c r="Z11" s="152"/>
      <c r="AA11" s="152"/>
      <c r="AB11" s="152"/>
    </row>
    <row r="12" spans="1:28" s="154" customFormat="1" ht="16" customHeight="1">
      <c r="A12" s="152"/>
      <c r="B12" s="256">
        <v>1614</v>
      </c>
      <c r="C12" s="257" t="s">
        <v>498</v>
      </c>
      <c r="D12" s="258" t="s">
        <v>1270</v>
      </c>
      <c r="E12" s="258" t="s">
        <v>1271</v>
      </c>
      <c r="F12" s="259">
        <v>9000</v>
      </c>
      <c r="G12" s="159"/>
      <c r="H12" s="160"/>
      <c r="I12" s="160"/>
      <c r="J12" s="160"/>
      <c r="K12" s="160"/>
      <c r="L12" s="152"/>
      <c r="M12" s="152"/>
      <c r="N12" s="152"/>
      <c r="O12" s="152"/>
      <c r="P12" s="152"/>
      <c r="Q12" s="152"/>
      <c r="R12" s="152"/>
      <c r="S12" s="152"/>
      <c r="T12" s="152"/>
      <c r="U12" s="152"/>
      <c r="V12" s="152"/>
      <c r="W12" s="152"/>
      <c r="X12" s="152"/>
      <c r="Y12" s="152"/>
      <c r="Z12" s="152"/>
      <c r="AA12" s="152"/>
      <c r="AB12" s="152"/>
    </row>
    <row r="13" spans="1:28" s="154" customFormat="1" ht="16" customHeight="1">
      <c r="A13" s="152"/>
      <c r="B13" s="260">
        <v>2711</v>
      </c>
      <c r="C13" s="261" t="str">
        <f>'Deploy Parameters'!J31&amp;"-uplink01"</f>
        <v>sfo01-m01-vds01-uplink01</v>
      </c>
      <c r="D13" s="262" t="s">
        <v>1276</v>
      </c>
      <c r="E13" s="262" t="s">
        <v>1277</v>
      </c>
      <c r="F13" s="263">
        <f>'Deploy Parameters'!F95</f>
        <v>9000</v>
      </c>
      <c r="G13" s="159"/>
      <c r="H13" s="160"/>
      <c r="I13" s="160"/>
      <c r="J13" s="160"/>
      <c r="K13" s="160"/>
      <c r="L13" s="152"/>
      <c r="M13" s="152"/>
      <c r="N13" s="152"/>
      <c r="O13" s="152"/>
      <c r="P13" s="152"/>
      <c r="Q13" s="152"/>
      <c r="R13" s="152"/>
      <c r="S13" s="152"/>
      <c r="T13" s="152"/>
      <c r="U13" s="152"/>
      <c r="V13" s="152"/>
      <c r="W13" s="152"/>
      <c r="X13" s="152"/>
      <c r="Y13" s="152"/>
      <c r="Z13" s="152"/>
      <c r="AA13" s="152"/>
      <c r="AB13" s="152"/>
    </row>
    <row r="14" spans="1:28" s="154" customFormat="1" ht="16" customHeight="1" thickBot="1">
      <c r="A14" s="152"/>
      <c r="B14" s="264">
        <v>2712</v>
      </c>
      <c r="C14" s="265" t="str">
        <f>'Deploy Parameters'!J31&amp;"-uplink02"</f>
        <v>sfo01-m01-vds01-uplink02</v>
      </c>
      <c r="D14" s="266" t="s">
        <v>1278</v>
      </c>
      <c r="E14" s="266" t="s">
        <v>1279</v>
      </c>
      <c r="F14" s="267">
        <f>'Deploy Parameters'!F95</f>
        <v>9000</v>
      </c>
      <c r="G14" s="159"/>
      <c r="H14" s="160"/>
      <c r="I14" s="160"/>
      <c r="J14" s="160"/>
      <c r="K14" s="160"/>
      <c r="L14" s="152"/>
      <c r="M14" s="152"/>
      <c r="N14" s="152"/>
      <c r="O14" s="152"/>
      <c r="P14" s="152"/>
      <c r="Q14" s="152"/>
      <c r="R14" s="152"/>
      <c r="S14" s="152"/>
      <c r="T14" s="152"/>
      <c r="U14" s="152"/>
      <c r="V14" s="152"/>
      <c r="W14" s="152"/>
      <c r="X14" s="152"/>
      <c r="Y14" s="152"/>
      <c r="Z14" s="152"/>
      <c r="AA14" s="152"/>
      <c r="AB14" s="152"/>
    </row>
    <row r="15" spans="1:28" s="152" customFormat="1" ht="16" customHeight="1" thickBot="1">
      <c r="C15" s="161"/>
      <c r="E15" s="161"/>
      <c r="F15" s="161"/>
      <c r="G15" s="162"/>
      <c r="H15" s="163"/>
      <c r="I15" s="163"/>
      <c r="J15" s="163"/>
      <c r="K15" s="163"/>
    </row>
    <row r="16" spans="1:28" s="154" customFormat="1" ht="16" customHeight="1">
      <c r="A16" s="152"/>
      <c r="B16" s="372" t="s">
        <v>1125</v>
      </c>
      <c r="C16" s="373"/>
      <c r="D16" s="373"/>
      <c r="E16" s="373"/>
      <c r="F16" s="374"/>
      <c r="G16" s="153"/>
      <c r="H16" s="378" t="s">
        <v>1127</v>
      </c>
      <c r="I16" s="379"/>
      <c r="J16" s="379"/>
      <c r="K16" s="379"/>
      <c r="L16" s="379"/>
      <c r="M16" s="379"/>
      <c r="N16" s="379"/>
      <c r="O16" s="380"/>
      <c r="P16" s="152"/>
      <c r="Q16" s="152"/>
      <c r="R16" s="152"/>
      <c r="S16" s="152"/>
      <c r="T16" s="152"/>
      <c r="U16" s="152"/>
      <c r="V16" s="152"/>
      <c r="W16" s="152"/>
      <c r="X16" s="152"/>
      <c r="Y16" s="152"/>
      <c r="Z16" s="152"/>
      <c r="AA16" s="152"/>
      <c r="AB16" s="152"/>
    </row>
    <row r="17" spans="1:28" s="154" customFormat="1" ht="16" customHeight="1">
      <c r="A17" s="152"/>
      <c r="B17" s="155" t="s">
        <v>8</v>
      </c>
      <c r="C17" s="156" t="s">
        <v>195</v>
      </c>
      <c r="D17" s="156" t="s">
        <v>323</v>
      </c>
      <c r="E17" s="156" t="s">
        <v>10</v>
      </c>
      <c r="F17" s="157" t="s">
        <v>38</v>
      </c>
      <c r="G17" s="164"/>
      <c r="H17" s="280" t="s">
        <v>881</v>
      </c>
      <c r="I17" s="281" t="s">
        <v>882</v>
      </c>
      <c r="J17" s="281" t="s">
        <v>883</v>
      </c>
      <c r="K17" s="281" t="s">
        <v>884</v>
      </c>
      <c r="L17" s="281" t="s">
        <v>11</v>
      </c>
      <c r="M17" s="281" t="s">
        <v>11</v>
      </c>
      <c r="N17" s="281" t="s">
        <v>11</v>
      </c>
      <c r="O17" s="282" t="s">
        <v>11</v>
      </c>
      <c r="P17" s="152"/>
      <c r="Q17" s="152"/>
      <c r="R17" s="152"/>
      <c r="S17" s="152"/>
      <c r="T17" s="152"/>
      <c r="U17" s="152"/>
      <c r="V17" s="152"/>
      <c r="W17" s="152"/>
      <c r="X17" s="152"/>
      <c r="Y17" s="152"/>
      <c r="Z17" s="152"/>
      <c r="AA17" s="152"/>
      <c r="AB17" s="152"/>
    </row>
    <row r="18" spans="1:28" s="154" customFormat="1" ht="16" customHeight="1">
      <c r="A18" s="152"/>
      <c r="B18" s="247">
        <v>1631</v>
      </c>
      <c r="C18" s="248" t="str">
        <f>'Deploy Parameters'!J33&amp;"-management"</f>
        <v>sfo01-w01-vds01-management</v>
      </c>
      <c r="D18" s="249" t="s">
        <v>1308</v>
      </c>
      <c r="E18" s="249" t="s">
        <v>1309</v>
      </c>
      <c r="F18" s="283">
        <v>9000</v>
      </c>
      <c r="G18" s="162"/>
      <c r="H18" s="271" t="s">
        <v>1310</v>
      </c>
      <c r="I18" s="272" t="s">
        <v>1311</v>
      </c>
      <c r="J18" s="272" t="s">
        <v>1312</v>
      </c>
      <c r="K18" s="272" t="s">
        <v>1313</v>
      </c>
      <c r="L18" s="272" t="s">
        <v>11</v>
      </c>
      <c r="M18" s="272" t="s">
        <v>11</v>
      </c>
      <c r="N18" s="272" t="s">
        <v>11</v>
      </c>
      <c r="O18" s="273" t="s">
        <v>11</v>
      </c>
      <c r="P18" s="152"/>
      <c r="Q18" s="152"/>
      <c r="R18" s="152"/>
      <c r="S18" s="152"/>
      <c r="T18" s="152"/>
      <c r="U18" s="152"/>
      <c r="V18" s="152"/>
      <c r="W18" s="152"/>
      <c r="X18" s="152"/>
      <c r="Y18" s="152"/>
      <c r="Z18" s="152"/>
      <c r="AA18" s="152"/>
      <c r="AB18" s="152"/>
    </row>
    <row r="19" spans="1:28" s="154" customFormat="1" ht="16" customHeight="1">
      <c r="A19" s="152"/>
      <c r="B19" s="251">
        <v>1625</v>
      </c>
      <c r="C19" s="252" t="str">
        <f>'Deploy Parameters'!J33&amp;"-nfs"</f>
        <v>sfo01-w01-vds01-nfs</v>
      </c>
      <c r="D19" s="253" t="s">
        <v>1300</v>
      </c>
      <c r="E19" s="255" t="s">
        <v>1301</v>
      </c>
      <c r="F19" s="284">
        <v>9000</v>
      </c>
      <c r="G19" s="162"/>
      <c r="H19" s="274" t="s">
        <v>1369</v>
      </c>
      <c r="I19" s="275" t="s">
        <v>1370</v>
      </c>
      <c r="J19" s="275" t="s">
        <v>1371</v>
      </c>
      <c r="K19" s="275" t="s">
        <v>1372</v>
      </c>
      <c r="L19" s="275" t="s">
        <v>11</v>
      </c>
      <c r="M19" s="275" t="s">
        <v>11</v>
      </c>
      <c r="N19" s="275" t="s">
        <v>11</v>
      </c>
      <c r="O19" s="276" t="s">
        <v>11</v>
      </c>
      <c r="P19" s="152"/>
      <c r="Q19" s="152"/>
      <c r="R19" s="152"/>
      <c r="S19" s="152"/>
      <c r="T19" s="152"/>
      <c r="U19" s="152"/>
      <c r="V19" s="152"/>
      <c r="W19" s="152"/>
      <c r="X19" s="152"/>
      <c r="Y19" s="152"/>
      <c r="Z19" s="152"/>
      <c r="AA19" s="152"/>
      <c r="AB19" s="152"/>
    </row>
    <row r="20" spans="1:28" s="154" customFormat="1" ht="16" customHeight="1">
      <c r="A20" s="152"/>
      <c r="B20" s="251">
        <v>1632</v>
      </c>
      <c r="C20" s="252" t="str">
        <f>'Deploy Parameters'!J33&amp;"-vmotion"</f>
        <v>sfo01-w01-vds01-vmotion</v>
      </c>
      <c r="D20" s="253" t="s">
        <v>1306</v>
      </c>
      <c r="E20" s="255" t="s">
        <v>1307</v>
      </c>
      <c r="F20" s="284">
        <v>9000</v>
      </c>
      <c r="G20" s="162"/>
      <c r="H20" s="274" t="s">
        <v>1314</v>
      </c>
      <c r="I20" s="275" t="s">
        <v>1315</v>
      </c>
      <c r="J20" s="275" t="s">
        <v>1316</v>
      </c>
      <c r="K20" s="275" t="s">
        <v>1317</v>
      </c>
      <c r="L20" s="275" t="s">
        <v>11</v>
      </c>
      <c r="M20" s="275" t="s">
        <v>11</v>
      </c>
      <c r="N20" s="275" t="s">
        <v>11</v>
      </c>
      <c r="O20" s="276" t="s">
        <v>11</v>
      </c>
      <c r="P20" s="152"/>
      <c r="Q20" s="152"/>
      <c r="R20" s="152"/>
      <c r="S20" s="152"/>
      <c r="T20" s="152"/>
      <c r="U20" s="152"/>
      <c r="V20" s="152"/>
      <c r="W20" s="152"/>
      <c r="X20" s="152"/>
      <c r="Y20" s="152"/>
      <c r="Z20" s="152"/>
      <c r="AA20" s="152"/>
      <c r="AB20" s="152"/>
    </row>
    <row r="21" spans="1:28" s="154" customFormat="1" ht="16" customHeight="1" thickBot="1">
      <c r="A21" s="152"/>
      <c r="B21" s="251">
        <v>1633</v>
      </c>
      <c r="C21" s="252" t="str">
        <f>'Deploy Parameters'!J33&amp;"-vsan"</f>
        <v>sfo01-w01-vds01-vsan</v>
      </c>
      <c r="D21" s="253" t="s">
        <v>1304</v>
      </c>
      <c r="E21" s="255" t="s">
        <v>1305</v>
      </c>
      <c r="F21" s="284">
        <v>9000</v>
      </c>
      <c r="G21" s="162"/>
      <c r="H21" s="277" t="s">
        <v>1318</v>
      </c>
      <c r="I21" s="278" t="s">
        <v>1319</v>
      </c>
      <c r="J21" s="278" t="s">
        <v>1320</v>
      </c>
      <c r="K21" s="278" t="s">
        <v>1321</v>
      </c>
      <c r="L21" s="278" t="s">
        <v>11</v>
      </c>
      <c r="M21" s="278" t="s">
        <v>11</v>
      </c>
      <c r="N21" s="278" t="s">
        <v>11</v>
      </c>
      <c r="O21" s="279" t="s">
        <v>11</v>
      </c>
      <c r="P21" s="152"/>
      <c r="Q21" s="152"/>
      <c r="R21" s="152"/>
      <c r="S21" s="152"/>
      <c r="T21" s="152"/>
      <c r="U21" s="152"/>
      <c r="V21" s="152"/>
      <c r="W21" s="152"/>
      <c r="X21" s="152"/>
      <c r="Y21" s="152"/>
      <c r="Z21" s="152"/>
      <c r="AA21" s="152"/>
      <c r="AB21" s="152"/>
    </row>
    <row r="22" spans="1:28" s="154" customFormat="1" ht="16" customHeight="1">
      <c r="A22" s="152"/>
      <c r="B22" s="256">
        <v>1634</v>
      </c>
      <c r="C22" s="285" t="s">
        <v>498</v>
      </c>
      <c r="D22" s="258" t="s">
        <v>1302</v>
      </c>
      <c r="E22" s="258" t="s">
        <v>1303</v>
      </c>
      <c r="F22" s="286">
        <v>9000</v>
      </c>
      <c r="G22" s="162"/>
      <c r="H22" s="160"/>
      <c r="I22" s="160"/>
      <c r="J22" s="160"/>
      <c r="K22" s="160"/>
      <c r="L22" s="152"/>
      <c r="M22" s="152"/>
      <c r="N22" s="152"/>
      <c r="O22" s="152"/>
      <c r="P22" s="152"/>
      <c r="Q22" s="152"/>
      <c r="R22" s="152"/>
      <c r="S22" s="152"/>
      <c r="T22" s="152"/>
      <c r="U22" s="152"/>
      <c r="V22" s="152"/>
      <c r="W22" s="152"/>
      <c r="X22" s="152"/>
      <c r="Y22" s="152"/>
      <c r="Z22" s="152"/>
      <c r="AA22" s="152"/>
      <c r="AB22" s="152"/>
    </row>
    <row r="23" spans="1:28" s="152" customFormat="1" ht="16" customHeight="1">
      <c r="B23" s="260">
        <v>1635</v>
      </c>
      <c r="C23" s="261" t="str">
        <f>'Deploy Parameters'!J33&amp;"-uplink01"</f>
        <v>sfo01-w01-vds01-uplink01</v>
      </c>
      <c r="D23" s="262" t="s">
        <v>1298</v>
      </c>
      <c r="E23" s="262" t="s">
        <v>1299</v>
      </c>
      <c r="F23" s="263">
        <f>'Deploy Parameters'!F95</f>
        <v>9000</v>
      </c>
      <c r="H23" s="160"/>
      <c r="I23" s="160"/>
      <c r="J23" s="160"/>
      <c r="K23" s="160"/>
    </row>
    <row r="24" spans="1:28" s="154" customFormat="1" ht="16" customHeight="1" thickBot="1">
      <c r="A24" s="152"/>
      <c r="B24" s="264">
        <v>2713</v>
      </c>
      <c r="C24" s="265" t="str">
        <f>'Deploy Parameters'!J33&amp;"-uplink02"</f>
        <v>sfo01-w01-vds01-uplink02</v>
      </c>
      <c r="D24" s="266" t="s">
        <v>1296</v>
      </c>
      <c r="E24" s="266" t="s">
        <v>1297</v>
      </c>
      <c r="F24" s="267">
        <f>'Deploy Parameters'!F95</f>
        <v>9000</v>
      </c>
      <c r="G24" s="153"/>
      <c r="H24" s="160"/>
      <c r="I24" s="160"/>
      <c r="J24" s="160"/>
      <c r="K24" s="160"/>
      <c r="L24" s="152"/>
      <c r="M24" s="152"/>
      <c r="N24" s="152"/>
      <c r="O24" s="152"/>
      <c r="P24" s="152"/>
      <c r="Q24" s="152"/>
      <c r="R24" s="152"/>
      <c r="S24" s="152"/>
      <c r="T24" s="152"/>
      <c r="U24" s="152"/>
      <c r="V24" s="152"/>
      <c r="W24" s="152"/>
      <c r="X24" s="152"/>
      <c r="Y24" s="152"/>
      <c r="Z24" s="152"/>
      <c r="AA24" s="152"/>
      <c r="AB24" s="152"/>
    </row>
    <row r="25" spans="1:28">
      <c r="B25" s="90"/>
      <c r="C25" s="90"/>
      <c r="D25" s="90"/>
      <c r="E25" s="90"/>
      <c r="F25" s="90"/>
      <c r="G25" s="99"/>
      <c r="H25" s="90"/>
      <c r="I25" s="90"/>
      <c r="J25" s="90"/>
      <c r="K25" s="90"/>
    </row>
    <row r="26" spans="1:28">
      <c r="B26" s="90"/>
      <c r="C26" s="90"/>
      <c r="D26" s="90"/>
      <c r="E26" s="90"/>
      <c r="F26" s="90"/>
      <c r="G26" s="99"/>
      <c r="H26" s="90"/>
      <c r="I26" s="90"/>
      <c r="J26" s="90"/>
      <c r="K26" s="90"/>
    </row>
    <row r="27" spans="1:28">
      <c r="B27" s="90"/>
      <c r="C27" s="90"/>
      <c r="D27" s="90"/>
      <c r="E27" s="90"/>
      <c r="F27" s="90"/>
      <c r="G27" s="99"/>
      <c r="H27" s="90"/>
      <c r="I27" s="90"/>
      <c r="J27" s="90"/>
      <c r="K27" s="90"/>
    </row>
    <row r="28" spans="1:28">
      <c r="B28" s="90"/>
      <c r="C28" s="90"/>
      <c r="D28" s="90"/>
      <c r="E28" s="90"/>
      <c r="F28" s="90"/>
      <c r="G28" s="99"/>
      <c r="H28" s="90"/>
      <c r="I28" s="90"/>
      <c r="J28" s="90"/>
      <c r="K28" s="90"/>
    </row>
    <row r="29" spans="1:28">
      <c r="B29" s="90"/>
      <c r="C29" s="90"/>
      <c r="D29" s="90"/>
      <c r="E29" s="90"/>
      <c r="F29" s="90"/>
      <c r="G29" s="99"/>
      <c r="H29" s="90"/>
      <c r="I29" s="90"/>
      <c r="J29" s="90"/>
      <c r="K29" s="90"/>
    </row>
    <row r="30" spans="1:28">
      <c r="B30" s="90"/>
      <c r="C30" s="90"/>
      <c r="D30" s="90"/>
      <c r="E30" s="90"/>
      <c r="F30" s="90"/>
      <c r="G30" s="98"/>
      <c r="H30" s="90"/>
      <c r="I30" s="90"/>
      <c r="J30" s="90"/>
      <c r="K30" s="90"/>
    </row>
    <row r="31" spans="1:28">
      <c r="B31" s="90"/>
      <c r="C31" s="90"/>
      <c r="D31" s="90"/>
      <c r="E31" s="90"/>
      <c r="F31" s="90"/>
      <c r="G31" s="98"/>
      <c r="H31" s="90"/>
      <c r="I31" s="90"/>
      <c r="J31" s="90"/>
      <c r="K31" s="90"/>
    </row>
    <row r="32" spans="1:28">
      <c r="B32" s="90"/>
      <c r="C32" s="90"/>
      <c r="D32" s="90"/>
      <c r="E32" s="90"/>
      <c r="F32" s="90"/>
      <c r="G32" s="99"/>
      <c r="H32" s="90"/>
      <c r="I32" s="90"/>
      <c r="J32" s="90"/>
      <c r="K32" s="90"/>
    </row>
    <row r="33" s="90" customFormat="1"/>
    <row r="34" s="90" customFormat="1"/>
    <row r="35" s="90" customFormat="1"/>
    <row r="36" s="90" customFormat="1"/>
    <row r="37" s="90" customFormat="1"/>
    <row r="38" s="90" customFormat="1"/>
    <row r="39" s="90" customFormat="1"/>
    <row r="40" s="90" customFormat="1"/>
    <row r="41" s="90" customFormat="1"/>
    <row r="42" s="90" customFormat="1"/>
    <row r="43" s="90" customFormat="1"/>
    <row r="44" s="90" customFormat="1"/>
    <row r="45" s="90" customFormat="1"/>
    <row r="46" s="90" customFormat="1"/>
    <row r="47" s="90" customFormat="1"/>
    <row r="48" s="90" customFormat="1"/>
    <row r="49" s="90" customFormat="1"/>
    <row r="50" s="90" customFormat="1"/>
    <row r="51" s="90" customFormat="1"/>
    <row r="52" s="90" customFormat="1"/>
    <row r="53" s="90" customFormat="1"/>
    <row r="54" s="90" customFormat="1"/>
    <row r="55" s="90" customFormat="1"/>
    <row r="56" s="90" customFormat="1"/>
    <row r="57" s="90" customFormat="1"/>
    <row r="58" s="90" customFormat="1"/>
    <row r="59" s="90" customFormat="1"/>
    <row r="60" s="90" customFormat="1"/>
    <row r="61" s="90" customFormat="1"/>
    <row r="62" s="90" customFormat="1"/>
    <row r="63" s="90" customFormat="1"/>
    <row r="64" s="90" customFormat="1"/>
    <row r="65" s="90" customFormat="1"/>
    <row r="66" s="90" customFormat="1"/>
    <row r="67" s="90" customFormat="1"/>
    <row r="68" s="90" customFormat="1"/>
    <row r="69" s="90" customFormat="1"/>
    <row r="70" s="90" customFormat="1"/>
    <row r="71" s="90" customFormat="1"/>
    <row r="72" s="90" customFormat="1"/>
    <row r="73" s="90" customFormat="1"/>
    <row r="74" s="90" customFormat="1"/>
    <row r="75" s="90" customFormat="1"/>
    <row r="76" s="90" customFormat="1"/>
    <row r="77" s="90" customFormat="1"/>
    <row r="78" s="90" customFormat="1"/>
    <row r="79" s="90" customFormat="1"/>
    <row r="80" s="90" customFormat="1"/>
    <row r="81" s="90" customFormat="1"/>
    <row r="82" s="90" customFormat="1"/>
    <row r="83" s="90" customFormat="1"/>
    <row r="84" s="90" customFormat="1"/>
    <row r="85" s="90" customFormat="1"/>
    <row r="86" s="90" customFormat="1"/>
    <row r="87" s="90" customFormat="1"/>
    <row r="88" s="90" customFormat="1"/>
    <row r="89" s="90" customFormat="1"/>
    <row r="90" s="90" customFormat="1"/>
    <row r="91" s="90" customFormat="1"/>
    <row r="92" s="90" customFormat="1"/>
    <row r="93" s="90" customFormat="1"/>
    <row r="94" s="90" customFormat="1"/>
    <row r="95" s="90" customFormat="1"/>
    <row r="96" s="90" customFormat="1"/>
    <row r="97" s="90" customFormat="1"/>
    <row r="98" s="90" customFormat="1"/>
    <row r="99" s="90" customFormat="1"/>
    <row r="100" s="90" customFormat="1"/>
    <row r="101" s="90" customFormat="1"/>
    <row r="102" s="90" customFormat="1"/>
    <row r="103" s="90" customFormat="1"/>
    <row r="104" s="90" customFormat="1"/>
    <row r="105" s="90" customFormat="1"/>
    <row r="106" s="90" customFormat="1"/>
    <row r="107" s="90" customFormat="1"/>
    <row r="108" s="90" customFormat="1"/>
    <row r="109" s="90" customFormat="1"/>
    <row r="110" s="90" customFormat="1"/>
    <row r="111" s="90" customFormat="1"/>
    <row r="112" s="90" customFormat="1"/>
    <row r="113" spans="2:11" s="90" customFormat="1"/>
    <row r="114" spans="2:11" s="90" customFormat="1"/>
    <row r="115" spans="2:11" s="90" customFormat="1"/>
    <row r="116" spans="2:11" s="90" customFormat="1"/>
    <row r="117" spans="2:11" s="90" customFormat="1"/>
    <row r="118" spans="2:11" s="90" customFormat="1"/>
    <row r="119" spans="2:11" s="90" customFormat="1"/>
    <row r="120" spans="2:11" s="90" customFormat="1"/>
    <row r="121" spans="2:11" s="90" customFormat="1">
      <c r="B121" s="97"/>
      <c r="C121" s="97"/>
      <c r="D121" s="97"/>
      <c r="E121" s="97"/>
      <c r="F121" s="97"/>
      <c r="H121" s="97"/>
      <c r="I121" s="97"/>
      <c r="J121" s="97"/>
      <c r="K121" s="97"/>
    </row>
    <row r="122" spans="2:11" s="90" customFormat="1">
      <c r="B122" s="97"/>
      <c r="C122" s="97"/>
      <c r="D122" s="97"/>
      <c r="E122" s="97"/>
      <c r="F122" s="97"/>
      <c r="H122" s="97"/>
      <c r="I122" s="97"/>
      <c r="J122" s="97"/>
      <c r="K122" s="97"/>
    </row>
    <row r="123" spans="2:11" s="90" customFormat="1">
      <c r="B123" s="97"/>
      <c r="C123" s="97"/>
      <c r="D123" s="97"/>
      <c r="E123" s="97"/>
      <c r="F123" s="97"/>
      <c r="H123" s="97"/>
      <c r="I123" s="97"/>
      <c r="J123" s="97"/>
      <c r="K123" s="97"/>
    </row>
    <row r="124" spans="2:11" s="90" customFormat="1">
      <c r="B124" s="97"/>
      <c r="C124" s="97"/>
      <c r="D124" s="97"/>
      <c r="E124" s="97"/>
      <c r="F124" s="97"/>
      <c r="H124" s="97"/>
      <c r="I124" s="97"/>
      <c r="J124" s="97"/>
      <c r="K124" s="97"/>
    </row>
    <row r="125" spans="2:11" s="90" customFormat="1">
      <c r="B125" s="97"/>
      <c r="C125" s="97"/>
      <c r="D125" s="97"/>
      <c r="E125" s="97"/>
      <c r="F125" s="97"/>
      <c r="H125" s="97"/>
      <c r="I125" s="97"/>
      <c r="J125" s="97"/>
      <c r="K125" s="97"/>
    </row>
    <row r="126" spans="2:11" s="90" customFormat="1">
      <c r="B126" s="97"/>
      <c r="C126" s="97"/>
      <c r="D126" s="97"/>
      <c r="E126" s="97"/>
      <c r="F126" s="97"/>
      <c r="H126" s="97"/>
      <c r="I126" s="97"/>
      <c r="J126" s="97"/>
      <c r="K126" s="97"/>
    </row>
    <row r="127" spans="2:11" s="90" customFormat="1">
      <c r="B127" s="97"/>
      <c r="C127" s="97"/>
      <c r="D127" s="97"/>
      <c r="E127" s="97"/>
      <c r="F127" s="97"/>
      <c r="H127" s="97"/>
      <c r="I127" s="97"/>
      <c r="J127" s="97"/>
      <c r="K127" s="97"/>
    </row>
    <row r="128" spans="2:11" s="90" customFormat="1">
      <c r="B128" s="97"/>
      <c r="C128" s="97"/>
      <c r="D128" s="97"/>
      <c r="E128" s="97"/>
      <c r="F128" s="97"/>
      <c r="H128" s="97"/>
      <c r="I128" s="97"/>
      <c r="J128" s="97"/>
      <c r="K128" s="97"/>
    </row>
  </sheetData>
  <sheetProtection sheet="1" objects="1" scenarios="1"/>
  <mergeCells count="5">
    <mergeCell ref="B3:K3"/>
    <mergeCell ref="B5:F5"/>
    <mergeCell ref="B16:F16"/>
    <mergeCell ref="H5:O5"/>
    <mergeCell ref="H16:O16"/>
  </mergeCells>
  <conditionalFormatting sqref="H6">
    <cfRule type="expression" dxfId="282" priority="30">
      <formula>IF(H6&lt;&gt;"n/a",COUNTIF($H$6:$O$6,H6)&gt;1)</formula>
    </cfRule>
  </conditionalFormatting>
  <conditionalFormatting sqref="H7">
    <cfRule type="expression" dxfId="281" priority="29">
      <formula>IF(H7&lt;&gt;"n/a",COUNTIF($H$7:$O$7,H7)&gt;1)</formula>
    </cfRule>
  </conditionalFormatting>
  <conditionalFormatting sqref="H8">
    <cfRule type="expression" dxfId="280" priority="28">
      <formula>IF(H8&lt;&gt;"n/a",COUNTIF($H$8:$O$8,H8)&gt;1)</formula>
    </cfRule>
  </conditionalFormatting>
  <conditionalFormatting sqref="H9">
    <cfRule type="expression" dxfId="279" priority="27">
      <formula>IF(H9&lt;&gt;"n/a",COUNTIF($H$9:$O$9,H9)&gt;1)</formula>
    </cfRule>
  </conditionalFormatting>
  <conditionalFormatting sqref="H10">
    <cfRule type="expression" dxfId="278" priority="26">
      <formula>IF(H10&lt;&gt;"n/a",COUNTIF($H$10:$O$10,H10)&gt;1)</formula>
    </cfRule>
  </conditionalFormatting>
  <conditionalFormatting sqref="H11">
    <cfRule type="expression" dxfId="277" priority="25">
      <formula>IF(H11&lt;&gt;"n/a",COUNTIF($H$11:$O$11,H11)&gt;1)</formula>
    </cfRule>
  </conditionalFormatting>
  <conditionalFormatting sqref="I6:O6">
    <cfRule type="expression" dxfId="276" priority="24">
      <formula>IF(I6&lt;&gt;"n/a",COUNTIF($H$6:$O$6,I6)&gt;1)</formula>
    </cfRule>
  </conditionalFormatting>
  <conditionalFormatting sqref="I7:O7">
    <cfRule type="expression" dxfId="275" priority="23">
      <formula>IF(I7&lt;&gt;"n/a",COUNTIF($H$7:$O$7,I7)&gt;1)</formula>
    </cfRule>
  </conditionalFormatting>
  <conditionalFormatting sqref="I8:O8">
    <cfRule type="expression" dxfId="274" priority="22">
      <formula>IF(I8&lt;&gt;"n/a",COUNTIF($H$8:$O$8,I8)&gt;1)</formula>
    </cfRule>
  </conditionalFormatting>
  <conditionalFormatting sqref="I9:O9">
    <cfRule type="expression" dxfId="273" priority="21">
      <formula>IF(I9&lt;&gt;"n/a",COUNTIF($H$9:$O$9,I9)&gt;1)</formula>
    </cfRule>
  </conditionalFormatting>
  <conditionalFormatting sqref="I10:O10">
    <cfRule type="expression" dxfId="272" priority="20">
      <formula>IF(I10&lt;&gt;"n/a",COUNTIF($H$10:$O$10,I10)&gt;1)</formula>
    </cfRule>
  </conditionalFormatting>
  <conditionalFormatting sqref="I11:O11">
    <cfRule type="expression" dxfId="271" priority="19">
      <formula>IF(I11&lt;&gt;"n/a",COUNTIF($H$11:$O$11,I11)&gt;1)</formula>
    </cfRule>
  </conditionalFormatting>
  <conditionalFormatting sqref="H17">
    <cfRule type="expression" dxfId="270" priority="18">
      <formula>IF(H17&lt;&gt;"n/a",COUNTIF($H$17:$O$17,H17)&gt;1)</formula>
    </cfRule>
  </conditionalFormatting>
  <conditionalFormatting sqref="H18">
    <cfRule type="expression" dxfId="269" priority="17">
      <formula>IF(H18&lt;&gt;"n/a",COUNTIF($H$18:$O$18,H18)&gt;1)</formula>
    </cfRule>
  </conditionalFormatting>
  <conditionalFormatting sqref="H19">
    <cfRule type="expression" dxfId="268" priority="16">
      <formula>IF(H19&lt;&gt;"n/a",COUNTIF($H$19:$O$19,H19)&gt;1)</formula>
    </cfRule>
  </conditionalFormatting>
  <conditionalFormatting sqref="H20">
    <cfRule type="expression" dxfId="267" priority="15">
      <formula>IF(H20&lt;&gt;"n/a",COUNTIF($H$20:$O$20,H20)&gt;1)</formula>
    </cfRule>
  </conditionalFormatting>
  <conditionalFormatting sqref="H21">
    <cfRule type="expression" dxfId="266" priority="14">
      <formula>IF(H21&lt;&gt;"n/a",COUNTIF($H$21:$O$21,H21)&gt;1)</formula>
    </cfRule>
  </conditionalFormatting>
  <conditionalFormatting sqref="I17:O17">
    <cfRule type="expression" dxfId="265" priority="13">
      <formula>IF(I17&lt;&gt;"n/a",COUNTIF($H$17:$O$17,I17)&gt;1)</formula>
    </cfRule>
  </conditionalFormatting>
  <conditionalFormatting sqref="I18:O18">
    <cfRule type="expression" dxfId="264" priority="12">
      <formula>IF(I18&lt;&gt;"n/a",COUNTIF($H$18:$O$18,I18)&gt;1)</formula>
    </cfRule>
  </conditionalFormatting>
  <conditionalFormatting sqref="I19:O19">
    <cfRule type="expression" dxfId="263" priority="11">
      <formula>IF(I19&lt;&gt;"n/a",COUNTIF($H$19:$O$19,I19)&gt;1)</formula>
    </cfRule>
  </conditionalFormatting>
  <conditionalFormatting sqref="I20:O20">
    <cfRule type="expression" dxfId="262" priority="10">
      <formula>IF(I20&lt;&gt;"n/a",COUNTIF($H$20:$O$20,I20)&gt;1)</formula>
    </cfRule>
  </conditionalFormatting>
  <conditionalFormatting sqref="I21:O21">
    <cfRule type="expression" dxfId="261" priority="9">
      <formula>IF(I21&lt;&gt;"n/a",COUNTIF($H$21:$O$21,I21)&gt;1)</formula>
    </cfRule>
  </conditionalFormatting>
  <conditionalFormatting sqref="B7:F14">
    <cfRule type="containsBlanks" dxfId="260" priority="8">
      <formula>LEN(TRIM(B7))=0</formula>
    </cfRule>
  </conditionalFormatting>
  <conditionalFormatting sqref="B7:F7 B9:F10 B12:F14 C8 C11">
    <cfRule type="containsText" dxfId="259" priority="7" operator="containsText" text="n/a">
      <formula>NOT(ISERROR(SEARCH("n/a",B7)))</formula>
    </cfRule>
  </conditionalFormatting>
  <conditionalFormatting sqref="B18:F24">
    <cfRule type="containsBlanks" dxfId="258" priority="6">
      <formula>LEN(TRIM(B18))=0</formula>
    </cfRule>
  </conditionalFormatting>
  <conditionalFormatting sqref="B18:F18 C19 B20:F24">
    <cfRule type="containsText" dxfId="257" priority="5" operator="containsText" text="n/a">
      <formula>NOT(ISERROR(SEARCH("n/a",B18)))</formula>
    </cfRule>
  </conditionalFormatting>
  <conditionalFormatting sqref="H6:O11">
    <cfRule type="containsBlanks" dxfId="256" priority="4">
      <formula>LEN(TRIM(H6))=0</formula>
    </cfRule>
  </conditionalFormatting>
  <conditionalFormatting sqref="H6:J7 H9:J10">
    <cfRule type="containsText" dxfId="255" priority="3" operator="containsText" text="n/a">
      <formula>NOT(ISERROR(SEARCH("n/a",H6)))</formula>
    </cfRule>
  </conditionalFormatting>
  <conditionalFormatting sqref="H17:O21">
    <cfRule type="containsBlanks" dxfId="254" priority="31">
      <formula>LEN(TRIM(H17))=0</formula>
    </cfRule>
  </conditionalFormatting>
  <conditionalFormatting sqref="H17:J18 H20:J21">
    <cfRule type="containsText" dxfId="253" priority="1" operator="containsText" text="n/a">
      <formula>NOT(ISERROR(SEARCH("n/a",H17)))</formula>
    </cfRule>
  </conditionalFormatting>
  <pageMargins left="0.75" right="0.75" top="1" bottom="1" header="0.5" footer="0.5"/>
  <pageSetup orientation="portrait" horizontalDpi="4294967292" verticalDpi="4294967292" r:id="rId1"/>
  <ignoredErrors>
    <ignoredError sqref="C7:C11 C13:C14 F13:F14 C18:C24 F22:F24" unlocked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pageSetUpPr fitToPage="1"/>
  </sheetPr>
  <dimension ref="B1:L169"/>
  <sheetViews>
    <sheetView showGridLines="0" zoomScaleNormal="100" zoomScalePageLayoutView="116" workbookViewId="0">
      <pane ySplit="4" topLeftCell="A5" activePane="bottomLeft" state="frozen"/>
      <selection pane="bottomLeft" activeCell="F11" sqref="F11:G11"/>
    </sheetView>
  </sheetViews>
  <sheetFormatPr baseColWidth="10" defaultColWidth="9" defaultRowHeight="13"/>
  <cols>
    <col min="1" max="1" width="1.5" style="289" customWidth="1"/>
    <col min="2" max="2" width="3.33203125" style="289" customWidth="1"/>
    <col min="3" max="3" width="45.83203125" style="289" customWidth="1"/>
    <col min="4" max="4" width="1.6640625" style="289" customWidth="1"/>
    <col min="5" max="5" width="49.1640625" style="289" bestFit="1" customWidth="1"/>
    <col min="6" max="6" width="16.83203125" style="289" customWidth="1"/>
    <col min="7" max="7" width="19.83203125" style="289" customWidth="1"/>
    <col min="8" max="8" width="2.83203125" style="289" customWidth="1"/>
    <col min="9" max="9" width="51.33203125" style="289" bestFit="1" customWidth="1"/>
    <col min="10" max="10" width="16.83203125" style="289" customWidth="1"/>
    <col min="11" max="11" width="17.33203125" style="289" customWidth="1"/>
    <col min="12" max="16384" width="9" style="289"/>
  </cols>
  <sheetData>
    <row r="1" spans="2:11" ht="48" customHeight="1">
      <c r="B1" s="287"/>
      <c r="C1" s="288"/>
      <c r="E1" s="289" t="s">
        <v>5</v>
      </c>
    </row>
    <row r="2" spans="2:11" ht="3" customHeight="1" thickBot="1">
      <c r="B2" s="287"/>
      <c r="C2" s="288"/>
    </row>
    <row r="3" spans="2:11" ht="52" customHeight="1" thickBot="1">
      <c r="B3" s="332" t="s">
        <v>1237</v>
      </c>
      <c r="C3" s="432"/>
      <c r="D3" s="432"/>
      <c r="E3" s="432"/>
      <c r="F3" s="432"/>
      <c r="G3" s="432"/>
      <c r="H3" s="433"/>
      <c r="I3" s="433"/>
      <c r="J3" s="433"/>
      <c r="K3" s="434"/>
    </row>
    <row r="4" spans="2:11" s="219" customFormat="1" ht="2" customHeight="1">
      <c r="B4" s="290"/>
      <c r="C4" s="290"/>
      <c r="I4" s="289"/>
      <c r="J4" s="289"/>
    </row>
    <row r="5" spans="2:11" s="219" customFormat="1" ht="20">
      <c r="B5" s="291" t="s">
        <v>256</v>
      </c>
      <c r="C5" s="292"/>
      <c r="E5" s="220" t="s">
        <v>33</v>
      </c>
      <c r="F5" s="221" t="s">
        <v>18</v>
      </c>
      <c r="G5" s="221" t="s">
        <v>1</v>
      </c>
      <c r="H5" s="293"/>
      <c r="I5" s="294" t="s">
        <v>569</v>
      </c>
      <c r="J5" s="435" t="s">
        <v>32</v>
      </c>
      <c r="K5" s="436"/>
    </row>
    <row r="6" spans="2:11" s="219" customFormat="1" ht="15" customHeight="1">
      <c r="B6" s="295" t="str">
        <f>IF((AND(F6&lt;&gt;"",G6&lt;&gt;"")),"✓","")</f>
        <v>✓</v>
      </c>
      <c r="C6" s="219" t="s">
        <v>81</v>
      </c>
      <c r="E6" s="222" t="s">
        <v>847</v>
      </c>
      <c r="F6" s="323" t="s">
        <v>900</v>
      </c>
      <c r="G6" s="323" t="s">
        <v>1322</v>
      </c>
      <c r="H6" s="296"/>
      <c r="I6" s="222" t="s">
        <v>570</v>
      </c>
      <c r="J6" s="410" t="s">
        <v>886</v>
      </c>
      <c r="K6" s="424"/>
    </row>
    <row r="7" spans="2:11" s="219" customFormat="1" ht="15" customHeight="1">
      <c r="B7" s="295" t="str">
        <f>IF((AND(F8&lt;&gt;"",F9&lt;&gt;"")),"✓","")</f>
        <v>✓</v>
      </c>
      <c r="C7" s="219" t="s">
        <v>83</v>
      </c>
      <c r="E7" s="222" t="s">
        <v>848</v>
      </c>
      <c r="F7" s="323" t="s">
        <v>901</v>
      </c>
      <c r="G7" s="323" t="s">
        <v>1323</v>
      </c>
      <c r="H7" s="290"/>
      <c r="I7" s="222" t="s">
        <v>571</v>
      </c>
      <c r="J7" s="410" t="s">
        <v>887</v>
      </c>
      <c r="K7" s="424"/>
    </row>
    <row r="8" spans="2:11" s="219" customFormat="1" ht="15" customHeight="1">
      <c r="B8" s="295" t="str">
        <f>IF((AND(J11&lt;&gt;"",J12&lt;&gt;"",J13&lt;&gt;"",J14&lt;&gt;"",J15&lt;&gt;"",J16&lt;&gt;"",J17&lt;&gt;"",J21&lt;&gt;"")),"✓","")</f>
        <v>✓</v>
      </c>
      <c r="C8" s="219" t="s">
        <v>0</v>
      </c>
      <c r="E8" s="222" t="s">
        <v>572</v>
      </c>
      <c r="F8" s="413" t="s">
        <v>1322</v>
      </c>
      <c r="G8" s="437"/>
      <c r="H8" s="290"/>
      <c r="I8" s="222" t="s">
        <v>496</v>
      </c>
      <c r="J8" s="413" t="s">
        <v>15</v>
      </c>
      <c r="K8" s="414"/>
    </row>
    <row r="9" spans="2:11" s="219" customFormat="1" ht="15" customHeight="1">
      <c r="B9" s="295" t="str">
        <f>IF((AND(J7&lt;&gt;"")),"✓","")</f>
        <v>✓</v>
      </c>
      <c r="C9" s="219" t="s">
        <v>257</v>
      </c>
      <c r="E9" s="222" t="s">
        <v>573</v>
      </c>
      <c r="F9" s="413" t="s">
        <v>1323</v>
      </c>
      <c r="G9" s="437"/>
      <c r="H9" s="290"/>
    </row>
    <row r="10" spans="2:11" s="219" customFormat="1" ht="15" customHeight="1">
      <c r="B10" s="295" t="str">
        <f>IF((AND(F10&lt;&gt;"",F11&lt;&gt;"")),"✓","")</f>
        <v>✓</v>
      </c>
      <c r="C10" s="219" t="s">
        <v>84</v>
      </c>
      <c r="E10" s="222" t="s">
        <v>261</v>
      </c>
      <c r="F10" s="413" t="s">
        <v>1373</v>
      </c>
      <c r="G10" s="437"/>
      <c r="H10" s="290"/>
      <c r="I10" s="220" t="s">
        <v>128</v>
      </c>
      <c r="J10" s="435" t="s">
        <v>32</v>
      </c>
      <c r="K10" s="436"/>
    </row>
    <row r="11" spans="2:11" s="219" customFormat="1" ht="15" customHeight="1">
      <c r="B11" s="295" t="str">
        <f>IF((AND(F17&lt;&gt;"",F18&lt;&gt;"")),"✓","")</f>
        <v>✓</v>
      </c>
      <c r="C11" s="219" t="s">
        <v>30</v>
      </c>
      <c r="E11" s="222" t="s">
        <v>262</v>
      </c>
      <c r="F11" s="413" t="s">
        <v>1374</v>
      </c>
      <c r="G11" s="437"/>
      <c r="H11" s="290"/>
      <c r="I11" s="220" t="s">
        <v>850</v>
      </c>
      <c r="J11" s="390" t="str">
        <f>J6</f>
        <v>rainpole.local</v>
      </c>
      <c r="K11" s="391"/>
    </row>
    <row r="12" spans="2:11" s="219" customFormat="1" ht="15" customHeight="1">
      <c r="B12" s="295" t="str">
        <f>IF('Users and Groups'!C17&lt;&gt;"","✓","")</f>
        <v>✓</v>
      </c>
      <c r="C12" s="219" t="s">
        <v>82</v>
      </c>
      <c r="E12" s="220" t="s">
        <v>49</v>
      </c>
      <c r="F12" s="387" t="s">
        <v>32</v>
      </c>
      <c r="G12" s="389"/>
      <c r="H12" s="290"/>
      <c r="I12" s="220" t="s">
        <v>851</v>
      </c>
      <c r="J12" s="392" t="str">
        <f>UPPER(LEFT(J11,FIND(".",J11)-1))</f>
        <v>RAINPOLE</v>
      </c>
      <c r="K12" s="429"/>
    </row>
    <row r="13" spans="2:11" s="219" customFormat="1" ht="15" customHeight="1">
      <c r="B13" s="295" t="str">
        <f>IF((AND(F13&lt;&gt;"",F14&lt;&gt;"")),"✓","")</f>
        <v>✓</v>
      </c>
      <c r="C13" s="219" t="s">
        <v>246</v>
      </c>
      <c r="E13" s="222" t="s">
        <v>989</v>
      </c>
      <c r="F13" s="392" t="str">
        <f>J23&amp;"-m01-nfs01"</f>
        <v>sfo01-m01-nfs01</v>
      </c>
      <c r="G13" s="429"/>
      <c r="H13" s="290"/>
      <c r="I13" s="220" t="s">
        <v>852</v>
      </c>
      <c r="J13" s="381" t="s">
        <v>888</v>
      </c>
      <c r="K13" s="397"/>
    </row>
    <row r="14" spans="2:11" s="219" customFormat="1" ht="15" customHeight="1">
      <c r="B14" s="295" t="str">
        <f>IF((AND('Prerequisite Checklist'!B4="Verified")),"✓","")</f>
        <v/>
      </c>
      <c r="C14" s="219" t="s">
        <v>1025</v>
      </c>
      <c r="E14" s="222" t="s">
        <v>988</v>
      </c>
      <c r="F14" s="392" t="str">
        <f>J23&amp;"-w01-nfs01"</f>
        <v>sfo01-w01-nfs01</v>
      </c>
      <c r="G14" s="429"/>
      <c r="H14" s="290"/>
      <c r="I14" s="220" t="s">
        <v>853</v>
      </c>
      <c r="J14" s="394" t="s">
        <v>1091</v>
      </c>
      <c r="K14" s="384"/>
    </row>
    <row r="15" spans="2:11" s="219" customFormat="1" ht="15" customHeight="1">
      <c r="B15" s="295" t="str">
        <f>IF((AND('Prerequisite Checklist'!B5="Verified")),"✓","")</f>
        <v/>
      </c>
      <c r="C15" s="219" t="s">
        <v>225</v>
      </c>
      <c r="H15" s="290"/>
      <c r="I15" s="220" t="s">
        <v>854</v>
      </c>
      <c r="J15" s="427" t="str">
        <f>"ldap://"&amp;F6&amp;"."&amp;J6&amp;":389"</f>
        <v>ldap://dc01rpl.rainpole.local:389</v>
      </c>
      <c r="K15" s="428"/>
    </row>
    <row r="16" spans="2:11" s="219" customFormat="1" ht="15" customHeight="1">
      <c r="E16" s="220" t="s">
        <v>175</v>
      </c>
      <c r="F16" s="435" t="s">
        <v>32</v>
      </c>
      <c r="G16" s="436"/>
      <c r="H16" s="290"/>
      <c r="I16" s="220" t="s">
        <v>855</v>
      </c>
      <c r="J16" s="390" t="str">
        <f>IF(J7="n/a","n/a",LEFT(J7,FIND(".",J7)-1))</f>
        <v>sfo01</v>
      </c>
      <c r="K16" s="391"/>
    </row>
    <row r="17" spans="2:11" s="219" customFormat="1" ht="15" customHeight="1">
      <c r="E17" s="222" t="s">
        <v>30</v>
      </c>
      <c r="F17" s="394" t="s">
        <v>889</v>
      </c>
      <c r="G17" s="384"/>
      <c r="H17" s="290"/>
      <c r="I17" s="220" t="s">
        <v>856</v>
      </c>
      <c r="J17" s="390" t="str">
        <f>IF(J7="n/a","n/a",UPPER(LEFT(J7,FIND(".",J7)-1)))</f>
        <v>SFO01</v>
      </c>
      <c r="K17" s="391"/>
    </row>
    <row r="18" spans="2:11" s="219" customFormat="1" ht="15" customHeight="1">
      <c r="E18" s="222" t="s">
        <v>176</v>
      </c>
      <c r="F18" s="394">
        <v>25</v>
      </c>
      <c r="G18" s="384"/>
      <c r="I18" s="220" t="s">
        <v>858</v>
      </c>
      <c r="J18" s="394" t="s">
        <v>890</v>
      </c>
      <c r="K18" s="384"/>
    </row>
    <row r="19" spans="2:11" s="219" customFormat="1" ht="15" customHeight="1">
      <c r="I19" s="220" t="s">
        <v>857</v>
      </c>
      <c r="J19" s="381" t="s">
        <v>1092</v>
      </c>
      <c r="K19" s="397"/>
    </row>
    <row r="20" spans="2:11" s="219" customFormat="1" ht="15" customHeight="1">
      <c r="I20" s="220" t="s">
        <v>859</v>
      </c>
      <c r="J20" s="427" t="str">
        <f>IF(F7="n/a","n/a",("ldap://"&amp;F7&amp;"."&amp;J7&amp;":389"))</f>
        <v>ldap://dc01sfo.sfo01.rainpole.local:389</v>
      </c>
      <c r="K20" s="428"/>
    </row>
    <row r="21" spans="2:11" s="219" customFormat="1" ht="15" customHeight="1">
      <c r="I21" s="220" t="s">
        <v>497</v>
      </c>
      <c r="J21" s="438" t="s">
        <v>211</v>
      </c>
      <c r="K21" s="439"/>
    </row>
    <row r="22" spans="2:11" s="219" customFormat="1" ht="15" customHeight="1"/>
    <row r="23" spans="2:11" s="219" customFormat="1" ht="15" customHeight="1">
      <c r="I23" s="220" t="s">
        <v>205</v>
      </c>
      <c r="J23" s="413" t="s">
        <v>885</v>
      </c>
      <c r="K23" s="414"/>
    </row>
    <row r="24" spans="2:11" s="219" customFormat="1" ht="15" customHeight="1"/>
    <row r="25" spans="2:11" s="219" customFormat="1" ht="20" customHeight="1">
      <c r="B25" s="291" t="s">
        <v>35</v>
      </c>
      <c r="C25" s="297"/>
      <c r="E25" s="220" t="s">
        <v>14</v>
      </c>
      <c r="F25" s="221" t="s">
        <v>18</v>
      </c>
      <c r="G25" s="221" t="s">
        <v>1</v>
      </c>
      <c r="H25" s="296"/>
      <c r="I25" s="220" t="s">
        <v>34</v>
      </c>
      <c r="J25" s="221" t="s">
        <v>32</v>
      </c>
      <c r="K25" s="221" t="s">
        <v>154</v>
      </c>
    </row>
    <row r="26" spans="2:11" s="219" customFormat="1" ht="15" customHeight="1">
      <c r="B26" s="298" t="str">
        <f>IF((AND(F26&lt;&gt;"",F27&lt;&gt;"",F29&lt;&gt;"",F30&lt;&gt;"")),"✓","")</f>
        <v>✓</v>
      </c>
      <c r="C26" s="219" t="s">
        <v>504</v>
      </c>
      <c r="E26" s="222" t="s">
        <v>36</v>
      </c>
      <c r="F26" s="212" t="str">
        <f>J23&amp;"m01vc01"</f>
        <v>sfo01m01vc01</v>
      </c>
      <c r="G26" s="317" t="s">
        <v>1324</v>
      </c>
      <c r="H26" s="296"/>
      <c r="I26" s="222" t="s">
        <v>1001</v>
      </c>
      <c r="J26" s="212" t="str">
        <f>J23&amp;"-m01dc"</f>
        <v>sfo01-m01dc</v>
      </c>
      <c r="K26" s="212"/>
    </row>
    <row r="27" spans="2:11" s="219" customFormat="1" ht="15" customHeight="1">
      <c r="B27" s="298" t="str">
        <f>IF((AND(G26&lt;&gt;"",G27&lt;&gt;"",G29&lt;&gt;"",G30&lt;&gt;"")),"✓","")</f>
        <v>✓</v>
      </c>
      <c r="C27" s="219" t="s">
        <v>505</v>
      </c>
      <c r="E27" s="222" t="s">
        <v>37</v>
      </c>
      <c r="F27" s="212" t="str">
        <f>J23&amp;"m01psc01"</f>
        <v>sfo01m01psc01</v>
      </c>
      <c r="G27" s="317" t="s">
        <v>1325</v>
      </c>
      <c r="H27" s="290"/>
      <c r="I27" s="222" t="s">
        <v>1002</v>
      </c>
      <c r="J27" s="212" t="str">
        <f>J23&amp;"-w01dc"</f>
        <v>sfo01-w01dc</v>
      </c>
      <c r="K27" s="212"/>
    </row>
    <row r="28" spans="2:11" s="219" customFormat="1" ht="15" customHeight="1">
      <c r="B28" s="295" t="str">
        <f>IF('Prerequisite Checklist'!B9="Verified","✓","")</f>
        <v/>
      </c>
      <c r="C28" s="219" t="s">
        <v>88</v>
      </c>
      <c r="E28" s="220" t="s">
        <v>1003</v>
      </c>
      <c r="F28" s="221" t="s">
        <v>18</v>
      </c>
      <c r="G28" s="221" t="s">
        <v>1</v>
      </c>
      <c r="H28" s="290"/>
      <c r="I28" s="222" t="s">
        <v>208</v>
      </c>
      <c r="J28" s="212" t="str">
        <f>J23&amp;"-m01-mgmt01"</f>
        <v>sfo01-m01-mgmt01</v>
      </c>
      <c r="K28" s="213" t="s">
        <v>11</v>
      </c>
    </row>
    <row r="29" spans="2:11" s="219" customFormat="1" ht="15" customHeight="1">
      <c r="B29" s="298" t="str">
        <f>IF(J26&lt;&gt;"","✓","")</f>
        <v>✓</v>
      </c>
      <c r="C29" s="219" t="s">
        <v>181</v>
      </c>
      <c r="E29" s="222" t="s">
        <v>36</v>
      </c>
      <c r="F29" s="212" t="str">
        <f>J23&amp;"w01vc01"</f>
        <v>sfo01w01vc01</v>
      </c>
      <c r="G29" s="317" t="s">
        <v>1326</v>
      </c>
      <c r="H29" s="290"/>
      <c r="I29" s="222" t="s">
        <v>986</v>
      </c>
      <c r="J29" s="212" t="str">
        <f>J23&amp;"-w01-shared01"</f>
        <v>sfo01-w01-shared01</v>
      </c>
      <c r="K29" s="213" t="s">
        <v>11</v>
      </c>
    </row>
    <row r="30" spans="2:11" s="219" customFormat="1" ht="15" customHeight="1">
      <c r="B30" s="298" t="str">
        <f>IF((AND(J28&lt;&gt;"",J29&lt;&gt;"")),"✓","")</f>
        <v>✓</v>
      </c>
      <c r="C30" s="219" t="s">
        <v>182</v>
      </c>
      <c r="E30" s="222" t="s">
        <v>37</v>
      </c>
      <c r="F30" s="212" t="str">
        <f>J23&amp;"w01psc01"</f>
        <v>sfo01w01psc01</v>
      </c>
      <c r="G30" s="317" t="s">
        <v>1327</v>
      </c>
      <c r="H30" s="290"/>
      <c r="I30" s="220" t="s">
        <v>207</v>
      </c>
      <c r="J30" s="387" t="s">
        <v>32</v>
      </c>
      <c r="K30" s="389"/>
    </row>
    <row r="31" spans="2:11" s="219" customFormat="1" ht="15" customHeight="1">
      <c r="B31" s="298" t="str">
        <f>IF((AND(K28&lt;&gt;"",K29&lt;&gt;"")),"✓","")</f>
        <v>✓</v>
      </c>
      <c r="C31" s="219" t="s">
        <v>183</v>
      </c>
      <c r="E31" s="222" t="s">
        <v>510</v>
      </c>
      <c r="F31" s="212" t="str">
        <f>J23&amp;"psc01"</f>
        <v>sfo01psc01</v>
      </c>
      <c r="G31" s="317" t="s">
        <v>1334</v>
      </c>
      <c r="H31" s="290"/>
      <c r="I31" s="222" t="s">
        <v>993</v>
      </c>
      <c r="J31" s="390" t="str">
        <f>J23&amp;"-m01-vds01"</f>
        <v>sfo01-m01-vds01</v>
      </c>
      <c r="K31" s="391"/>
    </row>
    <row r="32" spans="2:11" s="219" customFormat="1" ht="15" customHeight="1">
      <c r="B32" s="298" t="str">
        <f>IF(J23&lt;&gt;"","✓","")</f>
        <v>✓</v>
      </c>
      <c r="C32" s="219" t="s">
        <v>209</v>
      </c>
      <c r="H32" s="290"/>
      <c r="I32" s="222" t="s">
        <v>1078</v>
      </c>
      <c r="J32" s="410">
        <v>9000</v>
      </c>
      <c r="K32" s="424"/>
    </row>
    <row r="33" spans="2:12" s="219" customFormat="1" ht="15" customHeight="1">
      <c r="B33" s="298" t="str">
        <f>IF(AND(J31&lt;&gt;"",J33&lt;&gt;""),"✓","")</f>
        <v>✓</v>
      </c>
      <c r="C33" s="219" t="s">
        <v>210</v>
      </c>
      <c r="E33" s="299" t="s">
        <v>235</v>
      </c>
      <c r="F33" s="387" t="s">
        <v>32</v>
      </c>
      <c r="G33" s="389"/>
      <c r="H33" s="290"/>
      <c r="I33" s="222" t="s">
        <v>994</v>
      </c>
      <c r="J33" s="390" t="str">
        <f>J23&amp;"-w01-vds01"</f>
        <v>sfo01-w01-vds01</v>
      </c>
      <c r="K33" s="391"/>
    </row>
    <row r="34" spans="2:12" s="219" customFormat="1" ht="15" customHeight="1">
      <c r="E34" s="222" t="s">
        <v>233</v>
      </c>
      <c r="F34" s="413" t="s">
        <v>232</v>
      </c>
      <c r="G34" s="414"/>
      <c r="H34" s="290"/>
      <c r="I34" s="222" t="s">
        <v>1079</v>
      </c>
      <c r="J34" s="410">
        <v>9000</v>
      </c>
      <c r="K34" s="424"/>
    </row>
    <row r="35" spans="2:12" s="219" customFormat="1" ht="15" customHeight="1">
      <c r="E35" s="222" t="s">
        <v>995</v>
      </c>
      <c r="F35" s="413" t="s">
        <v>502</v>
      </c>
      <c r="G35" s="414"/>
      <c r="H35" s="290"/>
    </row>
    <row r="36" spans="2:12" s="219" customFormat="1" ht="15" customHeight="1">
      <c r="E36" s="222" t="s">
        <v>1128</v>
      </c>
      <c r="F36" s="413" t="s">
        <v>973</v>
      </c>
      <c r="G36" s="414"/>
      <c r="H36" s="290"/>
      <c r="I36" s="299" t="s">
        <v>559</v>
      </c>
      <c r="J36" s="387" t="s">
        <v>32</v>
      </c>
      <c r="K36" s="389"/>
    </row>
    <row r="37" spans="2:12" s="219" customFormat="1" ht="15" customHeight="1">
      <c r="E37" s="222" t="s">
        <v>992</v>
      </c>
      <c r="F37" s="413" t="s">
        <v>232</v>
      </c>
      <c r="G37" s="414"/>
      <c r="H37" s="290"/>
      <c r="I37" s="222" t="s">
        <v>990</v>
      </c>
      <c r="J37" s="390" t="str">
        <f>J23&amp;"-m01hp-mgmt01"</f>
        <v>sfo01-m01hp-mgmt01</v>
      </c>
      <c r="K37" s="391"/>
    </row>
    <row r="38" spans="2:12" s="219" customFormat="1" ht="15" customHeight="1">
      <c r="E38" s="222" t="s">
        <v>996</v>
      </c>
      <c r="F38" s="413" t="s">
        <v>502</v>
      </c>
      <c r="G38" s="414"/>
      <c r="H38" s="290"/>
      <c r="I38" s="222" t="s">
        <v>991</v>
      </c>
      <c r="J38" s="392" t="str">
        <f>J23&amp;"-w01hp-comp01"</f>
        <v>sfo01-w01hp-comp01</v>
      </c>
      <c r="K38" s="393"/>
    </row>
    <row r="39" spans="2:12" s="219" customFormat="1" ht="15" customHeight="1">
      <c r="E39" s="222" t="s">
        <v>1129</v>
      </c>
      <c r="F39" s="413" t="s">
        <v>973</v>
      </c>
      <c r="G39" s="414"/>
      <c r="H39" s="290"/>
    </row>
    <row r="40" spans="2:12" s="219" customFormat="1" ht="15" customHeight="1">
      <c r="H40" s="290"/>
    </row>
    <row r="41" spans="2:12" s="219" customFormat="1" ht="15" customHeight="1">
      <c r="B41" s="291" t="s">
        <v>29</v>
      </c>
      <c r="C41" s="297"/>
      <c r="E41" s="300" t="s">
        <v>151</v>
      </c>
      <c r="F41" s="387" t="s">
        <v>32</v>
      </c>
      <c r="G41" s="389"/>
      <c r="H41" s="231"/>
      <c r="I41" s="301"/>
      <c r="J41" s="231"/>
      <c r="K41" s="231"/>
      <c r="L41" s="232"/>
    </row>
    <row r="42" spans="2:12" s="219" customFormat="1" ht="15" customHeight="1">
      <c r="B42" s="298" t="str">
        <f>IF((AND(F42&lt;&gt;"",F43&lt;&gt;"")),"✓","")</f>
        <v>✓</v>
      </c>
      <c r="C42" s="219" t="s">
        <v>193</v>
      </c>
      <c r="E42" s="222" t="s">
        <v>1004</v>
      </c>
      <c r="F42" s="390" t="str">
        <f>J23&amp;"-m01-vsan"</f>
        <v>sfo01-m01-vsan</v>
      </c>
      <c r="G42" s="391"/>
      <c r="H42" s="231"/>
      <c r="I42" s="301"/>
      <c r="J42" s="231"/>
      <c r="K42" s="231"/>
      <c r="L42" s="232"/>
    </row>
    <row r="43" spans="2:12" s="219" customFormat="1" ht="15" customHeight="1">
      <c r="B43" s="298" t="str">
        <f>IF((AND('Hosts and Networks'!H10&lt;&gt;"",'Hosts and Networks'!I10&lt;&gt;"",'Hosts and Networks'!J10&lt;&gt;"",'Hosts and Networks'!K10&lt;&gt;"")),"✓","")</f>
        <v>✓</v>
      </c>
      <c r="C43" s="219" t="s">
        <v>28</v>
      </c>
      <c r="E43" s="222" t="s">
        <v>1005</v>
      </c>
      <c r="F43" s="390" t="str">
        <f>J23&amp;"-w01-vsan"</f>
        <v>sfo01-w01-vsan</v>
      </c>
      <c r="G43" s="391"/>
      <c r="H43" s="231"/>
      <c r="I43" s="301"/>
      <c r="J43" s="231"/>
      <c r="K43" s="231"/>
      <c r="L43" s="232"/>
    </row>
    <row r="44" spans="2:12" s="219" customFormat="1" ht="15" customHeight="1">
      <c r="B44" s="302"/>
      <c r="E44" s="301"/>
      <c r="F44" s="231"/>
      <c r="G44" s="231"/>
      <c r="H44" s="290"/>
      <c r="I44" s="290"/>
    </row>
    <row r="45" spans="2:12" s="219" customFormat="1" ht="20" customHeight="1">
      <c r="B45" s="291" t="s">
        <v>3</v>
      </c>
      <c r="C45" s="297"/>
      <c r="E45" s="220" t="s">
        <v>14</v>
      </c>
      <c r="F45" s="221" t="s">
        <v>18</v>
      </c>
      <c r="G45" s="221" t="s">
        <v>1</v>
      </c>
      <c r="H45" s="303"/>
      <c r="I45" s="220" t="s">
        <v>985</v>
      </c>
      <c r="J45" s="221" t="s">
        <v>18</v>
      </c>
      <c r="K45" s="221" t="s">
        <v>1</v>
      </c>
    </row>
    <row r="46" spans="2:12" s="219" customFormat="1" ht="15" customHeight="1">
      <c r="B46" s="298" t="str">
        <f>IF((AND(F46&lt;&gt;"",J46&lt;&gt;"")),"✓","")</f>
        <v>✓</v>
      </c>
      <c r="C46" s="219" t="s">
        <v>192</v>
      </c>
      <c r="E46" s="222" t="s">
        <v>17</v>
      </c>
      <c r="F46" s="212" t="str">
        <f>J23&amp;"m01nsx01"</f>
        <v>sfo01m01nsx01</v>
      </c>
      <c r="G46" s="317" t="s">
        <v>1328</v>
      </c>
      <c r="H46" s="303"/>
      <c r="I46" s="222" t="s">
        <v>17</v>
      </c>
      <c r="J46" s="212" t="str">
        <f>J23&amp;"w01nsx01"</f>
        <v>sfo01w01nsx01</v>
      </c>
      <c r="K46" s="317" t="s">
        <v>1331</v>
      </c>
    </row>
    <row r="47" spans="2:12" s="219" customFormat="1" ht="15" customHeight="1">
      <c r="B47" s="298" t="str">
        <f>IF((AND(G46&lt;&gt;"",K46&lt;&gt;"")),"✓","")</f>
        <v>✓</v>
      </c>
      <c r="C47" s="219" t="s">
        <v>191</v>
      </c>
      <c r="E47" s="222" t="s">
        <v>19</v>
      </c>
      <c r="F47" s="440"/>
      <c r="G47" s="317" t="s">
        <v>1329</v>
      </c>
      <c r="H47" s="304" t="b">
        <f>MID(G48,FIND(".",G48,FIND(".",G48,FIND(".",G48)+1)+1)+1,LEN(G48)-FIND(".",G48,FIND(".",G48,FIND(".",G48)+1)+1))-(MID(G47,FIND(".",G47,FIND(".",G47,FIND(".",G47)+1)+1)+1,LEN(G47)-FIND(".",G47,FIND(".",G47,FIND(".",G47)+1)+1))-1)&lt;3</f>
        <v>0</v>
      </c>
      <c r="I47" s="222" t="s">
        <v>19</v>
      </c>
      <c r="J47" s="440"/>
      <c r="K47" s="317" t="s">
        <v>1332</v>
      </c>
      <c r="L47" s="305" t="b">
        <f>MID(K48,FIND(".",K48,FIND(".",K48,FIND(".",K48)+1)+1)+1,LEN(K48)-FIND(".",K48,FIND(".",K48,FIND(".",K48)+1)+1))-(MID(K47,FIND(".",K47,FIND(".",K47,FIND(".",K47)+1)+1)+1,LEN(K47)-FIND(".",K47,FIND(".",K47,FIND(".",K47)+1)+1))-1)&lt;3</f>
        <v>0</v>
      </c>
    </row>
    <row r="48" spans="2:12" s="219" customFormat="1" ht="15" customHeight="1">
      <c r="B48" s="295" t="str">
        <f>IF('Prerequisite Checklist'!B9="Verified","✓","")</f>
        <v/>
      </c>
      <c r="C48" s="219" t="s">
        <v>184</v>
      </c>
      <c r="E48" s="222" t="s">
        <v>20</v>
      </c>
      <c r="F48" s="441"/>
      <c r="G48" s="317" t="s">
        <v>1330</v>
      </c>
      <c r="H48" s="304"/>
      <c r="I48" s="222" t="s">
        <v>20</v>
      </c>
      <c r="J48" s="441"/>
      <c r="K48" s="317" t="s">
        <v>1333</v>
      </c>
      <c r="L48" s="305"/>
    </row>
    <row r="49" spans="2:12" s="219" customFormat="1" ht="15" customHeight="1">
      <c r="B49" s="298" t="str">
        <f>IF((AND(G47&lt;&gt;"",G48&lt;&gt;"",K47&lt;&gt;"",K48&lt;&gt;"")),"✓","")</f>
        <v>✓</v>
      </c>
      <c r="C49" s="219" t="s">
        <v>21</v>
      </c>
      <c r="E49" s="222" t="s">
        <v>997</v>
      </c>
      <c r="F49" s="441"/>
      <c r="G49" s="318" t="s">
        <v>1351</v>
      </c>
      <c r="H49" s="304" t="b">
        <f>MID(G50,FIND(".",G50,FIND(".",G50,FIND(".",G50)+1)+1)+1,LEN(G50)-FIND(".",G50,FIND(".",G50,FIND(".",G50)+1)+1))-(MID(G49,FIND(".",G49,FIND(".",G49,FIND(".",G49)+1)+1)+1,LEN(G49)-FIND(".",G49,FIND(".",G49,FIND(".",G49)+1)+1))-1)&lt;((8-H50)*2)</f>
        <v>0</v>
      </c>
      <c r="I49" s="222" t="s">
        <v>999</v>
      </c>
      <c r="J49" s="441"/>
      <c r="K49" s="318" t="s">
        <v>1353</v>
      </c>
      <c r="L49" s="305" t="e">
        <f>MID(#REF!,FIND(".",#REF!,FIND(".",#REF!,FIND(".",#REF!)+1)+1)+1,LEN(#REF!)-FIND(".",#REF!,FIND(".",#REF!,FIND(".",#REF!)+1)+1))-(MID(#REF!,FIND(".",#REF!,FIND(".",#REF!,FIND(".",#REF!)+1)+1)+1,LEN(#REF!)-FIND(".",#REF!,FIND(".",#REF!,FIND(".",#REF!)+1)+1))-1)&lt;((8-L50)*2)</f>
        <v>#REF!</v>
      </c>
    </row>
    <row r="50" spans="2:12" s="219" customFormat="1" ht="15" customHeight="1">
      <c r="B50" s="298" t="str">
        <f>IF((AND(G49&lt;&gt;"",G50&lt;&gt;"")),"✓","")</f>
        <v>✓</v>
      </c>
      <c r="C50" s="219" t="s">
        <v>22</v>
      </c>
      <c r="E50" s="222" t="s">
        <v>998</v>
      </c>
      <c r="F50" s="442"/>
      <c r="G50" s="318" t="s">
        <v>1352</v>
      </c>
      <c r="H50" s="304">
        <f>COUNTIF('Hosts and Networks'!H6:O6,"n/a")</f>
        <v>4</v>
      </c>
      <c r="I50" s="222" t="s">
        <v>1000</v>
      </c>
      <c r="J50" s="442"/>
      <c r="K50" s="318" t="s">
        <v>1354</v>
      </c>
      <c r="L50" s="305" t="e">
        <f>COUNTIF('Hosts and Networks'!#REF!,"n/a")</f>
        <v>#REF!</v>
      </c>
    </row>
    <row r="51" spans="2:12" s="219" customFormat="1" ht="15" customHeight="1">
      <c r="B51" s="298" t="str">
        <f>IF((AND(F70&lt;&gt;"",F71&lt;&gt;"",F73&lt;&gt;"",F74&lt;&gt;"",F75&lt;&gt;"",F77&lt;&gt;"",F78&lt;&gt;"",F79&lt;&gt;"")),"✓","")</f>
        <v>✓</v>
      </c>
      <c r="C51" s="219" t="s">
        <v>482</v>
      </c>
      <c r="E51" s="220" t="s">
        <v>217</v>
      </c>
      <c r="F51" s="387" t="s">
        <v>32</v>
      </c>
      <c r="G51" s="423"/>
      <c r="H51" s="290"/>
      <c r="I51" s="300" t="s">
        <v>322</v>
      </c>
      <c r="J51" s="221" t="s">
        <v>10</v>
      </c>
      <c r="K51" s="221" t="s">
        <v>323</v>
      </c>
      <c r="L51" s="305" t="e">
        <f>MID(#REF!,FIND(".",#REF!,FIND(".",#REF!,FIND(".",#REF!)+1)+1)+1,LEN(#REF!)-FIND(".",#REF!,FIND(".",#REF!,FIND(".",#REF!)+1)+1))-(MID(#REF!,FIND(".",#REF!,FIND(".",#REF!,FIND(".",#REF!)+1)+1)+1,LEN(#REF!)-FIND(".",#REF!,FIND(".",#REF!,FIND(".",#REF!)+1)+1))-1)&lt;((4-L52)*2)</f>
        <v>#REF!</v>
      </c>
    </row>
    <row r="52" spans="2:12" s="219" customFormat="1" ht="15" customHeight="1">
      <c r="B52" s="298" t="str">
        <f>IF((AND(F81&lt;&gt;"",F82&lt;&gt;"",F83&lt;&gt;"",F84&lt;&gt;"",F85&lt;&gt;"",F86&lt;&gt;"")),"✓","")</f>
        <v>✓</v>
      </c>
      <c r="C52" s="219" t="s">
        <v>483</v>
      </c>
      <c r="E52" s="222" t="s">
        <v>218</v>
      </c>
      <c r="F52" s="430" t="s">
        <v>891</v>
      </c>
      <c r="G52" s="430"/>
      <c r="H52" s="290"/>
      <c r="I52" s="306" t="s">
        <v>550</v>
      </c>
      <c r="J52" s="430" t="s">
        <v>551</v>
      </c>
      <c r="K52" s="430"/>
      <c r="L52" s="305">
        <f>COUNTIF('Hosts and Networks'!H17:K17,"n/a")</f>
        <v>0</v>
      </c>
    </row>
    <row r="53" spans="2:12" s="219" customFormat="1" ht="15" customHeight="1">
      <c r="B53" s="298" t="str">
        <f>IF((AND(F88&lt;&gt;"",F89&lt;&gt;"",F90&lt;&gt;"",F91&lt;&gt;"",F92&lt;&gt;"")),"✓","")</f>
        <v>✓</v>
      </c>
      <c r="C53" s="219" t="s">
        <v>484</v>
      </c>
      <c r="E53" s="222" t="s">
        <v>258</v>
      </c>
      <c r="F53" s="390" t="str">
        <f>J23&amp;"-m01-NSXBackup"</f>
        <v>sfo01-m01-NSXBackup</v>
      </c>
      <c r="G53" s="391"/>
      <c r="H53" s="290"/>
      <c r="I53" s="306" t="s">
        <v>325</v>
      </c>
      <c r="J53" s="319" t="s">
        <v>902</v>
      </c>
      <c r="K53" s="319" t="s">
        <v>903</v>
      </c>
      <c r="L53" s="305" t="e">
        <f>MID(K50,FIND(".",K50,FIND(".",K50,FIND(".",K50)+1)+1)+1,LEN(K50)-FIND(".",K50,FIND(".",K50,FIND(".",K50)+1)+1))-(MID(K49,FIND(".",K49,FIND(".",K49,FIND(".",K49)+1)+1)+1,LEN(K49)-FIND(".",K49,FIND(".",K49,FIND(".",K49)+1)+1))-1)&lt;((12-L54)*2)</f>
        <v>#REF!</v>
      </c>
    </row>
    <row r="54" spans="2:12" s="219" customFormat="1" ht="15" customHeight="1">
      <c r="B54" s="298" t="str">
        <f>IF((AND(J70&lt;&gt;"",J71&lt;&gt;"",J73&lt;&gt;"",J74&lt;&gt;"",J75&lt;&gt;"",J77&lt;&gt;"",J78&lt;&gt;"",J79&lt;&gt;"")),"✓","")</f>
        <v>✓</v>
      </c>
      <c r="C54" s="219" t="s">
        <v>485</v>
      </c>
      <c r="E54" s="222" t="s">
        <v>561</v>
      </c>
      <c r="F54" s="390" t="str">
        <f>J23&amp;"-w01-NSXBackup"</f>
        <v>sfo01-w01-NSXBackup</v>
      </c>
      <c r="G54" s="391"/>
      <c r="H54" s="290"/>
      <c r="I54" s="306" t="s">
        <v>439</v>
      </c>
      <c r="J54" s="391" t="str">
        <f>IF(J7="n/a",J6,J7)</f>
        <v>sfo01.rainpole.local</v>
      </c>
      <c r="K54" s="391"/>
      <c r="L54" s="308" t="e">
        <f>COUNTIF('Hosts and Networks'!#REF!,"n/a")+COUNTIF('Hosts and Networks'!H17:K17,"n/a")</f>
        <v>#REF!</v>
      </c>
    </row>
    <row r="55" spans="2:12" s="219" customFormat="1" ht="15" customHeight="1">
      <c r="B55" s="298" t="str">
        <f>IF((AND(J81&lt;&gt;"",J82&lt;&gt;"",J83&lt;&gt;"",J84&lt;&gt;"",J85&lt;&gt;"",J86&lt;&gt;"")),"✓","")</f>
        <v>✓</v>
      </c>
      <c r="C55" s="219" t="s">
        <v>486</v>
      </c>
      <c r="E55" s="222" t="s">
        <v>219</v>
      </c>
      <c r="F55" s="413" t="s">
        <v>221</v>
      </c>
      <c r="G55" s="414"/>
      <c r="H55" s="290"/>
      <c r="I55" s="306" t="s">
        <v>440</v>
      </c>
      <c r="J55" s="391" t="str">
        <f>IF(J7="n/a",J6,J7)</f>
        <v>sfo01.rainpole.local</v>
      </c>
      <c r="K55" s="391"/>
    </row>
    <row r="56" spans="2:12" s="219" customFormat="1" ht="15" customHeight="1">
      <c r="B56" s="298" t="str">
        <f>IF((AND(J88&lt;&gt;"",J89&lt;&gt;"",J90&lt;&gt;"",J91&lt;&gt;"",J92&lt;&gt;"")),"✓","")</f>
        <v>✓</v>
      </c>
      <c r="C56" s="219" t="s">
        <v>351</v>
      </c>
      <c r="E56" s="222" t="s">
        <v>220</v>
      </c>
      <c r="F56" s="394" t="s">
        <v>16</v>
      </c>
      <c r="G56" s="384"/>
      <c r="H56" s="290"/>
      <c r="I56" s="306" t="s">
        <v>552</v>
      </c>
      <c r="J56" s="430" t="s">
        <v>553</v>
      </c>
      <c r="K56" s="430"/>
    </row>
    <row r="57" spans="2:12" s="219" customFormat="1" ht="15" customHeight="1">
      <c r="H57" s="290"/>
      <c r="I57" s="306" t="s">
        <v>324</v>
      </c>
      <c r="J57" s="320" t="s">
        <v>904</v>
      </c>
      <c r="K57" s="320" t="s">
        <v>905</v>
      </c>
    </row>
    <row r="58" spans="2:12" s="219" customFormat="1" ht="15" customHeight="1">
      <c r="H58" s="290"/>
      <c r="I58" s="306" t="s">
        <v>441</v>
      </c>
      <c r="J58" s="391" t="str">
        <f>IF(J8="child",J7,J6)</f>
        <v>rainpole.local</v>
      </c>
      <c r="K58" s="391"/>
    </row>
    <row r="59" spans="2:12" s="219" customFormat="1" ht="15" customHeight="1">
      <c r="B59" s="302"/>
      <c r="H59" s="290"/>
      <c r="I59" s="306" t="s">
        <v>442</v>
      </c>
      <c r="J59" s="391" t="str">
        <f>IF(J8="child",J7,J6)</f>
        <v>rainpole.local</v>
      </c>
      <c r="K59" s="391"/>
    </row>
    <row r="60" spans="2:12" s="219" customFormat="1" ht="15" customHeight="1">
      <c r="B60" s="302"/>
      <c r="H60" s="290"/>
      <c r="I60" s="306" t="s">
        <v>326</v>
      </c>
      <c r="J60" s="223"/>
      <c r="K60" s="320" t="s">
        <v>906</v>
      </c>
    </row>
    <row r="61" spans="2:12" s="219" customFormat="1" ht="15" customHeight="1">
      <c r="B61" s="302"/>
      <c r="H61" s="290"/>
      <c r="I61" s="222" t="s">
        <v>353</v>
      </c>
      <c r="J61" s="212" t="str">
        <f>J23&amp;"m01lb01"</f>
        <v>sfo01m01lb01</v>
      </c>
    </row>
    <row r="62" spans="2:12" s="219" customFormat="1" ht="15" customHeight="1">
      <c r="B62" s="302"/>
      <c r="H62" s="290"/>
    </row>
    <row r="63" spans="2:12" s="219" customFormat="1" ht="15" customHeight="1">
      <c r="B63" s="302"/>
      <c r="E63" s="300" t="s">
        <v>843</v>
      </c>
      <c r="F63" s="221" t="s">
        <v>349</v>
      </c>
      <c r="G63" s="221" t="s">
        <v>520</v>
      </c>
      <c r="H63" s="290"/>
      <c r="I63" s="300" t="s">
        <v>844</v>
      </c>
      <c r="J63" s="221" t="s">
        <v>349</v>
      </c>
      <c r="K63" s="221" t="s">
        <v>520</v>
      </c>
    </row>
    <row r="64" spans="2:12" s="219" customFormat="1" ht="15" customHeight="1">
      <c r="B64" s="302"/>
      <c r="E64" s="306" t="s">
        <v>521</v>
      </c>
      <c r="F64" s="214">
        <v>5000</v>
      </c>
      <c r="G64" s="214">
        <v>5200</v>
      </c>
      <c r="H64" s="290"/>
      <c r="I64" s="306" t="s">
        <v>521</v>
      </c>
      <c r="J64" s="214">
        <v>5600</v>
      </c>
      <c r="K64" s="214">
        <v>5800</v>
      </c>
    </row>
    <row r="65" spans="2:11" s="219" customFormat="1" ht="15" customHeight="1">
      <c r="B65" s="302"/>
      <c r="E65" s="306" t="s">
        <v>522</v>
      </c>
      <c r="F65" s="214">
        <v>30000</v>
      </c>
      <c r="G65" s="214">
        <v>32000</v>
      </c>
      <c r="H65" s="290"/>
      <c r="I65" s="306" t="s">
        <v>522</v>
      </c>
      <c r="J65" s="214">
        <v>20000</v>
      </c>
      <c r="K65" s="214">
        <v>29000</v>
      </c>
    </row>
    <row r="66" spans="2:11" s="219" customFormat="1" ht="15" customHeight="1">
      <c r="B66" s="302"/>
      <c r="E66" s="306" t="s">
        <v>523</v>
      </c>
      <c r="F66" s="214" t="s">
        <v>525</v>
      </c>
      <c r="G66" s="214" t="s">
        <v>526</v>
      </c>
      <c r="H66" s="290"/>
      <c r="I66" s="306" t="s">
        <v>523</v>
      </c>
      <c r="J66" s="214" t="s">
        <v>529</v>
      </c>
      <c r="K66" s="214" t="s">
        <v>530</v>
      </c>
    </row>
    <row r="67" spans="2:11" s="219" customFormat="1" ht="15" customHeight="1">
      <c r="B67" s="302"/>
      <c r="E67" s="306" t="s">
        <v>524</v>
      </c>
      <c r="F67" s="214" t="s">
        <v>527</v>
      </c>
      <c r="G67" s="214" t="s">
        <v>528</v>
      </c>
      <c r="H67" s="290"/>
      <c r="I67" s="306" t="s">
        <v>524</v>
      </c>
      <c r="J67" s="214" t="s">
        <v>531</v>
      </c>
      <c r="K67" s="214" t="s">
        <v>532</v>
      </c>
    </row>
    <row r="68" spans="2:11" s="219" customFormat="1" ht="15" customHeight="1">
      <c r="B68" s="302"/>
      <c r="H68" s="290"/>
    </row>
    <row r="69" spans="2:11" s="219" customFormat="1" ht="15" customHeight="1">
      <c r="B69" s="302"/>
      <c r="E69" s="220" t="s">
        <v>480</v>
      </c>
      <c r="F69" s="415" t="s">
        <v>32</v>
      </c>
      <c r="G69" s="421"/>
      <c r="H69" s="290"/>
      <c r="I69" s="220" t="s">
        <v>481</v>
      </c>
      <c r="J69" s="415" t="s">
        <v>32</v>
      </c>
      <c r="K69" s="421"/>
    </row>
    <row r="70" spans="2:11" s="219" customFormat="1" ht="15" customHeight="1">
      <c r="B70" s="302"/>
      <c r="E70" s="222" t="s">
        <v>1246</v>
      </c>
      <c r="F70" s="394">
        <v>65003</v>
      </c>
      <c r="G70" s="384"/>
      <c r="H70" s="290"/>
      <c r="I70" s="222" t="s">
        <v>1248</v>
      </c>
      <c r="J70" s="394">
        <v>65000</v>
      </c>
      <c r="K70" s="384"/>
    </row>
    <row r="71" spans="2:11" s="219" customFormat="1" ht="15" customHeight="1">
      <c r="B71" s="302"/>
      <c r="E71" s="222" t="s">
        <v>1247</v>
      </c>
      <c r="F71" s="394" t="s">
        <v>16</v>
      </c>
      <c r="G71" s="395"/>
      <c r="I71" s="222" t="s">
        <v>1249</v>
      </c>
      <c r="J71" s="394" t="s">
        <v>16</v>
      </c>
      <c r="K71" s="395"/>
    </row>
    <row r="72" spans="2:11" s="219" customFormat="1" ht="15" customHeight="1">
      <c r="B72" s="302"/>
      <c r="E72" s="220" t="s">
        <v>275</v>
      </c>
      <c r="F72" s="415" t="s">
        <v>32</v>
      </c>
      <c r="G72" s="421"/>
      <c r="H72" s="290"/>
      <c r="I72" s="220" t="s">
        <v>283</v>
      </c>
      <c r="J72" s="415" t="s">
        <v>32</v>
      </c>
      <c r="K72" s="421"/>
    </row>
    <row r="73" spans="2:11" s="219" customFormat="1" ht="15" customHeight="1">
      <c r="B73" s="302"/>
      <c r="E73" s="222" t="s">
        <v>276</v>
      </c>
      <c r="F73" s="427" t="str">
        <f>J23&amp;"m01esg01"</f>
        <v>sfo01m01esg01</v>
      </c>
      <c r="G73" s="428"/>
      <c r="H73" s="290"/>
      <c r="I73" s="222" t="s">
        <v>276</v>
      </c>
      <c r="J73" s="427" t="str">
        <f>J23&amp;"w01esg01"</f>
        <v>sfo01w01esg01</v>
      </c>
      <c r="K73" s="428"/>
    </row>
    <row r="74" spans="2:11" s="219" customFormat="1" ht="15" customHeight="1">
      <c r="B74" s="302"/>
      <c r="E74" s="222" t="s">
        <v>278</v>
      </c>
      <c r="F74" s="422" t="s">
        <v>1335</v>
      </c>
      <c r="G74" s="384"/>
      <c r="H74" s="290"/>
      <c r="I74" s="222" t="s">
        <v>278</v>
      </c>
      <c r="J74" s="422" t="s">
        <v>1342</v>
      </c>
      <c r="K74" s="384"/>
    </row>
    <row r="75" spans="2:11" s="219" customFormat="1" ht="15" customHeight="1">
      <c r="B75" s="302"/>
      <c r="E75" s="222" t="s">
        <v>279</v>
      </c>
      <c r="F75" s="419" t="s">
        <v>1336</v>
      </c>
      <c r="G75" s="384"/>
      <c r="H75" s="290"/>
      <c r="I75" s="222" t="s">
        <v>279</v>
      </c>
      <c r="J75" s="419" t="s">
        <v>1343</v>
      </c>
      <c r="K75" s="384"/>
    </row>
    <row r="76" spans="2:11" s="219" customFormat="1" ht="15" customHeight="1">
      <c r="B76" s="302"/>
      <c r="E76" s="220" t="s">
        <v>280</v>
      </c>
      <c r="F76" s="415" t="s">
        <v>32</v>
      </c>
      <c r="G76" s="421"/>
      <c r="H76" s="290"/>
      <c r="I76" s="220" t="s">
        <v>284</v>
      </c>
      <c r="J76" s="415" t="s">
        <v>32</v>
      </c>
      <c r="K76" s="421"/>
    </row>
    <row r="77" spans="2:11" s="219" customFormat="1" ht="15" customHeight="1">
      <c r="B77" s="302"/>
      <c r="E77" s="222" t="s">
        <v>276</v>
      </c>
      <c r="F77" s="427" t="str">
        <f>J23&amp;"m01esg02"</f>
        <v>sfo01m01esg02</v>
      </c>
      <c r="G77" s="428"/>
      <c r="H77" s="290"/>
      <c r="I77" s="222" t="s">
        <v>276</v>
      </c>
      <c r="J77" s="427" t="str">
        <f>J23&amp;"w01esg02"</f>
        <v>sfo01w01esg02</v>
      </c>
      <c r="K77" s="428"/>
    </row>
    <row r="78" spans="2:11" s="219" customFormat="1" ht="15" customHeight="1">
      <c r="B78" s="302"/>
      <c r="E78" s="222" t="s">
        <v>278</v>
      </c>
      <c r="F78" s="422" t="s">
        <v>1337</v>
      </c>
      <c r="G78" s="384"/>
      <c r="H78" s="290"/>
      <c r="I78" s="222" t="s">
        <v>278</v>
      </c>
      <c r="J78" s="422" t="s">
        <v>1344</v>
      </c>
      <c r="K78" s="384"/>
    </row>
    <row r="79" spans="2:11" s="219" customFormat="1" ht="15" customHeight="1">
      <c r="B79" s="302"/>
      <c r="E79" s="222" t="s">
        <v>279</v>
      </c>
      <c r="F79" s="419" t="s">
        <v>1338</v>
      </c>
      <c r="G79" s="384"/>
      <c r="H79" s="290"/>
      <c r="I79" s="222" t="s">
        <v>279</v>
      </c>
      <c r="J79" s="419" t="s">
        <v>1345</v>
      </c>
      <c r="K79" s="384"/>
    </row>
    <row r="80" spans="2:11" s="219" customFormat="1" ht="15" customHeight="1">
      <c r="B80" s="302"/>
      <c r="E80" s="220" t="s">
        <v>337</v>
      </c>
      <c r="F80" s="415" t="s">
        <v>32</v>
      </c>
      <c r="G80" s="421"/>
      <c r="H80" s="290"/>
      <c r="I80" s="220" t="s">
        <v>374</v>
      </c>
      <c r="J80" s="415" t="s">
        <v>32</v>
      </c>
      <c r="K80" s="421"/>
    </row>
    <row r="81" spans="2:11" s="219" customFormat="1" ht="15" customHeight="1">
      <c r="B81" s="302"/>
      <c r="E81" s="222" t="s">
        <v>431</v>
      </c>
      <c r="F81" s="422" t="s">
        <v>1340</v>
      </c>
      <c r="G81" s="384"/>
      <c r="H81" s="290"/>
      <c r="I81" s="222" t="s">
        <v>431</v>
      </c>
      <c r="J81" s="422" t="s">
        <v>1346</v>
      </c>
      <c r="K81" s="384"/>
    </row>
    <row r="82" spans="2:11" s="219" customFormat="1" ht="15" customHeight="1">
      <c r="B82" s="302"/>
      <c r="E82" s="222" t="s">
        <v>432</v>
      </c>
      <c r="F82" s="394">
        <v>65001</v>
      </c>
      <c r="G82" s="384"/>
      <c r="H82" s="290"/>
      <c r="I82" s="222" t="s">
        <v>432</v>
      </c>
      <c r="J82" s="394">
        <v>65001</v>
      </c>
      <c r="K82" s="384"/>
    </row>
    <row r="83" spans="2:11" s="219" customFormat="1" ht="15" customHeight="1">
      <c r="B83" s="302"/>
      <c r="E83" s="222" t="s">
        <v>433</v>
      </c>
      <c r="F83" s="394" t="s">
        <v>16</v>
      </c>
      <c r="G83" s="395"/>
      <c r="H83" s="290"/>
      <c r="I83" s="222" t="s">
        <v>433</v>
      </c>
      <c r="J83" s="394" t="s">
        <v>16</v>
      </c>
      <c r="K83" s="395"/>
    </row>
    <row r="84" spans="2:11" s="219" customFormat="1" ht="15" customHeight="1">
      <c r="B84" s="302"/>
      <c r="E84" s="222" t="s">
        <v>434</v>
      </c>
      <c r="F84" s="419" t="s">
        <v>1341</v>
      </c>
      <c r="G84" s="420"/>
      <c r="H84" s="290"/>
      <c r="I84" s="222" t="s">
        <v>434</v>
      </c>
      <c r="J84" s="419" t="s">
        <v>1347</v>
      </c>
      <c r="K84" s="420"/>
    </row>
    <row r="85" spans="2:11" s="219" customFormat="1" ht="15" customHeight="1">
      <c r="B85" s="302"/>
      <c r="E85" s="222" t="s">
        <v>435</v>
      </c>
      <c r="F85" s="394">
        <v>65001</v>
      </c>
      <c r="G85" s="384"/>
      <c r="H85" s="290"/>
      <c r="I85" s="222" t="s">
        <v>435</v>
      </c>
      <c r="J85" s="394">
        <v>65001</v>
      </c>
      <c r="K85" s="384"/>
    </row>
    <row r="86" spans="2:11" s="219" customFormat="1" ht="15" customHeight="1">
      <c r="B86" s="302"/>
      <c r="E86" s="222" t="s">
        <v>436</v>
      </c>
      <c r="F86" s="394" t="s">
        <v>16</v>
      </c>
      <c r="G86" s="395"/>
      <c r="H86" s="290"/>
      <c r="I86" s="222" t="s">
        <v>436</v>
      </c>
      <c r="J86" s="394" t="s">
        <v>16</v>
      </c>
      <c r="K86" s="395"/>
    </row>
    <row r="87" spans="2:11" s="219" customFormat="1" ht="15" customHeight="1">
      <c r="B87" s="302"/>
      <c r="E87" s="220" t="s">
        <v>332</v>
      </c>
      <c r="F87" s="415" t="s">
        <v>32</v>
      </c>
      <c r="G87" s="416"/>
      <c r="H87" s="290"/>
      <c r="I87" s="220" t="s">
        <v>336</v>
      </c>
      <c r="J87" s="415" t="s">
        <v>32</v>
      </c>
      <c r="K87" s="416"/>
    </row>
    <row r="88" spans="2:11" s="219" customFormat="1" ht="15" customHeight="1">
      <c r="B88" s="302"/>
      <c r="E88" s="222" t="s">
        <v>335</v>
      </c>
      <c r="F88" s="394" t="s">
        <v>1339</v>
      </c>
      <c r="G88" s="384"/>
      <c r="H88" s="290"/>
      <c r="I88" s="222" t="s">
        <v>335</v>
      </c>
      <c r="J88" s="394" t="s">
        <v>1348</v>
      </c>
      <c r="K88" s="395"/>
    </row>
    <row r="89" spans="2:11" s="219" customFormat="1" ht="15" customHeight="1">
      <c r="B89" s="302"/>
      <c r="E89" s="222" t="s">
        <v>487</v>
      </c>
      <c r="F89" s="417" t="s">
        <v>277</v>
      </c>
      <c r="G89" s="418"/>
      <c r="H89" s="290"/>
      <c r="I89" s="222" t="s">
        <v>487</v>
      </c>
      <c r="J89" s="417" t="s">
        <v>286</v>
      </c>
      <c r="K89" s="418"/>
    </row>
    <row r="90" spans="2:11" s="219" customFormat="1" ht="15" customHeight="1">
      <c r="B90" s="302"/>
      <c r="E90" s="222" t="s">
        <v>488</v>
      </c>
      <c r="F90" s="417" t="s">
        <v>281</v>
      </c>
      <c r="G90" s="418"/>
      <c r="H90" s="290"/>
      <c r="I90" s="222" t="s">
        <v>488</v>
      </c>
      <c r="J90" s="417" t="s">
        <v>287</v>
      </c>
      <c r="K90" s="418"/>
    </row>
    <row r="91" spans="2:11" s="219" customFormat="1" ht="15" customHeight="1">
      <c r="B91" s="302"/>
      <c r="E91" s="222" t="s">
        <v>444</v>
      </c>
      <c r="F91" s="417" t="s">
        <v>333</v>
      </c>
      <c r="G91" s="418"/>
      <c r="H91" s="290"/>
      <c r="I91" s="222" t="s">
        <v>444</v>
      </c>
      <c r="J91" s="417" t="s">
        <v>338</v>
      </c>
      <c r="K91" s="418"/>
    </row>
    <row r="92" spans="2:11" s="219" customFormat="1" ht="15" customHeight="1">
      <c r="B92" s="302"/>
      <c r="E92" s="222" t="s">
        <v>445</v>
      </c>
      <c r="F92" s="417" t="s">
        <v>334</v>
      </c>
      <c r="G92" s="418"/>
      <c r="H92" s="290"/>
      <c r="I92" s="222" t="s">
        <v>445</v>
      </c>
      <c r="J92" s="417" t="s">
        <v>339</v>
      </c>
      <c r="K92" s="418"/>
    </row>
    <row r="93" spans="2:11" s="219" customFormat="1" ht="15" customHeight="1">
      <c r="B93" s="302"/>
      <c r="E93" s="222" t="s">
        <v>547</v>
      </c>
      <c r="F93" s="431" t="s">
        <v>282</v>
      </c>
      <c r="G93" s="384"/>
      <c r="H93" s="290"/>
      <c r="I93" s="222" t="s">
        <v>547</v>
      </c>
      <c r="J93" s="431" t="s">
        <v>285</v>
      </c>
      <c r="K93" s="384"/>
    </row>
    <row r="94" spans="2:11" s="219" customFormat="1" ht="15" customHeight="1">
      <c r="B94" s="302"/>
      <c r="G94" s="310"/>
      <c r="H94" s="290"/>
      <c r="I94" s="220" t="s">
        <v>548</v>
      </c>
      <c r="J94" s="415" t="s">
        <v>32</v>
      </c>
      <c r="K94" s="421"/>
    </row>
    <row r="95" spans="2:11" s="219" customFormat="1" ht="15" customHeight="1">
      <c r="B95" s="302"/>
      <c r="E95" s="309" t="s">
        <v>1236</v>
      </c>
      <c r="F95" s="214">
        <v>9000</v>
      </c>
      <c r="G95" s="310"/>
      <c r="H95" s="290"/>
      <c r="I95" s="222" t="s">
        <v>549</v>
      </c>
      <c r="J95" s="427" t="str">
        <f>J23&amp;"w01dlr01"</f>
        <v>sfo01w01dlr01</v>
      </c>
      <c r="K95" s="443"/>
    </row>
    <row r="96" spans="2:11" s="219" customFormat="1" ht="15" customHeight="1">
      <c r="B96" s="302"/>
      <c r="E96" s="222" t="s">
        <v>419</v>
      </c>
      <c r="F96" s="394" t="s">
        <v>420</v>
      </c>
      <c r="G96" s="384"/>
      <c r="H96" s="290"/>
      <c r="I96" s="222" t="s">
        <v>487</v>
      </c>
      <c r="J96" s="417" t="s">
        <v>543</v>
      </c>
      <c r="K96" s="418"/>
    </row>
    <row r="97" spans="2:11" s="219" customFormat="1" ht="15" customHeight="1">
      <c r="B97" s="302"/>
      <c r="G97" s="310"/>
      <c r="H97" s="290"/>
      <c r="I97" s="222" t="s">
        <v>488</v>
      </c>
      <c r="J97" s="417" t="s">
        <v>544</v>
      </c>
      <c r="K97" s="418"/>
    </row>
    <row r="98" spans="2:11" s="219" customFormat="1" ht="15" customHeight="1">
      <c r="B98" s="302"/>
      <c r="G98" s="310"/>
      <c r="H98" s="290"/>
      <c r="I98" s="222" t="s">
        <v>539</v>
      </c>
      <c r="J98" s="417" t="s">
        <v>545</v>
      </c>
      <c r="K98" s="418"/>
    </row>
    <row r="99" spans="2:11" s="219" customFormat="1" ht="15" customHeight="1">
      <c r="B99" s="302"/>
      <c r="G99" s="310"/>
      <c r="H99" s="290"/>
      <c r="I99" s="222" t="s">
        <v>540</v>
      </c>
      <c r="J99" s="417" t="s">
        <v>542</v>
      </c>
      <c r="K99" s="418"/>
    </row>
    <row r="100" spans="2:11" s="219" customFormat="1" ht="15" customHeight="1">
      <c r="B100" s="302"/>
      <c r="G100" s="310"/>
      <c r="H100" s="290"/>
      <c r="I100" s="222" t="s">
        <v>546</v>
      </c>
      <c r="J100" s="417" t="s">
        <v>541</v>
      </c>
      <c r="K100" s="418"/>
    </row>
    <row r="101" spans="2:11" s="219" customFormat="1" ht="15" customHeight="1">
      <c r="B101" s="302"/>
      <c r="G101" s="310"/>
      <c r="H101" s="290"/>
    </row>
    <row r="102" spans="2:11" s="219" customFormat="1" ht="15" customHeight="1">
      <c r="B102" s="311" t="s">
        <v>946</v>
      </c>
      <c r="C102" s="297"/>
      <c r="E102" s="220" t="s">
        <v>2</v>
      </c>
      <c r="F102" s="221" t="s">
        <v>18</v>
      </c>
      <c r="G102" s="221" t="s">
        <v>1</v>
      </c>
      <c r="I102" s="290"/>
    </row>
    <row r="103" spans="2:11" s="219" customFormat="1" ht="15" customHeight="1">
      <c r="B103" s="295" t="str">
        <f>IF('Prerequisite Checklist'!B10="Verified","✓","")</f>
        <v/>
      </c>
      <c r="C103" s="219" t="s">
        <v>1029</v>
      </c>
      <c r="E103" s="222" t="s">
        <v>947</v>
      </c>
      <c r="F103" s="213" t="s">
        <v>1359</v>
      </c>
      <c r="G103" s="320" t="s">
        <v>979</v>
      </c>
      <c r="H103" s="290"/>
      <c r="I103" s="290"/>
    </row>
    <row r="104" spans="2:11" s="219" customFormat="1" ht="15" customHeight="1">
      <c r="B104" s="302"/>
      <c r="E104" s="301"/>
      <c r="F104" s="231"/>
      <c r="G104" s="231"/>
      <c r="H104" s="290"/>
      <c r="I104" s="290"/>
    </row>
    <row r="105" spans="2:11" s="219" customFormat="1" ht="15" customHeight="1">
      <c r="B105" s="312" t="s">
        <v>4</v>
      </c>
      <c r="C105" s="297"/>
      <c r="E105" s="220" t="s">
        <v>1131</v>
      </c>
      <c r="F105" s="221" t="s">
        <v>18</v>
      </c>
      <c r="G105" s="221" t="s">
        <v>1</v>
      </c>
      <c r="I105" s="220" t="s">
        <v>2</v>
      </c>
      <c r="J105" s="221" t="s">
        <v>18</v>
      </c>
      <c r="K105" s="221" t="s">
        <v>1</v>
      </c>
    </row>
    <row r="106" spans="2:11" s="219" customFormat="1" ht="15" customHeight="1">
      <c r="B106" s="295" t="str">
        <f>IF((AND(F106&lt;&gt;"",F107&lt;&gt;"",F109&lt;&gt;"",F110&lt;&gt;"",F111&lt;&gt;"",F112&lt;&gt;"",F113&lt;&gt;"",F114&lt;&gt;"",J106&lt;&gt;"",J107&lt;&gt;"")),"✓","")</f>
        <v>✓</v>
      </c>
      <c r="C106" s="219" t="s">
        <v>194</v>
      </c>
      <c r="E106" s="222" t="s">
        <v>1132</v>
      </c>
      <c r="F106" s="213" t="s">
        <v>90</v>
      </c>
      <c r="G106" s="320" t="s">
        <v>907</v>
      </c>
      <c r="I106" s="222" t="s">
        <v>140</v>
      </c>
      <c r="J106" s="212" t="str">
        <f>J23&amp;"ias01a"</f>
        <v>sfo01ias01a</v>
      </c>
      <c r="K106" s="319" t="s">
        <v>937</v>
      </c>
    </row>
    <row r="107" spans="2:11" s="219" customFormat="1" ht="15" customHeight="1">
      <c r="B107" s="295" t="str">
        <f>IF((AND(G106&lt;&gt;"",G107&lt;&gt;"",G109&lt;&gt;"",G110&lt;&gt;"",G111&lt;&gt;"",G112&lt;&gt;"",G113&lt;&gt;"",G114&lt;&gt;"",K106&lt;&gt;"",K107&lt;&gt;"")),"✓","")</f>
        <v>✓</v>
      </c>
      <c r="C107" s="219" t="s">
        <v>198</v>
      </c>
      <c r="E107" s="222" t="s">
        <v>1133</v>
      </c>
      <c r="F107" s="213" t="s">
        <v>91</v>
      </c>
      <c r="G107" s="320" t="s">
        <v>908</v>
      </c>
      <c r="I107" s="222" t="s">
        <v>141</v>
      </c>
      <c r="J107" s="212" t="str">
        <f>J23&amp;"ias01b"</f>
        <v>sfo01ias01b</v>
      </c>
      <c r="K107" s="319" t="s">
        <v>938</v>
      </c>
    </row>
    <row r="108" spans="2:11" s="219" customFormat="1" ht="15" customHeight="1">
      <c r="B108" s="295" t="str">
        <f>IF('Prerequisite Checklist'!B11="Verified","✓","")</f>
        <v/>
      </c>
      <c r="C108" s="219" t="s">
        <v>247</v>
      </c>
      <c r="E108" s="222" t="s">
        <v>1134</v>
      </c>
      <c r="F108" s="213" t="s">
        <v>975</v>
      </c>
      <c r="G108" s="320" t="s">
        <v>948</v>
      </c>
      <c r="I108" s="220" t="s">
        <v>214</v>
      </c>
      <c r="J108" s="415" t="s">
        <v>32</v>
      </c>
      <c r="K108" s="444"/>
    </row>
    <row r="109" spans="2:11" s="219" customFormat="1" ht="15" customHeight="1">
      <c r="B109" s="295" t="str">
        <f>IF((AND('Users and Groups'!B47&lt;&gt;"",'Users and Groups'!C47&lt;&gt;"")),"✓","")</f>
        <v>✓</v>
      </c>
      <c r="C109" s="219" t="s">
        <v>199</v>
      </c>
      <c r="E109" s="222" t="s">
        <v>1135</v>
      </c>
      <c r="F109" s="213" t="s">
        <v>92</v>
      </c>
      <c r="G109" s="320" t="s">
        <v>909</v>
      </c>
      <c r="I109" s="222" t="s">
        <v>254</v>
      </c>
      <c r="J109" s="392" t="str">
        <f>IF(J113="root",F29&amp;"."&amp;J6,F29&amp;"."&amp;J7)</f>
        <v>sfo01w01vc01.sfo01.rainpole.local</v>
      </c>
      <c r="K109" s="429"/>
    </row>
    <row r="110" spans="2:11" s="219" customFormat="1" ht="15" customHeight="1">
      <c r="B110" s="295" t="str">
        <f>IF((AND(F119&lt;&gt;"")),"✓","")</f>
        <v>✓</v>
      </c>
      <c r="C110" s="219" t="s">
        <v>200</v>
      </c>
      <c r="E110" s="222" t="s">
        <v>1136</v>
      </c>
      <c r="F110" s="213" t="s">
        <v>93</v>
      </c>
      <c r="G110" s="320" t="s">
        <v>910</v>
      </c>
      <c r="I110" s="222" t="s">
        <v>224</v>
      </c>
      <c r="J110" s="392" t="str">
        <f>IF(J113="root",F29&amp;"."&amp;J6,F29&amp;"."&amp;J7)</f>
        <v>sfo01w01vc01.sfo01.rainpole.local</v>
      </c>
      <c r="K110" s="429"/>
    </row>
    <row r="111" spans="2:11" s="219" customFormat="1" ht="15" customHeight="1">
      <c r="B111" s="295" t="str">
        <f>IF((AND('Prerequisite Checklist'!B20="Verified")),"✓","")</f>
        <v/>
      </c>
      <c r="C111" s="219" t="s">
        <v>248</v>
      </c>
      <c r="E111" s="222" t="s">
        <v>1137</v>
      </c>
      <c r="F111" s="213" t="s">
        <v>94</v>
      </c>
      <c r="G111" s="320" t="s">
        <v>911</v>
      </c>
      <c r="I111" s="220" t="s">
        <v>468</v>
      </c>
      <c r="J111" s="415" t="s">
        <v>32</v>
      </c>
      <c r="K111" s="444"/>
    </row>
    <row r="112" spans="2:11" s="219" customFormat="1" ht="15" customHeight="1">
      <c r="B112" s="295" t="str">
        <f>IF((AND(F117&lt;&gt;"")),"✓","")</f>
        <v>✓</v>
      </c>
      <c r="C112" s="219" t="s">
        <v>249</v>
      </c>
      <c r="E112" s="222" t="s">
        <v>1138</v>
      </c>
      <c r="F112" s="213" t="s">
        <v>95</v>
      </c>
      <c r="G112" s="320" t="s">
        <v>912</v>
      </c>
      <c r="I112" s="222" t="s">
        <v>470</v>
      </c>
      <c r="J112" s="413" t="s">
        <v>15</v>
      </c>
      <c r="K112" s="414"/>
    </row>
    <row r="113" spans="2:11" s="219" customFormat="1" ht="15" customHeight="1">
      <c r="B113" s="295" t="str">
        <f>IF((AND('Prerequisite Checklist'!B21="Verified")),"✓","")</f>
        <v/>
      </c>
      <c r="C113" s="219" t="s">
        <v>201</v>
      </c>
      <c r="E113" s="222" t="s">
        <v>1139</v>
      </c>
      <c r="F113" s="213" t="s">
        <v>578</v>
      </c>
      <c r="G113" s="320" t="s">
        <v>914</v>
      </c>
      <c r="I113" s="222" t="s">
        <v>469</v>
      </c>
      <c r="J113" s="413" t="s">
        <v>471</v>
      </c>
      <c r="K113" s="414"/>
    </row>
    <row r="114" spans="2:11" s="219" customFormat="1" ht="15" customHeight="1">
      <c r="B114" s="295" t="str">
        <f>IF((AND(F115&lt;&gt;"",G115&lt;&gt;"")),"✓","")</f>
        <v>✓</v>
      </c>
      <c r="C114" s="219" t="s">
        <v>202</v>
      </c>
      <c r="E114" s="222" t="s">
        <v>1140</v>
      </c>
      <c r="F114" s="213" t="s">
        <v>579</v>
      </c>
      <c r="G114" s="320" t="s">
        <v>915</v>
      </c>
      <c r="I114" s="222" t="s">
        <v>476</v>
      </c>
      <c r="J114" s="413" t="s">
        <v>15</v>
      </c>
      <c r="K114" s="414"/>
    </row>
    <row r="115" spans="2:11" s="219" customFormat="1" ht="15" customHeight="1">
      <c r="B115" s="295" t="str">
        <f>IF((AND('Users and Groups'!B11&lt;&gt;"",'Users and Groups'!B52&lt;&gt;"",'Users and Groups'!C52&lt;&gt;"")),"✓","")</f>
        <v>✓</v>
      </c>
      <c r="C115" s="219" t="s">
        <v>203</v>
      </c>
      <c r="E115" s="222" t="s">
        <v>1070</v>
      </c>
      <c r="F115" s="213" t="s">
        <v>1066</v>
      </c>
      <c r="G115" s="321" t="s">
        <v>1358</v>
      </c>
      <c r="I115" s="220" t="s">
        <v>87</v>
      </c>
      <c r="J115" s="221" t="s">
        <v>18</v>
      </c>
      <c r="K115" s="221" t="s">
        <v>1</v>
      </c>
    </row>
    <row r="116" spans="2:11" s="219" customFormat="1" ht="15" customHeight="1">
      <c r="E116" s="222" t="s">
        <v>1071</v>
      </c>
      <c r="F116" s="394" t="s">
        <v>1072</v>
      </c>
      <c r="G116" s="384"/>
      <c r="I116" s="222" t="s">
        <v>1144</v>
      </c>
      <c r="J116" s="213" t="s">
        <v>892</v>
      </c>
      <c r="K116" s="320" t="s">
        <v>917</v>
      </c>
    </row>
    <row r="117" spans="2:11" s="219" customFormat="1" ht="15" customHeight="1">
      <c r="E117" s="222" t="s">
        <v>1142</v>
      </c>
      <c r="F117" s="394" t="s">
        <v>916</v>
      </c>
      <c r="G117" s="384"/>
      <c r="I117" s="222" t="s">
        <v>1145</v>
      </c>
      <c r="J117" s="213" t="s">
        <v>893</v>
      </c>
      <c r="K117" s="320" t="s">
        <v>918</v>
      </c>
    </row>
    <row r="118" spans="2:11" s="219" customFormat="1" ht="15" customHeight="1">
      <c r="E118" s="222" t="s">
        <v>1143</v>
      </c>
      <c r="F118" s="394">
        <v>1433</v>
      </c>
      <c r="G118" s="384"/>
      <c r="I118" s="222" t="s">
        <v>1146</v>
      </c>
      <c r="J118" s="213" t="s">
        <v>894</v>
      </c>
      <c r="K118" s="320" t="s">
        <v>913</v>
      </c>
    </row>
    <row r="119" spans="2:11" s="219" customFormat="1" ht="15" customHeight="1">
      <c r="E119" s="222" t="s">
        <v>1141</v>
      </c>
      <c r="F119" s="394" t="s">
        <v>1356</v>
      </c>
      <c r="G119" s="384"/>
    </row>
    <row r="120" spans="2:11" s="219" customFormat="1" ht="15" customHeight="1"/>
    <row r="121" spans="2:11" s="219" customFormat="1" ht="15" customHeight="1">
      <c r="B121" s="291" t="s">
        <v>273</v>
      </c>
      <c r="C121" s="297"/>
      <c r="E121" s="220" t="s">
        <v>592</v>
      </c>
      <c r="F121" s="221" t="s">
        <v>18</v>
      </c>
      <c r="G121" s="221" t="s">
        <v>1</v>
      </c>
      <c r="I121" s="220" t="s">
        <v>373</v>
      </c>
      <c r="J121" s="221" t="s">
        <v>18</v>
      </c>
      <c r="K121" s="221" t="s">
        <v>1</v>
      </c>
    </row>
    <row r="122" spans="2:11" s="219" customFormat="1" ht="15" customHeight="1">
      <c r="B122" s="295" t="str">
        <f>IF((AND(F122&lt;&gt;"",J122&lt;&gt;"")),"✓","")</f>
        <v>✓</v>
      </c>
      <c r="C122" s="219" t="s">
        <v>274</v>
      </c>
      <c r="E122" s="222" t="s">
        <v>1147</v>
      </c>
      <c r="F122" s="213" t="s">
        <v>580</v>
      </c>
      <c r="G122" s="320" t="s">
        <v>919</v>
      </c>
      <c r="I122" s="222" t="s">
        <v>1149</v>
      </c>
      <c r="J122" s="212" t="str">
        <f>J23&amp;"vrbc01"</f>
        <v>sfo01vrbc01</v>
      </c>
      <c r="K122" s="319" t="s">
        <v>920</v>
      </c>
    </row>
    <row r="123" spans="2:11" s="219" customFormat="1" ht="15" customHeight="1">
      <c r="B123" s="298" t="str">
        <f>IF((AND(G122&lt;&gt;"",K122&lt;&gt;"")),"✓","")</f>
        <v>✓</v>
      </c>
      <c r="C123" s="219" t="s">
        <v>371</v>
      </c>
      <c r="E123" s="222" t="s">
        <v>1148</v>
      </c>
      <c r="F123" s="410" t="s">
        <v>744</v>
      </c>
      <c r="G123" s="411"/>
    </row>
    <row r="124" spans="2:11" s="219" customFormat="1" ht="15" customHeight="1">
      <c r="B124" s="295" t="str">
        <f>IF('Prerequisite Checklist'!B12="Verified","✓","")</f>
        <v/>
      </c>
      <c r="C124" s="219" t="s">
        <v>247</v>
      </c>
    </row>
    <row r="125" spans="2:11" s="219" customFormat="1" ht="15" customHeight="1"/>
    <row r="126" spans="2:11" s="219" customFormat="1" ht="15" customHeight="1">
      <c r="B126" s="291" t="s">
        <v>6</v>
      </c>
      <c r="C126" s="297"/>
      <c r="E126" s="220" t="s">
        <v>1150</v>
      </c>
      <c r="F126" s="221" t="s">
        <v>18</v>
      </c>
      <c r="G126" s="221" t="s">
        <v>1</v>
      </c>
      <c r="I126" s="220" t="s">
        <v>1155</v>
      </c>
      <c r="J126" s="221" t="s">
        <v>18</v>
      </c>
      <c r="K126" s="221" t="s">
        <v>1</v>
      </c>
    </row>
    <row r="127" spans="2:11" s="219" customFormat="1" ht="15" customHeight="1">
      <c r="B127" s="298" t="str">
        <f>IF((AND(F127&lt;&gt;"",F128&lt;&gt;"",F129&lt;&gt;"",F130&lt;&gt;"")),"✓","")</f>
        <v>✓</v>
      </c>
      <c r="C127" s="219" t="s">
        <v>187</v>
      </c>
      <c r="E127" s="222" t="s">
        <v>1151</v>
      </c>
      <c r="F127" s="213" t="s">
        <v>581</v>
      </c>
      <c r="G127" s="320" t="s">
        <v>921</v>
      </c>
      <c r="H127" s="313"/>
      <c r="I127" s="222" t="s">
        <v>1132</v>
      </c>
      <c r="J127" s="212" t="str">
        <f>J23&amp;"vropsc01a"</f>
        <v>sfo01vropsc01a</v>
      </c>
      <c r="K127" s="319" t="s">
        <v>925</v>
      </c>
    </row>
    <row r="128" spans="2:11" s="219" customFormat="1" ht="15" customHeight="1">
      <c r="B128" s="298" t="str">
        <f>IF((AND(G127&lt;&gt;"",G128&lt;&gt;"",G129&lt;&gt;"",G130&lt;&gt;"")),"✓","")</f>
        <v>✓</v>
      </c>
      <c r="C128" s="219" t="s">
        <v>188</v>
      </c>
      <c r="E128" s="222" t="s">
        <v>1152</v>
      </c>
      <c r="F128" s="213" t="s">
        <v>582</v>
      </c>
      <c r="G128" s="320" t="s">
        <v>922</v>
      </c>
      <c r="H128" s="313"/>
      <c r="I128" s="222" t="s">
        <v>1133</v>
      </c>
      <c r="J128" s="212" t="str">
        <f>J23&amp;"vropsc01b"</f>
        <v>sfo01vropsc01b</v>
      </c>
      <c r="K128" s="319" t="s">
        <v>926</v>
      </c>
    </row>
    <row r="129" spans="2:11" s="219" customFormat="1" ht="15" customHeight="1">
      <c r="B129" s="298" t="str">
        <f>IF((AND(J127&lt;&gt;"",J128&lt;&gt;"")),"✓","")</f>
        <v>✓</v>
      </c>
      <c r="C129" s="219" t="s">
        <v>186</v>
      </c>
      <c r="E129" s="222" t="s">
        <v>1153</v>
      </c>
      <c r="F129" s="213" t="s">
        <v>583</v>
      </c>
      <c r="G129" s="320" t="s">
        <v>923</v>
      </c>
      <c r="H129" s="313"/>
      <c r="I129" s="220" t="s">
        <v>250</v>
      </c>
      <c r="J129" s="415" t="s">
        <v>32</v>
      </c>
      <c r="K129" s="421"/>
    </row>
    <row r="130" spans="2:11" s="219" customFormat="1" ht="15" customHeight="1">
      <c r="B130" s="298" t="str">
        <f>IF((AND(K127&lt;&gt;"",K128&lt;&gt;"")),"✓","")</f>
        <v>✓</v>
      </c>
      <c r="C130" s="219" t="s">
        <v>189</v>
      </c>
      <c r="E130" s="222" t="s">
        <v>1154</v>
      </c>
      <c r="F130" s="213" t="s">
        <v>584</v>
      </c>
      <c r="G130" s="320" t="s">
        <v>924</v>
      </c>
      <c r="H130" s="313"/>
      <c r="I130" s="222" t="s">
        <v>385</v>
      </c>
      <c r="J130" s="427" t="str">
        <f>'Deploy Parameters'!F17</f>
        <v>smtp.rainpole.local</v>
      </c>
      <c r="K130" s="428"/>
    </row>
    <row r="131" spans="2:11" s="219" customFormat="1" ht="15" customHeight="1">
      <c r="B131" s="295" t="str">
        <f>IF('Prerequisite Checklist'!B10="Verified","✓","")</f>
        <v/>
      </c>
      <c r="C131" s="219" t="s">
        <v>247</v>
      </c>
      <c r="H131" s="313"/>
      <c r="I131" s="222" t="s">
        <v>386</v>
      </c>
      <c r="J131" s="427">
        <f>F18</f>
        <v>25</v>
      </c>
      <c r="K131" s="428"/>
    </row>
    <row r="132" spans="2:11" s="219" customFormat="1" ht="15" customHeight="1">
      <c r="B132" s="298" t="str">
        <f>IF((AND(J132&lt;&gt;"",J133&lt;&gt;"",J134&lt;&gt;"")),"✓","")</f>
        <v>✓</v>
      </c>
      <c r="C132" s="219" t="s">
        <v>190</v>
      </c>
      <c r="E132" s="220" t="s">
        <v>389</v>
      </c>
      <c r="F132" s="387" t="s">
        <v>32</v>
      </c>
      <c r="G132" s="389"/>
      <c r="H132" s="313"/>
      <c r="I132" s="222" t="s">
        <v>387</v>
      </c>
      <c r="J132" s="396" t="s">
        <v>895</v>
      </c>
      <c r="K132" s="397"/>
    </row>
    <row r="133" spans="2:11" s="219" customFormat="1" ht="15" customHeight="1">
      <c r="E133" s="222" t="s">
        <v>390</v>
      </c>
      <c r="F133" s="412" t="s">
        <v>211</v>
      </c>
      <c r="G133" s="384"/>
      <c r="I133" s="222" t="s">
        <v>388</v>
      </c>
      <c r="J133" s="381" t="s">
        <v>178</v>
      </c>
      <c r="K133" s="397"/>
    </row>
    <row r="134" spans="2:11" s="219" customFormat="1" ht="15" customHeight="1">
      <c r="B134" s="314"/>
      <c r="E134" s="222" t="s">
        <v>391</v>
      </c>
      <c r="F134" s="394" t="s">
        <v>11</v>
      </c>
      <c r="G134" s="384"/>
      <c r="I134" s="222" t="s">
        <v>177</v>
      </c>
      <c r="J134" s="412" t="s">
        <v>211</v>
      </c>
      <c r="K134" s="384"/>
    </row>
    <row r="135" spans="2:11" s="219" customFormat="1" ht="15" customHeight="1">
      <c r="E135" s="222" t="s">
        <v>392</v>
      </c>
      <c r="F135" s="394" t="s">
        <v>11</v>
      </c>
      <c r="G135" s="384"/>
      <c r="I135" s="309" t="s">
        <v>212</v>
      </c>
      <c r="J135" s="412" t="s">
        <v>501</v>
      </c>
      <c r="K135" s="384"/>
    </row>
    <row r="136" spans="2:11" s="219" customFormat="1" ht="15" customHeight="1"/>
    <row r="137" spans="2:11" s="219" customFormat="1" ht="15" customHeight="1">
      <c r="B137" s="291" t="s">
        <v>31</v>
      </c>
      <c r="C137" s="297"/>
      <c r="E137" s="220" t="s">
        <v>2</v>
      </c>
      <c r="F137" s="221" t="s">
        <v>18</v>
      </c>
      <c r="G137" s="221" t="s">
        <v>1</v>
      </c>
      <c r="I137" s="220" t="s">
        <v>251</v>
      </c>
      <c r="J137" s="387" t="s">
        <v>32</v>
      </c>
      <c r="K137" s="389"/>
    </row>
    <row r="138" spans="2:11" s="219" customFormat="1" ht="15" customHeight="1">
      <c r="B138" s="298" t="str">
        <f>IF((AND(F138&lt;&gt;"",F140&lt;&gt;"",F141&lt;&gt;"")),"✓","")</f>
        <v>✓</v>
      </c>
      <c r="C138" s="219" t="s">
        <v>179</v>
      </c>
      <c r="E138" s="222" t="s">
        <v>1058</v>
      </c>
      <c r="F138" s="223" t="str">
        <f>J23&amp;"vrli01"</f>
        <v>sfo01vrli01</v>
      </c>
      <c r="G138" s="307" t="s">
        <v>927</v>
      </c>
      <c r="I138" s="222" t="s">
        <v>375</v>
      </c>
      <c r="J138" s="427" t="str">
        <f>F17</f>
        <v>smtp.rainpole.local</v>
      </c>
      <c r="K138" s="428"/>
    </row>
    <row r="139" spans="2:11" s="219" customFormat="1" ht="15" customHeight="1">
      <c r="B139" s="298" t="str">
        <f>IF((AND(G138&lt;&gt;"",G139&lt;&gt;"",G140&lt;&gt;"",G141&lt;&gt;"")),"✓","")</f>
        <v>✓</v>
      </c>
      <c r="C139" s="219" t="s">
        <v>180</v>
      </c>
      <c r="E139" s="222" t="s">
        <v>1056</v>
      </c>
      <c r="F139" s="223" t="str">
        <f>J23&amp;"vrli01a"</f>
        <v>sfo01vrli01a</v>
      </c>
      <c r="G139" s="307" t="s">
        <v>928</v>
      </c>
      <c r="I139" s="222" t="s">
        <v>376</v>
      </c>
      <c r="J139" s="427">
        <f>F18</f>
        <v>25</v>
      </c>
      <c r="K139" s="428"/>
    </row>
    <row r="140" spans="2:11" s="219" customFormat="1" ht="15" customHeight="1">
      <c r="B140" s="298" t="str">
        <f>IF((G138&lt;&gt;""),"✓","")</f>
        <v>✓</v>
      </c>
      <c r="C140" s="219" t="s">
        <v>86</v>
      </c>
      <c r="E140" s="222" t="s">
        <v>85</v>
      </c>
      <c r="F140" s="223" t="str">
        <f>J23&amp;"vrli01b"</f>
        <v>sfo01vrli01b</v>
      </c>
      <c r="G140" s="307" t="s">
        <v>929</v>
      </c>
      <c r="I140" s="222" t="s">
        <v>377</v>
      </c>
      <c r="J140" s="408" t="s">
        <v>896</v>
      </c>
      <c r="K140" s="409"/>
    </row>
    <row r="141" spans="2:11" s="219" customFormat="1" ht="15" customHeight="1">
      <c r="B141" s="295" t="str">
        <f>IF('Prerequisite Checklist'!B10="Verified","✓","")</f>
        <v/>
      </c>
      <c r="C141" s="219" t="s">
        <v>185</v>
      </c>
      <c r="E141" s="222" t="s">
        <v>1057</v>
      </c>
      <c r="F141" s="223" t="str">
        <f>J23&amp;"vrli01c"</f>
        <v>sfo01vrli01c</v>
      </c>
      <c r="G141" s="307" t="s">
        <v>930</v>
      </c>
      <c r="I141" s="222" t="s">
        <v>378</v>
      </c>
      <c r="J141" s="413" t="s">
        <v>197</v>
      </c>
      <c r="K141" s="414"/>
    </row>
    <row r="142" spans="2:11" s="219" customFormat="1" ht="15" customHeight="1">
      <c r="B142" s="298" t="str">
        <f>IF((AND(J140&lt;&gt;"",J141&lt;&gt;"",J142&lt;&gt;"")),"✓","")</f>
        <v>✓</v>
      </c>
      <c r="C142" s="219" t="s">
        <v>190</v>
      </c>
      <c r="I142" s="222" t="s">
        <v>379</v>
      </c>
      <c r="J142" s="425" t="s">
        <v>211</v>
      </c>
      <c r="K142" s="426"/>
    </row>
    <row r="143" spans="2:11" s="219" customFormat="1" ht="15" customHeight="1">
      <c r="E143" s="220" t="s">
        <v>372</v>
      </c>
      <c r="F143" s="387" t="s">
        <v>32</v>
      </c>
      <c r="G143" s="389"/>
      <c r="I143" s="222" t="s">
        <v>393</v>
      </c>
      <c r="J143" s="385" t="s">
        <v>897</v>
      </c>
      <c r="K143" s="386"/>
    </row>
    <row r="144" spans="2:11" s="219" customFormat="1" ht="15" customHeight="1">
      <c r="E144" s="222" t="s">
        <v>343</v>
      </c>
      <c r="F144" s="381" t="s">
        <v>1360</v>
      </c>
      <c r="G144" s="382"/>
      <c r="I144" s="222" t="s">
        <v>394</v>
      </c>
      <c r="J144" s="383" t="s">
        <v>1084</v>
      </c>
      <c r="K144" s="384"/>
    </row>
    <row r="145" spans="2:11" s="219" customFormat="1" ht="15" customHeight="1">
      <c r="E145" s="222" t="s">
        <v>344</v>
      </c>
      <c r="F145" s="381" t="s">
        <v>1361</v>
      </c>
      <c r="G145" s="382"/>
      <c r="I145" s="222" t="s">
        <v>384</v>
      </c>
      <c r="J145" s="425" t="s">
        <v>211</v>
      </c>
      <c r="K145" s="426"/>
    </row>
    <row r="146" spans="2:11" s="219" customFormat="1" ht="15" customHeight="1">
      <c r="I146" s="220" t="s">
        <v>380</v>
      </c>
      <c r="J146" s="387" t="s">
        <v>32</v>
      </c>
      <c r="K146" s="389"/>
    </row>
    <row r="147" spans="2:11" s="219" customFormat="1" ht="15" customHeight="1">
      <c r="E147" s="220" t="s">
        <v>849</v>
      </c>
      <c r="F147" s="387" t="s">
        <v>32</v>
      </c>
      <c r="G147" s="389"/>
      <c r="I147" s="222" t="s">
        <v>381</v>
      </c>
      <c r="J147" s="412" t="s">
        <v>211</v>
      </c>
      <c r="K147" s="384"/>
    </row>
    <row r="148" spans="2:11" s="219" customFormat="1" ht="15" customHeight="1">
      <c r="E148" s="222" t="s">
        <v>1233</v>
      </c>
      <c r="F148" s="381" t="s">
        <v>939</v>
      </c>
      <c r="G148" s="382"/>
      <c r="I148" s="222" t="s">
        <v>382</v>
      </c>
      <c r="J148" s="412" t="s">
        <v>11</v>
      </c>
      <c r="K148" s="384"/>
    </row>
    <row r="149" spans="2:11" s="219" customFormat="1" ht="15" customHeight="1">
      <c r="I149" s="222" t="s">
        <v>383</v>
      </c>
      <c r="J149" s="407" t="s">
        <v>11</v>
      </c>
      <c r="K149" s="384"/>
    </row>
    <row r="150" spans="2:11" s="219" customFormat="1" ht="15" customHeight="1">
      <c r="B150" s="291" t="s">
        <v>1159</v>
      </c>
      <c r="C150" s="297"/>
      <c r="E150" s="220" t="s">
        <v>1160</v>
      </c>
      <c r="F150" s="221" t="s">
        <v>18</v>
      </c>
      <c r="G150" s="221" t="s">
        <v>1</v>
      </c>
    </row>
    <row r="151" spans="2:11" s="219" customFormat="1" ht="15" customHeight="1">
      <c r="B151" s="298" t="str">
        <f>IF((AND(F151&lt;&gt;"",G151&lt;&gt;"")),"✓","")</f>
        <v>✓</v>
      </c>
      <c r="C151" s="219" t="s">
        <v>1164</v>
      </c>
      <c r="E151" s="222" t="s">
        <v>1161</v>
      </c>
      <c r="F151" s="212" t="str">
        <f>J23&amp;"umds01"</f>
        <v>sfo01umds01</v>
      </c>
      <c r="G151" s="317" t="s">
        <v>1357</v>
      </c>
    </row>
    <row r="152" spans="2:11" s="219" customFormat="1" ht="15" customHeight="1"/>
    <row r="153" spans="2:11" s="219" customFormat="1" ht="15" customHeight="1">
      <c r="B153" s="291" t="s">
        <v>453</v>
      </c>
      <c r="C153" s="297"/>
      <c r="E153" s="220" t="s">
        <v>457</v>
      </c>
      <c r="F153" s="221" t="s">
        <v>18</v>
      </c>
      <c r="G153" s="221" t="s">
        <v>1</v>
      </c>
      <c r="I153" s="220" t="s">
        <v>458</v>
      </c>
      <c r="J153" s="221" t="s">
        <v>18</v>
      </c>
      <c r="K153" s="221" t="s">
        <v>1</v>
      </c>
    </row>
    <row r="154" spans="2:11" s="219" customFormat="1" ht="15" customHeight="1">
      <c r="B154" s="298" t="str">
        <f>IF((AND(F154&lt;&gt;"",J154&lt;&gt;"")),"✓","")</f>
        <v>✓</v>
      </c>
      <c r="C154" s="219" t="s">
        <v>179</v>
      </c>
      <c r="E154" s="222" t="s">
        <v>459</v>
      </c>
      <c r="F154" s="212" t="str">
        <f>J23&amp;"m01srm01"</f>
        <v>sfo01m01srm01</v>
      </c>
      <c r="G154" s="317" t="s">
        <v>1349</v>
      </c>
      <c r="I154" s="222" t="s">
        <v>460</v>
      </c>
      <c r="J154" s="212" t="str">
        <f>J23&amp;"m01vrms01"</f>
        <v>sfo01m01vrms01</v>
      </c>
      <c r="K154" s="317" t="s">
        <v>1350</v>
      </c>
    </row>
    <row r="155" spans="2:11" s="219" customFormat="1" ht="15" customHeight="1">
      <c r="B155" s="298" t="str">
        <f>IF((AND(G154&lt;&gt;"",K154&lt;&gt;"",K155&lt;&gt;"")),"✓","")</f>
        <v>✓</v>
      </c>
      <c r="C155" s="219" t="s">
        <v>180</v>
      </c>
      <c r="E155" s="222" t="s">
        <v>472</v>
      </c>
      <c r="F155" s="392" t="str">
        <f>"srm_site_"&amp;J23</f>
        <v>srm_site_sfo01</v>
      </c>
      <c r="G155" s="393"/>
      <c r="I155" s="222" t="s">
        <v>461</v>
      </c>
      <c r="J155" s="174"/>
      <c r="K155" s="322" t="s">
        <v>1355</v>
      </c>
    </row>
    <row r="156" spans="2:11" s="219" customFormat="1" ht="15" customHeight="1">
      <c r="E156" s="222" t="s">
        <v>473</v>
      </c>
      <c r="F156" s="394">
        <v>5678</v>
      </c>
      <c r="G156" s="395"/>
    </row>
    <row r="157" spans="2:11" s="219" customFormat="1" ht="15" customHeight="1">
      <c r="E157" s="222" t="s">
        <v>563</v>
      </c>
      <c r="F157" s="381" t="s">
        <v>897</v>
      </c>
      <c r="G157" s="382"/>
    </row>
    <row r="158" spans="2:11" s="219" customFormat="1" ht="15" customHeight="1"/>
    <row r="159" spans="2:11" s="219" customFormat="1" ht="15" customHeight="1">
      <c r="B159" s="291" t="s">
        <v>222</v>
      </c>
      <c r="C159" s="297"/>
      <c r="E159" s="220" t="s">
        <v>223</v>
      </c>
      <c r="F159" s="387" t="s">
        <v>32</v>
      </c>
      <c r="G159" s="388"/>
      <c r="I159" s="398" t="s">
        <v>1238</v>
      </c>
      <c r="J159" s="399"/>
      <c r="K159" s="400"/>
    </row>
    <row r="160" spans="2:11" s="219" customFormat="1" ht="15" customHeight="1">
      <c r="B160" s="295" t="str">
        <f>IF('Prerequisite Checklist'!B17="Verified","✓","")</f>
        <v/>
      </c>
      <c r="C160" s="219" t="s">
        <v>234</v>
      </c>
      <c r="E160" s="222" t="s">
        <v>956</v>
      </c>
      <c r="F160" s="381" t="s">
        <v>16</v>
      </c>
      <c r="G160" s="382"/>
      <c r="I160" s="401"/>
      <c r="J160" s="402"/>
      <c r="K160" s="403"/>
    </row>
    <row r="161" spans="3:11" s="219" customFormat="1" ht="15" customHeight="1">
      <c r="I161" s="404"/>
      <c r="J161" s="405"/>
      <c r="K161" s="406"/>
    </row>
    <row r="164" spans="3:11" ht="15" customHeight="1"/>
    <row r="165" spans="3:11">
      <c r="C165" s="315"/>
    </row>
    <row r="166" spans="3:11">
      <c r="C166" s="315"/>
    </row>
    <row r="167" spans="3:11">
      <c r="C167" s="316"/>
    </row>
    <row r="168" spans="3:11">
      <c r="C168" s="316"/>
    </row>
    <row r="169" spans="3:11">
      <c r="C169" s="316"/>
    </row>
  </sheetData>
  <sheetProtection sheet="1" objects="1" scenarios="1"/>
  <mergeCells count="165">
    <mergeCell ref="J148:K148"/>
    <mergeCell ref="J133:K133"/>
    <mergeCell ref="J146:K146"/>
    <mergeCell ref="J130:K130"/>
    <mergeCell ref="J131:K131"/>
    <mergeCell ref="J134:K134"/>
    <mergeCell ref="J147:K147"/>
    <mergeCell ref="J74:K74"/>
    <mergeCell ref="J69:K69"/>
    <mergeCell ref="J96:K96"/>
    <mergeCell ref="J97:K97"/>
    <mergeCell ref="J98:K98"/>
    <mergeCell ref="J95:K95"/>
    <mergeCell ref="J91:K91"/>
    <mergeCell ref="J72:K72"/>
    <mergeCell ref="J79:K79"/>
    <mergeCell ref="J90:K90"/>
    <mergeCell ref="J141:K141"/>
    <mergeCell ref="J92:K92"/>
    <mergeCell ref="J108:K108"/>
    <mergeCell ref="J139:K139"/>
    <mergeCell ref="J109:K109"/>
    <mergeCell ref="J113:K113"/>
    <mergeCell ref="J111:K111"/>
    <mergeCell ref="J17:K17"/>
    <mergeCell ref="J15:K15"/>
    <mergeCell ref="F12:G12"/>
    <mergeCell ref="J16:K16"/>
    <mergeCell ref="F13:G13"/>
    <mergeCell ref="F14:G14"/>
    <mergeCell ref="J82:K82"/>
    <mergeCell ref="J73:K73"/>
    <mergeCell ref="F71:G71"/>
    <mergeCell ref="F37:G37"/>
    <mergeCell ref="J36:K36"/>
    <mergeCell ref="J31:K31"/>
    <mergeCell ref="J30:K30"/>
    <mergeCell ref="F38:G38"/>
    <mergeCell ref="J56:K56"/>
    <mergeCell ref="F18:G18"/>
    <mergeCell ref="J21:K21"/>
    <mergeCell ref="J33:K33"/>
    <mergeCell ref="F54:G54"/>
    <mergeCell ref="J70:K70"/>
    <mergeCell ref="F17:G17"/>
    <mergeCell ref="J37:K37"/>
    <mergeCell ref="F47:F50"/>
    <mergeCell ref="J47:J50"/>
    <mergeCell ref="J38:K38"/>
    <mergeCell ref="F74:G74"/>
    <mergeCell ref="B3:K3"/>
    <mergeCell ref="J10:K10"/>
    <mergeCell ref="J11:K11"/>
    <mergeCell ref="J12:K12"/>
    <mergeCell ref="J13:K13"/>
    <mergeCell ref="J6:K6"/>
    <mergeCell ref="J5:K5"/>
    <mergeCell ref="J14:K14"/>
    <mergeCell ref="F16:G16"/>
    <mergeCell ref="J7:K7"/>
    <mergeCell ref="J8:K8"/>
    <mergeCell ref="F8:G8"/>
    <mergeCell ref="F9:G9"/>
    <mergeCell ref="F10:G10"/>
    <mergeCell ref="F11:G11"/>
    <mergeCell ref="J20:K20"/>
    <mergeCell ref="F33:G33"/>
    <mergeCell ref="F36:G36"/>
    <mergeCell ref="F39:G39"/>
    <mergeCell ref="F34:G34"/>
    <mergeCell ref="J18:K18"/>
    <mergeCell ref="J19:K19"/>
    <mergeCell ref="F52:G52"/>
    <mergeCell ref="F53:G53"/>
    <mergeCell ref="F55:G55"/>
    <mergeCell ref="F70:G70"/>
    <mergeCell ref="F56:G56"/>
    <mergeCell ref="F96:G96"/>
    <mergeCell ref="F76:G76"/>
    <mergeCell ref="F77:G77"/>
    <mergeCell ref="J77:K77"/>
    <mergeCell ref="J78:K78"/>
    <mergeCell ref="J94:K94"/>
    <mergeCell ref="J52:K52"/>
    <mergeCell ref="F93:G93"/>
    <mergeCell ref="F72:G72"/>
    <mergeCell ref="F73:G73"/>
    <mergeCell ref="F79:G79"/>
    <mergeCell ref="F69:G69"/>
    <mergeCell ref="J93:K93"/>
    <mergeCell ref="J58:K58"/>
    <mergeCell ref="F116:G116"/>
    <mergeCell ref="J129:K129"/>
    <mergeCell ref="J59:K59"/>
    <mergeCell ref="J54:K54"/>
    <mergeCell ref="J55:K55"/>
    <mergeCell ref="J75:K75"/>
    <mergeCell ref="J99:K99"/>
    <mergeCell ref="J110:K110"/>
    <mergeCell ref="J84:K84"/>
    <mergeCell ref="J87:K87"/>
    <mergeCell ref="J88:K88"/>
    <mergeCell ref="J89:K89"/>
    <mergeCell ref="F89:G89"/>
    <mergeCell ref="J100:K100"/>
    <mergeCell ref="J85:K85"/>
    <mergeCell ref="F90:G90"/>
    <mergeCell ref="J112:K112"/>
    <mergeCell ref="F133:G133"/>
    <mergeCell ref="F145:G145"/>
    <mergeCell ref="J142:K142"/>
    <mergeCell ref="J145:K145"/>
    <mergeCell ref="F134:G134"/>
    <mergeCell ref="F132:G132"/>
    <mergeCell ref="F118:G118"/>
    <mergeCell ref="J138:K138"/>
    <mergeCell ref="F135:G135"/>
    <mergeCell ref="J23:K23"/>
    <mergeCell ref="F87:G87"/>
    <mergeCell ref="F91:G91"/>
    <mergeCell ref="F92:G92"/>
    <mergeCell ref="F88:G88"/>
    <mergeCell ref="F84:G84"/>
    <mergeCell ref="F80:G80"/>
    <mergeCell ref="F81:G81"/>
    <mergeCell ref="F75:G75"/>
    <mergeCell ref="F51:G51"/>
    <mergeCell ref="J76:K76"/>
    <mergeCell ref="F78:G78"/>
    <mergeCell ref="J81:K81"/>
    <mergeCell ref="J71:K71"/>
    <mergeCell ref="F83:G83"/>
    <mergeCell ref="J32:K32"/>
    <mergeCell ref="J34:K34"/>
    <mergeCell ref="F35:G35"/>
    <mergeCell ref="J83:K83"/>
    <mergeCell ref="F86:G86"/>
    <mergeCell ref="J80:K80"/>
    <mergeCell ref="J86:K86"/>
    <mergeCell ref="F82:G82"/>
    <mergeCell ref="F85:G85"/>
    <mergeCell ref="F157:G157"/>
    <mergeCell ref="J144:K144"/>
    <mergeCell ref="J143:K143"/>
    <mergeCell ref="F159:G159"/>
    <mergeCell ref="F41:G41"/>
    <mergeCell ref="F42:G42"/>
    <mergeCell ref="F43:G43"/>
    <mergeCell ref="F160:G160"/>
    <mergeCell ref="F155:G155"/>
    <mergeCell ref="F156:G156"/>
    <mergeCell ref="J137:K137"/>
    <mergeCell ref="F147:G147"/>
    <mergeCell ref="J132:K132"/>
    <mergeCell ref="F119:G119"/>
    <mergeCell ref="F117:G117"/>
    <mergeCell ref="I159:K161"/>
    <mergeCell ref="J149:K149"/>
    <mergeCell ref="J140:K140"/>
    <mergeCell ref="F123:G123"/>
    <mergeCell ref="F148:G148"/>
    <mergeCell ref="F143:G143"/>
    <mergeCell ref="F144:G144"/>
    <mergeCell ref="J135:K135"/>
    <mergeCell ref="J114:K114"/>
  </mergeCells>
  <conditionalFormatting sqref="B130 B132 B162:B429 B5:B8 B10:B12 B135:B141 B17:B31 B125:B128 B104:B106 B59:B101 B41:B51 B144:B150 B152 B117:B120">
    <cfRule type="cellIs" dxfId="252" priority="342" operator="equal">
      <formula>"✓"</formula>
    </cfRule>
  </conditionalFormatting>
  <conditionalFormatting sqref="B13">
    <cfRule type="cellIs" dxfId="251" priority="339" operator="equal">
      <formula>"✓"</formula>
    </cfRule>
  </conditionalFormatting>
  <conditionalFormatting sqref="B129">
    <cfRule type="cellIs" dxfId="250" priority="334" operator="equal">
      <formula>"✓"</formula>
    </cfRule>
  </conditionalFormatting>
  <conditionalFormatting sqref="B131">
    <cfRule type="cellIs" dxfId="249" priority="331" operator="equal">
      <formula>"✓"</formula>
    </cfRule>
  </conditionalFormatting>
  <conditionalFormatting sqref="B142">
    <cfRule type="cellIs" dxfId="248" priority="326" operator="equal">
      <formula>"✓"</formula>
    </cfRule>
  </conditionalFormatting>
  <conditionalFormatting sqref="B108">
    <cfRule type="cellIs" dxfId="247" priority="325" operator="equal">
      <formula>"✓"</formula>
    </cfRule>
  </conditionalFormatting>
  <conditionalFormatting sqref="B107">
    <cfRule type="cellIs" dxfId="246" priority="324" operator="equal">
      <formula>"✓"</formula>
    </cfRule>
  </conditionalFormatting>
  <conditionalFormatting sqref="B109">
    <cfRule type="cellIs" dxfId="245" priority="323" operator="equal">
      <formula>"✓"</formula>
    </cfRule>
  </conditionalFormatting>
  <conditionalFormatting sqref="B110">
    <cfRule type="cellIs" dxfId="244" priority="322" operator="equal">
      <formula>"✓"</formula>
    </cfRule>
  </conditionalFormatting>
  <conditionalFormatting sqref="B111">
    <cfRule type="cellIs" dxfId="243" priority="320" operator="equal">
      <formula>"✓"</formula>
    </cfRule>
  </conditionalFormatting>
  <conditionalFormatting sqref="B112">
    <cfRule type="cellIs" dxfId="242" priority="319" operator="equal">
      <formula>"✓"</formula>
    </cfRule>
  </conditionalFormatting>
  <conditionalFormatting sqref="B113">
    <cfRule type="cellIs" dxfId="241" priority="318" operator="equal">
      <formula>"✓"</formula>
    </cfRule>
  </conditionalFormatting>
  <conditionalFormatting sqref="B114">
    <cfRule type="cellIs" dxfId="240" priority="317" operator="equal">
      <formula>"✓"</formula>
    </cfRule>
  </conditionalFormatting>
  <conditionalFormatting sqref="B115">
    <cfRule type="cellIs" dxfId="239" priority="316" operator="equal">
      <formula>"✓"</formula>
    </cfRule>
  </conditionalFormatting>
  <conditionalFormatting sqref="B32">
    <cfRule type="cellIs" dxfId="238" priority="314" operator="equal">
      <formula>"✓"</formula>
    </cfRule>
  </conditionalFormatting>
  <conditionalFormatting sqref="B33">
    <cfRule type="cellIs" dxfId="237" priority="313" operator="equal">
      <formula>"✓"</formula>
    </cfRule>
  </conditionalFormatting>
  <conditionalFormatting sqref="B134">
    <cfRule type="cellIs" dxfId="236" priority="311" operator="equal">
      <formula>"✓"</formula>
    </cfRule>
  </conditionalFormatting>
  <conditionalFormatting sqref="B159">
    <cfRule type="cellIs" dxfId="235" priority="310" operator="equal">
      <formula>"✓"</formula>
    </cfRule>
  </conditionalFormatting>
  <conditionalFormatting sqref="B14">
    <cfRule type="cellIs" dxfId="234" priority="306" operator="equal">
      <formula>"✓"</formula>
    </cfRule>
  </conditionalFormatting>
  <conditionalFormatting sqref="B54">
    <cfRule type="cellIs" dxfId="233" priority="305" operator="equal">
      <formula>"✓"</formula>
    </cfRule>
  </conditionalFormatting>
  <conditionalFormatting sqref="B160">
    <cfRule type="cellIs" dxfId="232" priority="304" operator="equal">
      <formula>"✓"</formula>
    </cfRule>
  </conditionalFormatting>
  <conditionalFormatting sqref="B9">
    <cfRule type="cellIs" dxfId="231" priority="297" operator="equal">
      <formula>"✓"</formula>
    </cfRule>
  </conditionalFormatting>
  <conditionalFormatting sqref="G49:G50">
    <cfRule type="expression" dxfId="230" priority="296">
      <formula>$H$49=TRUE</formula>
    </cfRule>
  </conditionalFormatting>
  <conditionalFormatting sqref="K51">
    <cfRule type="expression" dxfId="229" priority="295">
      <formula>$L$51=TRUE</formula>
    </cfRule>
  </conditionalFormatting>
  <conditionalFormatting sqref="G47:G48">
    <cfRule type="expression" dxfId="228" priority="294">
      <formula>$H$47=TRUE</formula>
    </cfRule>
  </conditionalFormatting>
  <conditionalFormatting sqref="K47:K48">
    <cfRule type="expression" dxfId="227" priority="293">
      <formula>$L$47=TRUE</formula>
    </cfRule>
  </conditionalFormatting>
  <conditionalFormatting sqref="B121">
    <cfRule type="cellIs" dxfId="226" priority="292" operator="equal">
      <formula>"✓"</formula>
    </cfRule>
  </conditionalFormatting>
  <conditionalFormatting sqref="B123">
    <cfRule type="cellIs" dxfId="225" priority="289" operator="equal">
      <formula>"✓"</formula>
    </cfRule>
  </conditionalFormatting>
  <conditionalFormatting sqref="B122">
    <cfRule type="cellIs" dxfId="224" priority="290" operator="equal">
      <formula>"✓"</formula>
    </cfRule>
  </conditionalFormatting>
  <conditionalFormatting sqref="B124">
    <cfRule type="cellIs" dxfId="223" priority="288" operator="equal">
      <formula>"✓"</formula>
    </cfRule>
  </conditionalFormatting>
  <conditionalFormatting sqref="B56">
    <cfRule type="cellIs" dxfId="222" priority="287" operator="equal">
      <formula>"✓"</formula>
    </cfRule>
  </conditionalFormatting>
  <conditionalFormatting sqref="B55">
    <cfRule type="cellIs" dxfId="221" priority="286" operator="equal">
      <formula>"✓"</formula>
    </cfRule>
  </conditionalFormatting>
  <conditionalFormatting sqref="B53">
    <cfRule type="cellIs" dxfId="220" priority="283" operator="equal">
      <formula>"✓"</formula>
    </cfRule>
  </conditionalFormatting>
  <conditionalFormatting sqref="G6">
    <cfRule type="duplicateValues" dxfId="219" priority="282"/>
  </conditionalFormatting>
  <conditionalFormatting sqref="G154 G29:G30 G46:G48 K46:K48 G26:G27 K154">
    <cfRule type="duplicateValues" dxfId="218" priority="17"/>
  </conditionalFormatting>
  <conditionalFormatting sqref="K127:K128 J53 K106:K107 K122 G138:G141">
    <cfRule type="duplicateValues" dxfId="217" priority="280"/>
  </conditionalFormatting>
  <conditionalFormatting sqref="F74:G74 F78:G78 F81:G81 F83">
    <cfRule type="duplicateValues" dxfId="216" priority="276"/>
  </conditionalFormatting>
  <conditionalFormatting sqref="F75:G75 F79:G79 F84:G84">
    <cfRule type="duplicateValues" dxfId="215" priority="275"/>
  </conditionalFormatting>
  <conditionalFormatting sqref="J74:K74 J78:K78 J81:K81">
    <cfRule type="duplicateValues" dxfId="214" priority="274"/>
  </conditionalFormatting>
  <conditionalFormatting sqref="J75:K75 J79:K79 J84:K84">
    <cfRule type="duplicateValues" dxfId="213" priority="273"/>
  </conditionalFormatting>
  <conditionalFormatting sqref="F96">
    <cfRule type="expression" dxfId="212" priority="272">
      <formula>LEN($F$96)&lt;12</formula>
    </cfRule>
  </conditionalFormatting>
  <conditionalFormatting sqref="F56">
    <cfRule type="expression" dxfId="211" priority="263">
      <formula>LEN($F$56)&lt;8</formula>
    </cfRule>
  </conditionalFormatting>
  <conditionalFormatting sqref="J83">
    <cfRule type="duplicateValues" dxfId="210" priority="260"/>
  </conditionalFormatting>
  <conditionalFormatting sqref="F86">
    <cfRule type="duplicateValues" dxfId="209" priority="259"/>
  </conditionalFormatting>
  <conditionalFormatting sqref="J86">
    <cfRule type="duplicateValues" dxfId="208" priority="258"/>
  </conditionalFormatting>
  <conditionalFormatting sqref="J31:K31 J33:K33">
    <cfRule type="containsText" dxfId="207" priority="193" operator="containsText" text="n/a">
      <formula>NOT(ISERROR(SEARCH("n/a",J31)))</formula>
    </cfRule>
    <cfRule type="containsBlanks" dxfId="206" priority="534">
      <formula>LEN(TRIM(J31))=0</formula>
    </cfRule>
  </conditionalFormatting>
  <conditionalFormatting sqref="K49:K50">
    <cfRule type="expression" dxfId="205" priority="250">
      <formula>#REF!=TRUE</formula>
    </cfRule>
  </conditionalFormatting>
  <conditionalFormatting sqref="B153:B155 B158">
    <cfRule type="cellIs" dxfId="204" priority="248" operator="equal">
      <formula>"✓"</formula>
    </cfRule>
  </conditionalFormatting>
  <conditionalFormatting sqref="K154">
    <cfRule type="duplicateValues" dxfId="203" priority="246"/>
  </conditionalFormatting>
  <conditionalFormatting sqref="F89:G92">
    <cfRule type="duplicateValues" dxfId="202" priority="476"/>
  </conditionalFormatting>
  <conditionalFormatting sqref="J89:K92">
    <cfRule type="duplicateValues" dxfId="201" priority="533"/>
  </conditionalFormatting>
  <conditionalFormatting sqref="B52">
    <cfRule type="cellIs" dxfId="200" priority="240" operator="equal">
      <formula>"✓"</formula>
    </cfRule>
  </conditionalFormatting>
  <conditionalFormatting sqref="B156:B157">
    <cfRule type="cellIs" dxfId="199" priority="239" operator="equal">
      <formula>"✓"</formula>
    </cfRule>
  </conditionalFormatting>
  <conditionalFormatting sqref="J143:K143">
    <cfRule type="containsText" dxfId="198" priority="237" operator="containsText" text="n/a">
      <formula>NOT(ISERROR(SEARCH("n/a",J143)))</formula>
    </cfRule>
  </conditionalFormatting>
  <conditionalFormatting sqref="J139:K141">
    <cfRule type="containsText" dxfId="197" priority="236" operator="containsText" text="n/a">
      <formula>NOT(ISERROR(SEARCH("n/a",J139)))</formula>
    </cfRule>
  </conditionalFormatting>
  <conditionalFormatting sqref="J131:K133">
    <cfRule type="containsText" dxfId="196" priority="235" operator="containsText" text="n/a">
      <formula>NOT(ISERROR(SEARCH("n/a",J131)))</formula>
    </cfRule>
  </conditionalFormatting>
  <conditionalFormatting sqref="G31">
    <cfRule type="duplicateValues" dxfId="195" priority="233"/>
  </conditionalFormatting>
  <conditionalFormatting sqref="J16:K17 G106:G107 G109:G115 F117:G119 F13:F14">
    <cfRule type="containsBlanks" dxfId="194" priority="232">
      <formula>LEN(TRIM(F13))=0</formula>
    </cfRule>
  </conditionalFormatting>
  <conditionalFormatting sqref="J7">
    <cfRule type="containsBlanks" dxfId="193" priority="226">
      <formula>LEN(TRIM(J7))=0</formula>
    </cfRule>
  </conditionalFormatting>
  <conditionalFormatting sqref="F9">
    <cfRule type="containsBlanks" dxfId="192" priority="225">
      <formula>LEN(TRIM(F9))=0</formula>
    </cfRule>
  </conditionalFormatting>
  <conditionalFormatting sqref="F10 J26 J28 F106:F107 F109:F115 F17:G18">
    <cfRule type="containsText" dxfId="191" priority="221" operator="containsText" text="n/a">
      <formula>NOT(ISERROR(SEARCH("n/a",F10)))</formula>
    </cfRule>
    <cfRule type="containsBlanks" dxfId="190" priority="222">
      <formula>LEN(TRIM(F10))=0</formula>
    </cfRule>
  </conditionalFormatting>
  <conditionalFormatting sqref="K155">
    <cfRule type="containsBlanks" dxfId="189" priority="535">
      <formula>LEN(TRIM(K155))=0</formula>
    </cfRule>
  </conditionalFormatting>
  <conditionalFormatting sqref="F42:G43">
    <cfRule type="containsBlanks" dxfId="188" priority="211">
      <formula>LEN(TRIM(F42))=0</formula>
    </cfRule>
  </conditionalFormatting>
  <conditionalFormatting sqref="F64:G67">
    <cfRule type="containsText" dxfId="187" priority="209" operator="containsText" text="n/a">
      <formula>NOT(ISERROR(SEARCH("n/a",F64)))</formula>
    </cfRule>
    <cfRule type="containsBlanks" dxfId="186" priority="210">
      <formula>LEN(TRIM(F64))=0</formula>
    </cfRule>
  </conditionalFormatting>
  <conditionalFormatting sqref="J64:K67">
    <cfRule type="containsText" dxfId="185" priority="207" operator="containsText" text="n/a">
      <formula>NOT(ISERROR(SEARCH("n/a",J64)))</formula>
    </cfRule>
    <cfRule type="containsBlanks" dxfId="184" priority="208">
      <formula>LEN(TRIM(J64))=0</formula>
    </cfRule>
  </conditionalFormatting>
  <conditionalFormatting sqref="F64:G67 J64:K67">
    <cfRule type="duplicateValues" dxfId="183" priority="206"/>
  </conditionalFormatting>
  <conditionalFormatting sqref="F46">
    <cfRule type="containsText" dxfId="182" priority="204" operator="containsText" text="n/a">
      <formula>NOT(ISERROR(SEARCH("n/a",F46)))</formula>
    </cfRule>
    <cfRule type="containsBlanks" dxfId="181" priority="205">
      <formula>LEN(TRIM(F46))=0</formula>
    </cfRule>
  </conditionalFormatting>
  <conditionalFormatting sqref="J46">
    <cfRule type="containsText" dxfId="180" priority="202" operator="containsText" text="n/a">
      <formula>NOT(ISERROR(SEARCH("n/a",J46)))</formula>
    </cfRule>
    <cfRule type="containsBlanks" dxfId="179" priority="203">
      <formula>LEN(TRIM(J46))=0</formula>
    </cfRule>
  </conditionalFormatting>
  <conditionalFormatting sqref="F26">
    <cfRule type="containsText" dxfId="178" priority="200" operator="containsText" text="n/a">
      <formula>NOT(ISERROR(SEARCH("n/a",F26)))</formula>
    </cfRule>
    <cfRule type="containsBlanks" dxfId="177" priority="201">
      <formula>LEN(TRIM(F26))=0</formula>
    </cfRule>
  </conditionalFormatting>
  <conditionalFormatting sqref="F27">
    <cfRule type="containsText" dxfId="176" priority="198" operator="containsText" text="n/a">
      <formula>NOT(ISERROR(SEARCH("n/a",F27)))</formula>
    </cfRule>
    <cfRule type="containsBlanks" dxfId="175" priority="199">
      <formula>LEN(TRIM(F27))=0</formula>
    </cfRule>
  </conditionalFormatting>
  <conditionalFormatting sqref="F29:F31">
    <cfRule type="containsText" dxfId="174" priority="196" operator="containsText" text="n/a">
      <formula>NOT(ISERROR(SEARCH("n/a",F29)))</formula>
    </cfRule>
    <cfRule type="containsBlanks" dxfId="173" priority="197">
      <formula>LEN(TRIM(F29))=0</formula>
    </cfRule>
  </conditionalFormatting>
  <conditionalFormatting sqref="J23:K23">
    <cfRule type="containsText" dxfId="172" priority="191" operator="containsText" text="n/a">
      <formula>NOT(ISERROR(SEARCH("n/a",J23)))</formula>
    </cfRule>
    <cfRule type="containsBlanks" dxfId="171" priority="192">
      <formula>LEN(TRIM(J23))=0</formula>
    </cfRule>
  </conditionalFormatting>
  <conditionalFormatting sqref="F35:G35">
    <cfRule type="containsText" dxfId="170" priority="187" operator="containsText" text="n/a">
      <formula>NOT(ISERROR(SEARCH("n/a",F35)))</formula>
    </cfRule>
    <cfRule type="containsBlanks" dxfId="169" priority="188">
      <formula>LEN(TRIM(F35))=0</formula>
    </cfRule>
  </conditionalFormatting>
  <conditionalFormatting sqref="G29:G31 G26:G27 G46:G48 K46 G154 K154">
    <cfRule type="containsBlanks" dxfId="168" priority="183">
      <formula>LEN(TRIM(G26))=0</formula>
    </cfRule>
  </conditionalFormatting>
  <conditionalFormatting sqref="F154">
    <cfRule type="containsBlanks" dxfId="167" priority="180">
      <formula>LEN(TRIM(F154))=0</formula>
    </cfRule>
  </conditionalFormatting>
  <conditionalFormatting sqref="J154">
    <cfRule type="containsBlanks" dxfId="166" priority="179">
      <formula>LEN(TRIM(J154))=0</formula>
    </cfRule>
  </conditionalFormatting>
  <conditionalFormatting sqref="F155:G155">
    <cfRule type="containsBlanks" dxfId="165" priority="178">
      <formula>LEN(TRIM(F155))=0</formula>
    </cfRule>
  </conditionalFormatting>
  <conditionalFormatting sqref="F156:G157">
    <cfRule type="containsBlanks" dxfId="164" priority="177">
      <formula>LEN(TRIM(F156))=0</formula>
    </cfRule>
  </conditionalFormatting>
  <conditionalFormatting sqref="F144:G145">
    <cfRule type="containsBlanks" dxfId="163" priority="175">
      <formula>LEN(TRIM(F144))=0</formula>
    </cfRule>
  </conditionalFormatting>
  <conditionalFormatting sqref="F138">
    <cfRule type="containsText" dxfId="162" priority="173" operator="containsText" text="n/a">
      <formula>NOT(ISERROR(SEARCH("n/a",F138)))</formula>
    </cfRule>
    <cfRule type="containsBlanks" dxfId="161" priority="174">
      <formula>LEN(TRIM(F138))=0</formula>
    </cfRule>
  </conditionalFormatting>
  <conditionalFormatting sqref="F139:F141">
    <cfRule type="containsText" dxfId="160" priority="171" operator="containsText" text="n/a">
      <formula>NOT(ISERROR(SEARCH("n/a",F139)))</formula>
    </cfRule>
    <cfRule type="containsBlanks" dxfId="159" priority="172">
      <formula>LEN(TRIM(F139))=0</formula>
    </cfRule>
  </conditionalFormatting>
  <conditionalFormatting sqref="F127:F130">
    <cfRule type="containsText" dxfId="158" priority="169" operator="containsText" text="n/a">
      <formula>NOT(ISERROR(SEARCH("n/a",F127)))</formula>
    </cfRule>
    <cfRule type="containsBlanks" dxfId="157" priority="170">
      <formula>LEN(TRIM(F127))=0</formula>
    </cfRule>
  </conditionalFormatting>
  <conditionalFormatting sqref="J127:J128">
    <cfRule type="containsText" dxfId="156" priority="167" operator="containsText" text="n/a">
      <formula>NOT(ISERROR(SEARCH("n/a",J127)))</formula>
    </cfRule>
    <cfRule type="containsBlanks" dxfId="155" priority="168">
      <formula>LEN(TRIM(J127))=0</formula>
    </cfRule>
  </conditionalFormatting>
  <conditionalFormatting sqref="J106:J107">
    <cfRule type="containsText" dxfId="154" priority="161" operator="containsText" text="n/a">
      <formula>NOT(ISERROR(SEARCH("n/a",J106)))</formula>
    </cfRule>
    <cfRule type="containsBlanks" dxfId="153" priority="162">
      <formula>LEN(TRIM(J106))=0</formula>
    </cfRule>
  </conditionalFormatting>
  <conditionalFormatting sqref="J109:K109">
    <cfRule type="containsText" dxfId="152" priority="22" operator="containsText" text="n/a">
      <formula>NOT(ISERROR(SEARCH("n/a",J109)))</formula>
    </cfRule>
    <cfRule type="containsBlanks" dxfId="151" priority="159">
      <formula>LEN(TRIM(J109))=0</formula>
    </cfRule>
  </conditionalFormatting>
  <conditionalFormatting sqref="J110:K110">
    <cfRule type="containsText" dxfId="150" priority="21" operator="containsText" text="n/a">
      <formula>NOT(ISERROR(SEARCH("n/a",J110)))</formula>
    </cfRule>
    <cfRule type="containsBlanks" dxfId="149" priority="158">
      <formula>LEN(TRIM(J110))=0</formula>
    </cfRule>
  </conditionalFormatting>
  <conditionalFormatting sqref="J116:J118">
    <cfRule type="containsText" dxfId="148" priority="155" operator="containsText" text="n/a">
      <formula>NOT(ISERROR(SEARCH("n/a",J116)))</formula>
    </cfRule>
    <cfRule type="containsBlanks" dxfId="147" priority="156">
      <formula>LEN(TRIM(J116))=0</formula>
    </cfRule>
  </conditionalFormatting>
  <conditionalFormatting sqref="F122">
    <cfRule type="containsText" dxfId="146" priority="152" operator="containsText" text="n/a">
      <formula>NOT(ISERROR(SEARCH("n/a",F122)))</formula>
    </cfRule>
    <cfRule type="containsBlanks" dxfId="145" priority="153">
      <formula>LEN(TRIM(F122))=0</formula>
    </cfRule>
  </conditionalFormatting>
  <conditionalFormatting sqref="J122">
    <cfRule type="containsText" dxfId="144" priority="150" operator="containsText" text="n/a">
      <formula>NOT(ISERROR(SEARCH("n/a",J122)))</formula>
    </cfRule>
    <cfRule type="containsBlanks" dxfId="143" priority="151">
      <formula>LEN(TRIM(J122))=0</formula>
    </cfRule>
  </conditionalFormatting>
  <conditionalFormatting sqref="F134:G135">
    <cfRule type="containsBlanks" dxfId="142" priority="148">
      <formula>LEN(TRIM(F134))=0</formula>
    </cfRule>
  </conditionalFormatting>
  <conditionalFormatting sqref="K49">
    <cfRule type="containsBlanks" dxfId="141" priority="146">
      <formula>LEN(TRIM(K49))=0</formula>
    </cfRule>
  </conditionalFormatting>
  <conditionalFormatting sqref="K50">
    <cfRule type="containsBlanks" dxfId="140" priority="144">
      <formula>LEN(TRIM(K50))=0</formula>
    </cfRule>
  </conditionalFormatting>
  <conditionalFormatting sqref="F95">
    <cfRule type="containsText" dxfId="139" priority="138" operator="containsText" text="n/a">
      <formula>NOT(ISERROR(SEARCH("n/a",F95)))</formula>
    </cfRule>
    <cfRule type="containsBlanks" dxfId="138" priority="139">
      <formula>LEN(TRIM(F95))=0</formula>
    </cfRule>
  </conditionalFormatting>
  <conditionalFormatting sqref="F70:G70">
    <cfRule type="containsText" dxfId="137" priority="136" operator="containsText" text="n/a">
      <formula>NOT(ISERROR(SEARCH("n/a",F70)))</formula>
    </cfRule>
    <cfRule type="containsBlanks" dxfId="136" priority="137">
      <formula>LEN(TRIM(F70))=0</formula>
    </cfRule>
  </conditionalFormatting>
  <conditionalFormatting sqref="J70:K70">
    <cfRule type="containsText" dxfId="135" priority="134" operator="containsText" text="n/a">
      <formula>NOT(ISERROR(SEARCH("n/a",J70)))</formula>
    </cfRule>
    <cfRule type="containsBlanks" dxfId="134" priority="135">
      <formula>LEN(TRIM(J70))=0</formula>
    </cfRule>
  </conditionalFormatting>
  <conditionalFormatting sqref="F73:G73">
    <cfRule type="containsText" dxfId="133" priority="132" operator="containsText" text="n/a">
      <formula>NOT(ISERROR(SEARCH("n/a",F73)))</formula>
    </cfRule>
    <cfRule type="containsBlanks" dxfId="132" priority="133">
      <formula>LEN(TRIM(F73))=0</formula>
    </cfRule>
  </conditionalFormatting>
  <conditionalFormatting sqref="F77:G77">
    <cfRule type="containsText" dxfId="131" priority="130" operator="containsText" text="n/a">
      <formula>NOT(ISERROR(SEARCH("n/a",F77)))</formula>
    </cfRule>
    <cfRule type="containsBlanks" dxfId="130" priority="131">
      <formula>LEN(TRIM(F77))=0</formula>
    </cfRule>
  </conditionalFormatting>
  <conditionalFormatting sqref="F82:G82">
    <cfRule type="containsText" dxfId="129" priority="128" operator="containsText" text="n/a">
      <formula>NOT(ISERROR(SEARCH("n/a",F82)))</formula>
    </cfRule>
    <cfRule type="containsBlanks" dxfId="128" priority="129">
      <formula>LEN(TRIM(F82))=0</formula>
    </cfRule>
  </conditionalFormatting>
  <conditionalFormatting sqref="F85:G85">
    <cfRule type="containsText" dxfId="127" priority="126" operator="containsText" text="n/a">
      <formula>NOT(ISERROR(SEARCH("n/a",F85)))</formula>
    </cfRule>
    <cfRule type="containsBlanks" dxfId="126" priority="127">
      <formula>LEN(TRIM(F85))=0</formula>
    </cfRule>
  </conditionalFormatting>
  <conditionalFormatting sqref="F88:G88">
    <cfRule type="containsText" dxfId="125" priority="124" operator="containsText" text="n/a">
      <formula>NOT(ISERROR(SEARCH("n/a",F88)))</formula>
    </cfRule>
    <cfRule type="containsBlanks" dxfId="124" priority="125">
      <formula>LEN(TRIM(F88))=0</formula>
    </cfRule>
  </conditionalFormatting>
  <conditionalFormatting sqref="J73:K73">
    <cfRule type="containsText" dxfId="123" priority="122" operator="containsText" text="n/a">
      <formula>NOT(ISERROR(SEARCH("n/a",J73)))</formula>
    </cfRule>
    <cfRule type="containsBlanks" dxfId="122" priority="123">
      <formula>LEN(TRIM(J73))=0</formula>
    </cfRule>
  </conditionalFormatting>
  <conditionalFormatting sqref="J77:K77">
    <cfRule type="containsText" dxfId="121" priority="120" operator="containsText" text="n/a">
      <formula>NOT(ISERROR(SEARCH("n/a",J77)))</formula>
    </cfRule>
    <cfRule type="containsBlanks" dxfId="120" priority="121">
      <formula>LEN(TRIM(J77))=0</formula>
    </cfRule>
  </conditionalFormatting>
  <conditionalFormatting sqref="J82:K82">
    <cfRule type="containsText" dxfId="119" priority="118" operator="containsText" text="n/a">
      <formula>NOT(ISERROR(SEARCH("n/a",J82)))</formula>
    </cfRule>
    <cfRule type="containsBlanks" dxfId="118" priority="119">
      <formula>LEN(TRIM(J82))=0</formula>
    </cfRule>
  </conditionalFormatting>
  <conditionalFormatting sqref="J85:K85">
    <cfRule type="containsText" dxfId="117" priority="116" operator="containsText" text="n/a">
      <formula>NOT(ISERROR(SEARCH("n/a",J85)))</formula>
    </cfRule>
    <cfRule type="containsBlanks" dxfId="116" priority="117">
      <formula>LEN(TRIM(J85))=0</formula>
    </cfRule>
  </conditionalFormatting>
  <conditionalFormatting sqref="F74:G74">
    <cfRule type="containsBlanks" dxfId="115" priority="115">
      <formula>LEN(TRIM(F74))=0</formula>
    </cfRule>
  </conditionalFormatting>
  <conditionalFormatting sqref="F74:G74 F78:G78 F81:G81 J74:K74 J78:K78 J81:K81">
    <cfRule type="containsText" dxfId="114" priority="114" operator="containsText" text="n/a">
      <formula>NOT(ISERROR(SEARCH("n/a",F74)))</formula>
    </cfRule>
  </conditionalFormatting>
  <conditionalFormatting sqref="F75:G75 F79:G79 F84:G84 J75:K75 J79:K79 J84:K84">
    <cfRule type="containsText" dxfId="113" priority="112" operator="containsText" text="n/a">
      <formula>NOT(ISERROR(SEARCH("n/a",F75)))</formula>
    </cfRule>
    <cfRule type="containsBlanks" dxfId="112" priority="113">
      <formula>LEN(TRIM(F75))=0</formula>
    </cfRule>
  </conditionalFormatting>
  <conditionalFormatting sqref="F78:G78">
    <cfRule type="containsBlanks" dxfId="111" priority="110">
      <formula>LEN(TRIM(F78))=0</formula>
    </cfRule>
  </conditionalFormatting>
  <conditionalFormatting sqref="F81:G81">
    <cfRule type="containsBlanks" dxfId="110" priority="108">
      <formula>LEN(TRIM(F81))=0</formula>
    </cfRule>
  </conditionalFormatting>
  <conditionalFormatting sqref="J74:K74">
    <cfRule type="containsBlanks" dxfId="109" priority="103">
      <formula>LEN(TRIM(J74))=0</formula>
    </cfRule>
  </conditionalFormatting>
  <conditionalFormatting sqref="J78:K78">
    <cfRule type="containsBlanks" dxfId="108" priority="101">
      <formula>LEN(TRIM(J78))=0</formula>
    </cfRule>
  </conditionalFormatting>
  <conditionalFormatting sqref="J81:K81">
    <cfRule type="containsBlanks" dxfId="107" priority="99">
      <formula>LEN(TRIM(J81))=0</formula>
    </cfRule>
  </conditionalFormatting>
  <conditionalFormatting sqref="F71:G71 J71:K71 F83:G83 F86:G86 J83:K83 J86:K86">
    <cfRule type="containsBlanks" dxfId="106" priority="94">
      <formula>LEN(TRIM(F71))=0</formula>
    </cfRule>
  </conditionalFormatting>
  <conditionalFormatting sqref="J96:K99">
    <cfRule type="duplicateValues" dxfId="105" priority="92"/>
  </conditionalFormatting>
  <conditionalFormatting sqref="J96:K96">
    <cfRule type="containsBlanks" dxfId="104" priority="91">
      <formula>LEN(TRIM(J96))=0</formula>
    </cfRule>
  </conditionalFormatting>
  <conditionalFormatting sqref="J97:K99">
    <cfRule type="expression" dxfId="103" priority="86">
      <formula>IF((LEFT(J97,FIND("~",SUBSTITUTE(J97,".","~",3))-1))=(LEFT($J$100,FIND("~",SUBSTITUTE($J$100,".","~",3))-1)),FALSE,TRUE)</formula>
    </cfRule>
    <cfRule type="containsText" dxfId="102" priority="87" operator="containsText" text="n/a">
      <formula>NOT(ISERROR(SEARCH("n/a",J97)))</formula>
    </cfRule>
  </conditionalFormatting>
  <conditionalFormatting sqref="J96:K96">
    <cfRule type="expression" dxfId="101" priority="83">
      <formula>IF((LEFT(J96,FIND("~",SUBSTITUTE(J96,".","~",3))-1))=(LEFT($J$100,FIND("~",SUBSTITUTE($J$100,".","~",3))-1)),FALSE,TRUE)</formula>
    </cfRule>
    <cfRule type="containsText" dxfId="100" priority="84" operator="containsText" text="n/a">
      <formula>NOT(ISERROR(SEARCH("n/a",J96)))</formula>
    </cfRule>
  </conditionalFormatting>
  <conditionalFormatting sqref="J97:K97">
    <cfRule type="containsBlanks" dxfId="99" priority="88">
      <formula>LEN(TRIM(J97))=0</formula>
    </cfRule>
  </conditionalFormatting>
  <conditionalFormatting sqref="F93">
    <cfRule type="containsText" dxfId="98" priority="80" operator="containsText" text="n/a">
      <formula>NOT(ISERROR(SEARCH("n/a",F93)))</formula>
    </cfRule>
    <cfRule type="containsBlanks" dxfId="97" priority="81">
      <formula>LEN(TRIM(F93))=0</formula>
    </cfRule>
  </conditionalFormatting>
  <conditionalFormatting sqref="J93">
    <cfRule type="containsText" dxfId="96" priority="78" operator="containsText" text="n/a">
      <formula>NOT(ISERROR(SEARCH("n/a",J93)))</formula>
    </cfRule>
    <cfRule type="containsBlanks" dxfId="95" priority="79">
      <formula>LEN(TRIM(J93))=0</formula>
    </cfRule>
  </conditionalFormatting>
  <conditionalFormatting sqref="F92:G92">
    <cfRule type="containsText" dxfId="94" priority="76" operator="containsText" text="n/a">
      <formula>NOT(ISERROR(SEARCH("n/a",F92)))</formula>
    </cfRule>
    <cfRule type="containsBlanks" dxfId="93" priority="536">
      <formula>LEN(TRIM(F92))=0</formula>
    </cfRule>
  </conditionalFormatting>
  <conditionalFormatting sqref="F89:G89">
    <cfRule type="containsText" dxfId="92" priority="73" operator="containsText" text="n/a">
      <formula>NOT(ISERROR(SEARCH("n/a",F89)))</formula>
    </cfRule>
    <cfRule type="containsBlanks" dxfId="91" priority="74">
      <formula>LEN(TRIM(F89))=0</formula>
    </cfRule>
    <cfRule type="expression" dxfId="90" priority="75">
      <formula>IF((LEFT(F89,FIND("~",SUBSTITUTE(F89,".","~",3))-1))=(LEFT(F93,FIND("~",SUBSTITUTE(F93,".","~",3))-1)),FALSE,TRUE)</formula>
    </cfRule>
  </conditionalFormatting>
  <conditionalFormatting sqref="J37:K37">
    <cfRule type="containsBlanks" dxfId="89" priority="53">
      <formula>LEN(TRIM(J37))=0</formula>
    </cfRule>
  </conditionalFormatting>
  <conditionalFormatting sqref="J38:K38">
    <cfRule type="containsBlanks" dxfId="88" priority="51">
      <formula>LEN(TRIM(J38))=0</formula>
    </cfRule>
  </conditionalFormatting>
  <conditionalFormatting sqref="F38:G38">
    <cfRule type="containsText" dxfId="87" priority="49" operator="containsText" text="n/a">
      <formula>NOT(ISERROR(SEARCH("n/a",F38)))</formula>
    </cfRule>
    <cfRule type="containsBlanks" dxfId="86" priority="50">
      <formula>LEN(TRIM(F38))=0</formula>
    </cfRule>
  </conditionalFormatting>
  <conditionalFormatting sqref="J130:K130">
    <cfRule type="containsText" dxfId="85" priority="48" operator="containsText" text="n/a">
      <formula>NOT(ISERROR(SEARCH("n/a",J130)))</formula>
    </cfRule>
  </conditionalFormatting>
  <conditionalFormatting sqref="J138:K138">
    <cfRule type="containsText" dxfId="84" priority="47" operator="containsText" text="n/a">
      <formula>NOT(ISERROR(SEARCH("n/a",J138)))</formula>
    </cfRule>
  </conditionalFormatting>
  <conditionalFormatting sqref="G7">
    <cfRule type="duplicateValues" dxfId="83" priority="46"/>
  </conditionalFormatting>
  <conditionalFormatting sqref="F148:G148">
    <cfRule type="containsBlanks" dxfId="82" priority="45">
      <formula>LEN(TRIM(F148))=0</formula>
    </cfRule>
  </conditionalFormatting>
  <conditionalFormatting sqref="J27">
    <cfRule type="containsText" dxfId="81" priority="43" operator="containsText" text="n/a">
      <formula>NOT(ISERROR(SEARCH("n/a",J27)))</formula>
    </cfRule>
    <cfRule type="containsBlanks" dxfId="80" priority="44">
      <formula>LEN(TRIM(J27))=0</formula>
    </cfRule>
  </conditionalFormatting>
  <conditionalFormatting sqref="B102">
    <cfRule type="cellIs" dxfId="79" priority="42" operator="equal">
      <formula>"✓"</formula>
    </cfRule>
  </conditionalFormatting>
  <conditionalFormatting sqref="F103">
    <cfRule type="containsText" dxfId="78" priority="40" operator="containsText" text="n/a">
      <formula>NOT(ISERROR(SEARCH("n/a",F103)))</formula>
    </cfRule>
    <cfRule type="containsBlanks" dxfId="77" priority="41">
      <formula>LEN(TRIM(F103))=0</formula>
    </cfRule>
  </conditionalFormatting>
  <conditionalFormatting sqref="G103">
    <cfRule type="containsBlanks" dxfId="76" priority="39">
      <formula>LEN(TRIM(G103))=0</formula>
    </cfRule>
  </conditionalFormatting>
  <conditionalFormatting sqref="G108">
    <cfRule type="containsBlanks" dxfId="75" priority="38">
      <formula>LEN(TRIM(G108))=0</formula>
    </cfRule>
  </conditionalFormatting>
  <conditionalFormatting sqref="F108">
    <cfRule type="containsText" dxfId="74" priority="36" operator="containsText" text="n/a">
      <formula>NOT(ISERROR(SEARCH("n/a",F108)))</formula>
    </cfRule>
    <cfRule type="containsBlanks" dxfId="73" priority="37">
      <formula>LEN(TRIM(F108))=0</formula>
    </cfRule>
  </conditionalFormatting>
  <conditionalFormatting sqref="F11">
    <cfRule type="containsBlanks" dxfId="72" priority="35">
      <formula>LEN(TRIM(F11))=0</formula>
    </cfRule>
  </conditionalFormatting>
  <conditionalFormatting sqref="B15">
    <cfRule type="cellIs" dxfId="71" priority="33" operator="equal">
      <formula>"✓"</formula>
    </cfRule>
  </conditionalFormatting>
  <conditionalFormatting sqref="B103">
    <cfRule type="cellIs" dxfId="70" priority="32" operator="equal">
      <formula>"✓"</formula>
    </cfRule>
  </conditionalFormatting>
  <conditionalFormatting sqref="F116:G116">
    <cfRule type="containsBlanks" dxfId="69" priority="31">
      <formula>LEN(TRIM(F116))=0</formula>
    </cfRule>
  </conditionalFormatting>
  <conditionalFormatting sqref="J32:K32">
    <cfRule type="containsText" dxfId="68" priority="25" operator="containsText" text="n/a">
      <formula>NOT(ISERROR(SEARCH("n/a",J32)))</formula>
    </cfRule>
    <cfRule type="containsBlanks" dxfId="67" priority="26">
      <formula>LEN(TRIM(J32))=0</formula>
    </cfRule>
  </conditionalFormatting>
  <conditionalFormatting sqref="J34:K34">
    <cfRule type="containsText" dxfId="66" priority="23" operator="containsText" text="n/a">
      <formula>NOT(ISERROR(SEARCH("n/a",J34)))</formula>
    </cfRule>
    <cfRule type="containsBlanks" dxfId="65" priority="24">
      <formula>LEN(TRIM(J34))=0</formula>
    </cfRule>
  </conditionalFormatting>
  <conditionalFormatting sqref="G122 K116:K118 J57 K60 G103 G106:G114 G127:G130">
    <cfRule type="duplicateValues" dxfId="64" priority="20"/>
  </conditionalFormatting>
  <conditionalFormatting sqref="B151">
    <cfRule type="cellIs" dxfId="63" priority="19" operator="equal">
      <formula>"✓"</formula>
    </cfRule>
  </conditionalFormatting>
  <conditionalFormatting sqref="F151">
    <cfRule type="containsText" dxfId="62" priority="15" operator="containsText" text="n/a">
      <formula>NOT(ISERROR(SEARCH("n/a",F151)))</formula>
    </cfRule>
    <cfRule type="containsBlanks" dxfId="61" priority="16">
      <formula>LEN(TRIM(F151))=0</formula>
    </cfRule>
  </conditionalFormatting>
  <conditionalFormatting sqref="G154 G29:G30 G46:G48 K46:K48 G26:G27 K154 G115">
    <cfRule type="duplicateValues" dxfId="60" priority="281"/>
  </conditionalFormatting>
  <conditionalFormatting sqref="F134:G134">
    <cfRule type="expression" dxfId="59" priority="11">
      <formula>IF($F$133="true",IF($F$134="n/a", TRUE, FALSE),FALSE)</formula>
    </cfRule>
  </conditionalFormatting>
  <conditionalFormatting sqref="F135:G135">
    <cfRule type="expression" dxfId="58" priority="10">
      <formula>IF($F$133="true",IF($F$135="n/a", TRUE, FALSE),FALSE)</formula>
    </cfRule>
  </conditionalFormatting>
  <conditionalFormatting sqref="J148:K148">
    <cfRule type="expression" dxfId="57" priority="8">
      <formula>IF($J$147="true",IF($J$148="n/a", TRUE, FALSE),FALSE)</formula>
    </cfRule>
    <cfRule type="containsBlanks" dxfId="56" priority="9">
      <formula>LEN(TRIM(J148))=0</formula>
    </cfRule>
  </conditionalFormatting>
  <conditionalFormatting sqref="J149:K149">
    <cfRule type="expression" dxfId="55" priority="6">
      <formula>IF($J$147="true",IF($J$149="n/a", TRUE, FALSE),FALSE)</formula>
    </cfRule>
    <cfRule type="containsBlanks" dxfId="54" priority="7">
      <formula>LEN(TRIM(J149))=0</formula>
    </cfRule>
  </conditionalFormatting>
  <conditionalFormatting sqref="B116">
    <cfRule type="cellIs" dxfId="53" priority="4" operator="equal">
      <formula>"✓"</formula>
    </cfRule>
  </conditionalFormatting>
  <conditionalFormatting sqref="G151">
    <cfRule type="duplicateValues" dxfId="52" priority="2"/>
  </conditionalFormatting>
  <conditionalFormatting sqref="G151">
    <cfRule type="containsBlanks" dxfId="51" priority="3">
      <formula>LEN(TRIM(G151))=0</formula>
    </cfRule>
  </conditionalFormatting>
  <dataValidations count="10">
    <dataValidation type="list" allowBlank="1" showInputMessage="1" showErrorMessage="1" sqref="J142:K142 J145:K145 J134" xr:uid="{00000000-0002-0000-0400-000000000000}">
      <formula1>"false,true"</formula1>
    </dataValidation>
    <dataValidation type="list" allowBlank="1" showInputMessage="1" showErrorMessage="1" sqref="K28:K29" xr:uid="{00000000-0002-0000-0400-000001000000}">
      <formula1>EVC_Settings</formula1>
    </dataValidation>
    <dataValidation type="list" allowBlank="1" showInputMessage="1" showErrorMessage="1" sqref="J21:K21" xr:uid="{00000000-0002-0000-0400-000003000000}">
      <formula1>"true,false"</formula1>
    </dataValidation>
    <dataValidation type="list" allowBlank="1" showInputMessage="1" showErrorMessage="1" sqref="J8:K8 J112:K114" xr:uid="{00000000-0002-0000-0400-000004000000}">
      <formula1>"root,child"</formula1>
    </dataValidation>
    <dataValidation type="list" allowBlank="1" showInputMessage="1" showErrorMessage="1" sqref="J135:K135" xr:uid="{00000000-0002-0000-0400-000005000000}">
      <formula1>"TLS,SSL"</formula1>
    </dataValidation>
    <dataValidation type="list" allowBlank="1" showInputMessage="1" showErrorMessage="1" sqref="F34:G34 F36:G37 F39:G39" xr:uid="{00000000-0002-0000-0400-000007000000}">
      <formula1>"vmnic0,vmnic1,vmnic2,vmnic3,vmnic4,vmnic5,vmnic6,vmnic7"</formula1>
    </dataValidation>
    <dataValidation type="list" allowBlank="1" showInputMessage="1" showErrorMessage="1" sqref="F123:G123" xr:uid="{00000000-0002-0000-0400-000008000000}">
      <formula1>vRB_Currencies</formula1>
    </dataValidation>
    <dataValidation type="list" allowBlank="1" showInputMessage="1" showErrorMessage="1" sqref="F116:G116" xr:uid="{2A7BE5B7-C580-B245-A2C6-252C6754878C}">
      <formula1>"Yes,No"</formula1>
    </dataValidation>
    <dataValidation allowBlank="1" showInputMessage="1" showErrorMessage="1" promptTitle="VTEP DHCP v Static Config" prompt="If the VTEP Start and End Address values are set to n/a DHCP will be configured by Cloud Builder._x000a__x000a_NOTE: Each ESXi host requires 2 IP Addresses for VTEP Load Balancing." sqref="G49:G50 K49:K50" xr:uid="{6DA18F8D-5D3C-014B-868D-1B60FDB51D4A}"/>
    <dataValidation type="list" allowBlank="1" showInputMessage="1" showErrorMessage="1" promptTitle="SMTP Authentication" prompt="If you are required to use authentication when integrating with your SMTP Mail Services then ensure that you provide the username and password in the fields below" sqref="F133:G133 J147:K147" xr:uid="{77AA4DEA-7661-8D43-8967-E8304F0148DF}">
      <formula1>"true,false"</formula1>
    </dataValidation>
  </dataValidations>
  <hyperlinks>
    <hyperlink ref="J149" r:id="rId1" display="administrator@sddc.local" xr:uid="{00000000-0004-0000-0400-000000000000}"/>
    <hyperlink ref="F135" r:id="rId2" display="administrator@sddc.local" xr:uid="{00000000-0004-0000-0400-000001000000}"/>
    <hyperlink ref="J140" r:id="rId3" display="vrli-do-not-reply@sddc.local" xr:uid="{00000000-0004-0000-0400-000003000000}"/>
    <hyperlink ref="J143" r:id="rId4" display="administrator@sddc.local" xr:uid="{00000000-0004-0000-0400-000004000000}"/>
    <hyperlink ref="F157" r:id="rId5" display="administrator@sddc.local" xr:uid="{00000000-0004-0000-0400-000006000000}"/>
    <hyperlink ref="J132" r:id="rId6" xr:uid="{02E0CC01-67DD-A146-AEC3-8BDCD5EF752E}"/>
    <hyperlink ref="J144" r:id="rId7" xr:uid="{FED6F0A5-AD7A-4524-A060-7D85AC6C0D36}"/>
  </hyperlinks>
  <printOptions horizontalCentered="1"/>
  <pageMargins left="0.5" right="0.5" top="0.5" bottom="0.5" header="0.25" footer="0.25"/>
  <pageSetup scale="39" orientation="portrait" r:id="rId8"/>
  <headerFooter alignWithMargins="0">
    <oddFooter>&amp;L&amp;8http://www.vertex42.com/ExcelTemplates/spring-cleaning-checklist.html</oddFooter>
  </headerFooter>
  <ignoredErrors>
    <ignoredError sqref="F14:G14 J11:K21 F27 F31 J26:K27 J31:K34 J37:K38 F53:G54 F46 J54:K55 J58:K59 J61 F73:G73 F77 J73 J77 J95:K100 J106:K107 J109:K110 J122:K122 J127:K128 J130:K130 J138:K138 F151 F155:G157 J131:K135 J139:K145 F13:G13 F42:G43 F26 F29 F30 G75 G74 F154 J29 J28" unlockedFormula="1"/>
    <ignoredError sqref="L49:L54" evalError="1"/>
  </ignoredErrors>
  <drawing r:id="rId9"/>
  <extLst>
    <ext xmlns:x14="http://schemas.microsoft.com/office/spreadsheetml/2009/9/main" uri="{78C0D931-6437-407d-A8EE-F0AAD7539E65}">
      <x14:conditionalFormattings>
        <x14:conditionalFormatting xmlns:xm="http://schemas.microsoft.com/office/excel/2006/main">
          <x14:cfRule type="expression" priority="58" id="{33012C94-CCEF-A946-ABB2-168BC6FCE5B1}">
            <xm:f>IF((LEFT(G154,FIND("~",SUBSTITUTE(G154,".","~",3))-1))=(LEFT('Hosts and Networks'!D7,FIND("~",SUBSTITUTE('Hosts and Networks'!D7,".","~",3))-1)),FALSE,TRUE)</xm:f>
            <x14:dxf>
              <font>
                <b/>
                <i val="0"/>
                <color rgb="FF9C0006"/>
              </font>
              <fill>
                <patternFill>
                  <bgColor theme="5" tint="0.59996337778862885"/>
                </patternFill>
              </fill>
            </x14:dxf>
          </x14:cfRule>
          <xm:sqref>G154</xm:sqref>
        </x14:conditionalFormatting>
        <x14:conditionalFormatting xmlns:xm="http://schemas.microsoft.com/office/excel/2006/main">
          <x14:cfRule type="expression" priority="57" id="{FDF68F31-0FF7-A346-9104-D5BD2D6AE1F1}">
            <xm:f>IF((LEFT(K154,FIND("~",SUBSTITUTE(K154,".","~",3))-1))=(LEFT('Hosts and Networks'!D7,FIND("~",SUBSTITUTE('Hosts and Networks'!D7,".","~",3))-1)),FALSE,TRUE)</xm:f>
            <x14:dxf>
              <font>
                <b/>
                <i val="0"/>
                <color rgb="FF9C0006"/>
              </font>
              <fill>
                <patternFill>
                  <bgColor theme="5" tint="0.59996337778862885"/>
                </patternFill>
              </fill>
            </x14:dxf>
          </x14:cfRule>
          <xm:sqref>K154</xm:sqref>
        </x14:conditionalFormatting>
        <x14:conditionalFormatting xmlns:xm="http://schemas.microsoft.com/office/excel/2006/main">
          <x14:cfRule type="expression" priority="64" id="{DED5C143-CDB3-584A-8F59-8123716B035B}">
            <xm:f>IF((LEFT(G31,FIND("~",SUBSTITUTE(G31,".","~",3))-1))=(LEFT('Hosts and Networks'!D7,FIND("~",SUBSTITUTE('Hosts and Networks'!D7,".","~",3))-1)),FALSE,TRUE)</xm:f>
            <x14:dxf>
              <font>
                <b/>
                <i val="0"/>
                <color rgb="FF9C0006"/>
              </font>
              <fill>
                <patternFill>
                  <bgColor theme="5" tint="0.59996337778862885"/>
                </patternFill>
              </fill>
            </x14:dxf>
          </x14:cfRule>
          <xm:sqref>G31</xm:sqref>
        </x14:conditionalFormatting>
        <x14:conditionalFormatting xmlns:xm="http://schemas.microsoft.com/office/excel/2006/main">
          <x14:cfRule type="expression" priority="111" id="{712973CD-B9E4-F147-A3CA-9C923FFBE273}">
            <xm:f>IF((LEFT(F74,FIND("~",SUBSTITUTE(F74,".","~",3))-1))=(LEFT('Hosts and Networks'!D13,FIND("~",SUBSTITUTE('Hosts and Networks'!D13,".","~",3))-1)),FALSE,TRUE)</xm:f>
            <x14:dxf>
              <font>
                <b/>
                <i val="0"/>
                <color rgb="FF9C0006"/>
              </font>
              <fill>
                <patternFill>
                  <bgColor theme="5" tint="0.59996337778862885"/>
                </patternFill>
              </fill>
            </x14:dxf>
          </x14:cfRule>
          <xm:sqref>F74:G75</xm:sqref>
        </x14:conditionalFormatting>
        <x14:conditionalFormatting xmlns:xm="http://schemas.microsoft.com/office/excel/2006/main">
          <x14:cfRule type="expression" priority="215" id="{3DD9AACA-4EC3-2B41-9859-3745AE2C1FC6}">
            <xm:f>IF((LEFT(K155,FIND("~",SUBSTITUTE(K155,".","~",3))-1))=(LEFT('Hosts and Networks'!D11,FIND("~",SUBSTITUTE('Hosts and Networks'!D11,".","~",3))-1)),FALSE,TRUE)</xm:f>
            <x14:dxf>
              <font>
                <b/>
                <i val="0"/>
                <color rgb="FF9C0006"/>
              </font>
              <fill>
                <patternFill>
                  <bgColor theme="5" tint="0.59996337778862885"/>
                </patternFill>
              </fill>
            </x14:dxf>
          </x14:cfRule>
          <xm:sqref>K155</xm:sqref>
        </x14:conditionalFormatting>
        <x14:conditionalFormatting xmlns:xm="http://schemas.microsoft.com/office/excel/2006/main">
          <x14:cfRule type="expression" priority="147" id="{15C7ACD0-3DE2-384F-B441-D9FDAEDB58C2}">
            <xm:f>IF((LEFT(K49,FIND("~",SUBSTITUTE(K49,".","~",3))-1))=(LEFT('Hosts and Networks'!D22,FIND("~",SUBSTITUTE('Hosts and Networks'!D22,".","~",3))-1)),FALSE,TRUE)</xm:f>
            <x14:dxf>
              <font>
                <b/>
                <i val="0"/>
                <color rgb="FF9C0006"/>
              </font>
              <fill>
                <patternFill>
                  <bgColor theme="5" tint="0.59996337778862885"/>
                </patternFill>
              </fill>
            </x14:dxf>
          </x14:cfRule>
          <xm:sqref>K49</xm:sqref>
        </x14:conditionalFormatting>
        <x14:conditionalFormatting xmlns:xm="http://schemas.microsoft.com/office/excel/2006/main">
          <x14:cfRule type="expression" priority="142" id="{930A37D8-7F01-564D-8DD3-590BBE145FB2}">
            <xm:f>IF((LEFT(K50,FIND("~",SUBSTITUTE(K50,".","~",3))-1))=(LEFT('Hosts and Networks'!D22,FIND("~",SUBSTITUTE('Hosts and Networks'!D22,".","~",3))-1)),FALSE,TRUE)</xm:f>
            <x14:dxf>
              <font>
                <b/>
                <i val="0"/>
                <color rgb="FF9C0006"/>
              </font>
              <fill>
                <patternFill>
                  <bgColor theme="5" tint="0.59996337778862885"/>
                </patternFill>
              </fill>
            </x14:dxf>
          </x14:cfRule>
          <xm:sqref>K50</xm:sqref>
        </x14:conditionalFormatting>
        <x14:conditionalFormatting xmlns:xm="http://schemas.microsoft.com/office/excel/2006/main">
          <x14:cfRule type="expression" priority="109" id="{03798AF3-630A-EB49-A4BE-5E08479DD15E}">
            <xm:f>IF((LEFT(F78,FIND("~",SUBSTITUTE(F78,".","~",3))-1))=(LEFT('Hosts and Networks'!D13,FIND("~",SUBSTITUTE('Hosts and Networks'!D13,".","~",3))-1)),FALSE,TRUE)</xm:f>
            <x14:dxf>
              <font>
                <b/>
                <i val="0"/>
                <color rgb="FF9C0006"/>
              </font>
              <fill>
                <patternFill>
                  <bgColor theme="5" tint="0.59996337778862885"/>
                </patternFill>
              </fill>
            </x14:dxf>
          </x14:cfRule>
          <xm:sqref>F78:G79</xm:sqref>
        </x14:conditionalFormatting>
        <x14:conditionalFormatting xmlns:xm="http://schemas.microsoft.com/office/excel/2006/main">
          <x14:cfRule type="expression" priority="107" id="{8F687AF9-A1A3-AC4F-BF5F-F8B1FB0F18BC}">
            <xm:f>IF((LEFT(F81,FIND("~",SUBSTITUTE(F81,".","~",3))-1))=(LEFT('Hosts and Networks'!D13,FIND("~",SUBSTITUTE('Hosts and Networks'!D13,".","~",3))-1)),FALSE,TRUE)</xm:f>
            <x14:dxf>
              <font>
                <b/>
                <i val="0"/>
                <color rgb="FF9C0006"/>
              </font>
              <fill>
                <patternFill>
                  <bgColor theme="5" tint="0.59996337778862885"/>
                </patternFill>
              </fill>
            </x14:dxf>
          </x14:cfRule>
          <xm:sqref>F81:G81</xm:sqref>
        </x14:conditionalFormatting>
        <x14:conditionalFormatting xmlns:xm="http://schemas.microsoft.com/office/excel/2006/main">
          <x14:cfRule type="expression" priority="104" id="{DD7E1C66-42D8-1347-8A14-8CCA6C8150AC}">
            <xm:f>IF((LEFT(F84,FIND("~",SUBSTITUTE(F84,".","~",3))-1))=(LEFT('Hosts and Networks'!D14,FIND("~",SUBSTITUTE('Hosts and Networks'!D14,".","~",3))-1)),FALSE,TRUE)</xm:f>
            <x14:dxf>
              <font>
                <b/>
                <i val="0"/>
                <color rgb="FF9C0006"/>
              </font>
              <fill>
                <patternFill>
                  <bgColor theme="5" tint="0.59996337778862885"/>
                </patternFill>
              </fill>
            </x14:dxf>
          </x14:cfRule>
          <xm:sqref>F84:G84</xm:sqref>
        </x14:conditionalFormatting>
        <x14:conditionalFormatting xmlns:xm="http://schemas.microsoft.com/office/excel/2006/main">
          <x14:cfRule type="expression" priority="102" id="{FC8616D0-ED34-0E4D-BCDF-35F8A1A03F81}">
            <xm:f>IF((LEFT(J74,FIND("~",SUBSTITUTE(J74,".","~",3))-1))=(LEFT('Hosts and Networks'!D23,FIND("~",SUBSTITUTE('Hosts and Networks'!D23,".","~",3))-1)),FALSE,TRUE)</xm:f>
            <x14:dxf>
              <font>
                <b/>
                <i val="0"/>
                <color rgb="FF9C0006"/>
              </font>
              <fill>
                <patternFill>
                  <bgColor theme="5" tint="0.59996337778862885"/>
                </patternFill>
              </fill>
            </x14:dxf>
          </x14:cfRule>
          <xm:sqref>J74:K75</xm:sqref>
        </x14:conditionalFormatting>
        <x14:conditionalFormatting xmlns:xm="http://schemas.microsoft.com/office/excel/2006/main">
          <x14:cfRule type="expression" priority="100" id="{68755C6B-65F9-FE46-AD33-CF2067D2EF85}">
            <xm:f>IF((LEFT(J78,FIND("~",SUBSTITUTE(J78,".","~",3))-1))=(LEFT('Hosts and Networks'!D23,FIND("~",SUBSTITUTE('Hosts and Networks'!D23,".","~",3))-1)),FALSE,TRUE)</xm:f>
            <x14:dxf>
              <font>
                <b/>
                <i val="0"/>
                <color rgb="FF9C0006"/>
              </font>
              <fill>
                <patternFill>
                  <bgColor theme="5" tint="0.59996337778862885"/>
                </patternFill>
              </fill>
            </x14:dxf>
          </x14:cfRule>
          <xm:sqref>J78:K79</xm:sqref>
        </x14:conditionalFormatting>
        <x14:conditionalFormatting xmlns:xm="http://schemas.microsoft.com/office/excel/2006/main">
          <x14:cfRule type="expression" priority="98" id="{DC56BB59-CAA1-5442-B9AB-341C60AEA996}">
            <xm:f>IF((LEFT(J81,FIND("~",SUBSTITUTE(J81,".","~",3))-1))=(LEFT('Hosts and Networks'!D23,FIND("~",SUBSTITUTE('Hosts and Networks'!D23,".","~",3))-1)),FALSE,TRUE)</xm:f>
            <x14:dxf>
              <font>
                <b/>
                <i val="0"/>
                <color rgb="FF9C0006"/>
              </font>
              <fill>
                <patternFill>
                  <bgColor theme="5" tint="0.59996337778862885"/>
                </patternFill>
              </fill>
            </x14:dxf>
          </x14:cfRule>
          <xm:sqref>J81:K81</xm:sqref>
        </x14:conditionalFormatting>
        <x14:conditionalFormatting xmlns:xm="http://schemas.microsoft.com/office/excel/2006/main">
          <x14:cfRule type="expression" priority="95" id="{3FECECB3-E076-054C-B3CE-35866A5C6E42}">
            <xm:f>IF((LEFT(J84,FIND("~",SUBSTITUTE(J84,".","~",3))-1))=(LEFT('Hosts and Networks'!D24,FIND("~",SUBSTITUTE('Hosts and Networks'!D24,".","~",3))-1)),FALSE,TRUE)</xm:f>
            <x14:dxf>
              <font>
                <b/>
                <i val="0"/>
                <color rgb="FF9C0006"/>
              </font>
              <fill>
                <patternFill>
                  <bgColor theme="5" tint="0.59996337778862885"/>
                </patternFill>
              </fill>
            </x14:dxf>
          </x14:cfRule>
          <xm:sqref>J84:K84</xm:sqref>
        </x14:conditionalFormatting>
        <x14:conditionalFormatting xmlns:xm="http://schemas.microsoft.com/office/excel/2006/main">
          <x14:cfRule type="expression" priority="68" id="{494CDE26-026C-7F41-AC49-C9500C6F2880}">
            <xm:f>IF((LEFT(G26,FIND("~",SUBSTITUTE(G26,".","~",3))-1))=(LEFT('Hosts and Networks'!D7,FIND("~",SUBSTITUTE('Hosts and Networks'!D7,".","~",3))-1)),FALSE,TRUE)</xm:f>
            <x14:dxf>
              <font>
                <b/>
                <i val="0"/>
                <color rgb="FF9C0006"/>
              </font>
              <fill>
                <patternFill>
                  <bgColor theme="5" tint="0.59996337778862885"/>
                </patternFill>
              </fill>
            </x14:dxf>
          </x14:cfRule>
          <xm:sqref>G26</xm:sqref>
        </x14:conditionalFormatting>
        <x14:conditionalFormatting xmlns:xm="http://schemas.microsoft.com/office/excel/2006/main">
          <x14:cfRule type="expression" priority="66" id="{4B74054F-3462-9C48-9454-54B1D1121794}">
            <xm:f>IF((LEFT(G29,FIND("~",SUBSTITUTE(G29,".","~",3))-1))=(LEFT('Hosts and Networks'!D7,FIND("~",SUBSTITUTE('Hosts and Networks'!D7,".","~",3))-1)),FALSE,TRUE)</xm:f>
            <x14:dxf>
              <font>
                <b/>
                <i val="0"/>
                <color rgb="FF9C0006"/>
              </font>
              <fill>
                <patternFill>
                  <bgColor theme="5" tint="0.59996337778862885"/>
                </patternFill>
              </fill>
            </x14:dxf>
          </x14:cfRule>
          <xm:sqref>G29</xm:sqref>
        </x14:conditionalFormatting>
        <x14:conditionalFormatting xmlns:xm="http://schemas.microsoft.com/office/excel/2006/main">
          <x14:cfRule type="expression" priority="65" id="{85DC85B8-4A7C-464D-825A-CCD75E99FF5E}">
            <xm:f>IF((LEFT(G30,FIND("~",SUBSTITUTE(G30,".","~",3))-1))=(LEFT('Hosts and Networks'!D7,FIND("~",SUBSTITUTE('Hosts and Networks'!D7,".","~",3))-1)),FALSE,TRUE)</xm:f>
            <x14:dxf>
              <font>
                <b/>
                <i val="0"/>
                <color rgb="FF9C0006"/>
              </font>
              <fill>
                <patternFill>
                  <bgColor theme="5" tint="0.59996337778862885"/>
                </patternFill>
              </fill>
            </x14:dxf>
          </x14:cfRule>
          <xm:sqref>G30</xm:sqref>
        </x14:conditionalFormatting>
        <x14:conditionalFormatting xmlns:xm="http://schemas.microsoft.com/office/excel/2006/main">
          <x14:cfRule type="expression" priority="63" id="{BBF81E8B-70EA-7346-AC07-791118679279}">
            <xm:f>IF((LEFT(G46,FIND("~",SUBSTITUTE(G46,".","~",3))-1))=(LEFT('Hosts and Networks'!D7,FIND("~",SUBSTITUTE('Hosts and Networks'!D7,".","~",3))-1)),FALSE,TRUE)</xm:f>
            <x14:dxf>
              <font>
                <b/>
                <i val="0"/>
                <color rgb="FF9C0006"/>
              </font>
              <fill>
                <patternFill>
                  <bgColor theme="5" tint="0.59996337778862885"/>
                </patternFill>
              </fill>
            </x14:dxf>
          </x14:cfRule>
          <xm:sqref>G46</xm:sqref>
        </x14:conditionalFormatting>
        <x14:conditionalFormatting xmlns:xm="http://schemas.microsoft.com/office/excel/2006/main">
          <x14:cfRule type="expression" priority="62" id="{8A4F9B3C-6260-424C-9A7C-9E48CD56952E}">
            <xm:f>IF((LEFT(K46,FIND("~",SUBSTITUTE(K46,".","~",3))-1))=(LEFT('Hosts and Networks'!D7,FIND("~",SUBSTITUTE('Hosts and Networks'!D7,".","~",3))-1)),FALSE,TRUE)</xm:f>
            <x14:dxf>
              <font>
                <b/>
                <i val="0"/>
                <color rgb="FF9C0006"/>
              </font>
              <fill>
                <patternFill>
                  <bgColor theme="5" tint="0.59996337778862885"/>
                </patternFill>
              </fill>
            </x14:dxf>
          </x14:cfRule>
          <xm:sqref>K46</xm:sqref>
        </x14:conditionalFormatting>
        <x14:conditionalFormatting xmlns:xm="http://schemas.microsoft.com/office/excel/2006/main">
          <x14:cfRule type="expression" priority="61" id="{209DE953-EBBF-7B4F-B701-AF093962B882}">
            <xm:f>IF((LEFT(G47,FIND("~",SUBSTITUTE(G47,".","~",3))-1))=(LEFT('Hosts and Networks'!D7,FIND("~",SUBSTITUTE('Hosts and Networks'!D7,".","~",3))-1)),FALSE,TRUE)</xm:f>
            <x14:dxf>
              <font>
                <b/>
                <i val="0"/>
                <color rgb="FF9C0006"/>
              </font>
              <fill>
                <patternFill>
                  <bgColor theme="5" tint="0.59996337778862885"/>
                </patternFill>
              </fill>
            </x14:dxf>
          </x14:cfRule>
          <xm:sqref>G47</xm:sqref>
        </x14:conditionalFormatting>
        <x14:conditionalFormatting xmlns:xm="http://schemas.microsoft.com/office/excel/2006/main">
          <x14:cfRule type="expression" priority="60" id="{FAFA9283-53A7-C142-AE00-5FFA40DE1B52}">
            <xm:f>IF((LEFT(G48,FIND("~",SUBSTITUTE(G48,".","~",3))-1))=(LEFT('Hosts and Networks'!D7,FIND("~",SUBSTITUTE('Hosts and Networks'!D7,".","~",3))-1)),FALSE,TRUE)</xm:f>
            <x14:dxf>
              <font>
                <b/>
                <i val="0"/>
                <color rgb="FF9C0006"/>
              </font>
              <fill>
                <patternFill>
                  <bgColor theme="5" tint="0.59996337778862885"/>
                </patternFill>
              </fill>
            </x14:dxf>
          </x14:cfRule>
          <xm:sqref>G48</xm:sqref>
        </x14:conditionalFormatting>
        <x14:conditionalFormatting xmlns:xm="http://schemas.microsoft.com/office/excel/2006/main">
          <x14:cfRule type="expression" priority="56" id="{F6AD1E1B-A0A4-C44E-888B-2E9932C08292}">
            <xm:f>IF((LEFT(G49,FIND("~",SUBSTITUTE(G49,".","~",3))-1))=(LEFT('Hosts and Networks'!D12,FIND("~",SUBSTITUTE('Hosts and Networks'!D12,".","~",3))-1)),FALSE,TRUE)</xm:f>
            <x14:dxf>
              <font>
                <b/>
                <i val="0"/>
                <color rgb="FF9C0006"/>
              </font>
              <fill>
                <patternFill>
                  <bgColor theme="5" tint="0.59996337778862885"/>
                </patternFill>
              </fill>
            </x14:dxf>
          </x14:cfRule>
          <xm:sqref>G49</xm:sqref>
        </x14:conditionalFormatting>
        <x14:conditionalFormatting xmlns:xm="http://schemas.microsoft.com/office/excel/2006/main">
          <x14:cfRule type="expression" priority="55" id="{1AE14EA1-550E-0C46-B208-4D9CFD65354E}">
            <xm:f>IF((LEFT(G50,FIND("~",SUBSTITUTE(G50,".","~",3))-1))=(LEFT('Hosts and Networks'!D12,FIND("~",SUBSTITUTE('Hosts and Networks'!D12,".","~",3))-1)),FALSE,TRUE)</xm:f>
            <x14:dxf>
              <font>
                <b/>
                <i val="0"/>
                <color rgb="FF9C0006"/>
              </font>
              <fill>
                <patternFill>
                  <bgColor theme="5" tint="0.59996337778862885"/>
                </patternFill>
              </fill>
            </x14:dxf>
          </x14:cfRule>
          <xm:sqref>G50</xm:sqref>
        </x14:conditionalFormatting>
        <x14:conditionalFormatting xmlns:xm="http://schemas.microsoft.com/office/excel/2006/main">
          <x14:cfRule type="expression" priority="543" id="{15C7ACD0-3DE2-384F-B441-D9FDAEDB58C2}">
            <xm:f>IF((LEFT(G27,FIND("~",SUBSTITUTE(G27,".","~",3))-1))=(LEFT('Hosts and Networks'!D7,FIND("~",SUBSTITUTE('Hosts and Networks'!D7,".","~",3))-1)),FALSE,TRUE)</xm:f>
            <x14:dxf>
              <font>
                <b/>
                <i val="0"/>
                <color rgb="FF9C0006"/>
              </font>
              <fill>
                <patternFill>
                  <bgColor theme="5" tint="0.59996337778862885"/>
                </patternFill>
              </fill>
            </x14:dxf>
          </x14:cfRule>
          <xm:sqref>G27</xm:sqref>
        </x14:conditionalFormatting>
        <x14:conditionalFormatting xmlns:xm="http://schemas.microsoft.com/office/excel/2006/main">
          <x14:cfRule type="expression" priority="12" id="{231C37D3-C5B0-244B-A32B-77509165DCC2}">
            <xm:f>IF((LEFT(G115,FIND("~",SUBSTITUTE(G115,".","~",3))-1))=(LEFT('Hosts and Networks'!D7,FIND("~",SUBSTITUTE('Hosts and Networks'!D7,".","~",3))-1)),FALSE,TRUE)</xm:f>
            <x14:dxf>
              <font>
                <b/>
                <i val="0"/>
                <color rgb="FF9C0006"/>
              </font>
              <fill>
                <patternFill>
                  <bgColor theme="5" tint="0.59996337778862885"/>
                </patternFill>
              </fill>
            </x14:dxf>
          </x14:cfRule>
          <xm:sqref>G115</xm:sqref>
        </x14:conditionalFormatting>
        <x14:conditionalFormatting xmlns:xm="http://schemas.microsoft.com/office/excel/2006/main">
          <x14:cfRule type="expression" priority="1" id="{2A873F14-275F-794D-9A8C-ECF6B4EB8C72}">
            <xm:f>IF((LEFT(G151,FIND("~",SUBSTITUTE(G151,".","~",3))-1))=(LEFT('Hosts and Networks'!D7,FIND("~",SUBSTITUTE('Hosts and Networks'!D7,".","~",3))-1)),FALSE,TRUE)</xm:f>
            <x14:dxf>
              <font>
                <b/>
                <i val="0"/>
                <color rgb="FF9C0006"/>
              </font>
              <fill>
                <patternFill>
                  <bgColor theme="5" tint="0.59996337778862885"/>
                </patternFill>
              </fill>
            </x14:dxf>
          </x14:cfRule>
          <xm:sqref>G151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J35"/>
  <sheetViews>
    <sheetView showGridLines="0" zoomScaleNormal="100" zoomScalePageLayoutView="117" workbookViewId="0">
      <pane ySplit="4" topLeftCell="A5" activePane="bottomLeft" state="frozen"/>
      <selection pane="bottomLeft" activeCell="C21" sqref="C21"/>
    </sheetView>
  </sheetViews>
  <sheetFormatPr baseColWidth="10" defaultColWidth="8.83203125" defaultRowHeight="14"/>
  <cols>
    <col min="1" max="1" width="1.5" style="216" customWidth="1"/>
    <col min="2" max="2" width="35.6640625" style="216" customWidth="1"/>
    <col min="3" max="3" width="34.83203125" style="216" customWidth="1"/>
    <col min="4" max="4" width="2.6640625" style="216" customWidth="1"/>
    <col min="5" max="5" width="35.6640625" style="216" customWidth="1"/>
    <col min="6" max="6" width="14.6640625" style="216" customWidth="1"/>
    <col min="7" max="7" width="17.33203125" style="216" customWidth="1"/>
    <col min="8" max="9" width="14.6640625" style="216" customWidth="1"/>
    <col min="10" max="10" width="25.6640625" style="216" customWidth="1"/>
    <col min="11" max="16384" width="8.83203125" style="216"/>
  </cols>
  <sheetData>
    <row r="1" spans="2:10" ht="48" customHeight="1">
      <c r="B1" s="215"/>
      <c r="C1" s="216" t="s">
        <v>5</v>
      </c>
    </row>
    <row r="2" spans="2:10" ht="2" customHeight="1" thickBot="1">
      <c r="B2" s="215"/>
    </row>
    <row r="3" spans="2:10" ht="46" customHeight="1" thickBot="1">
      <c r="B3" s="332" t="s">
        <v>1030</v>
      </c>
      <c r="C3" s="447"/>
      <c r="D3" s="447"/>
      <c r="E3" s="447"/>
      <c r="F3" s="447"/>
      <c r="G3" s="447"/>
      <c r="H3" s="447"/>
      <c r="I3" s="447"/>
      <c r="J3" s="448"/>
    </row>
    <row r="4" spans="2:10" s="218" customFormat="1" ht="2" customHeight="1">
      <c r="B4" s="217"/>
    </row>
    <row r="5" spans="2:10" ht="20">
      <c r="B5" s="445" t="s">
        <v>1076</v>
      </c>
      <c r="C5" s="446"/>
      <c r="D5" s="446"/>
      <c r="E5" s="446"/>
      <c r="F5" s="446"/>
      <c r="G5" s="446"/>
      <c r="H5" s="446"/>
      <c r="I5" s="446"/>
      <c r="J5" s="446"/>
    </row>
    <row r="6" spans="2:10" s="219" customFormat="1" ht="16" customHeight="1"/>
    <row r="7" spans="2:10" s="219" customFormat="1" ht="16" customHeight="1">
      <c r="B7" s="220" t="s">
        <v>317</v>
      </c>
      <c r="C7" s="221" t="s">
        <v>32</v>
      </c>
      <c r="E7" s="220" t="s">
        <v>370</v>
      </c>
      <c r="F7" s="387" t="s">
        <v>32</v>
      </c>
      <c r="G7" s="389"/>
      <c r="H7" s="389"/>
    </row>
    <row r="8" spans="2:10" s="219" customFormat="1" ht="16" customHeight="1">
      <c r="B8" s="220" t="s">
        <v>318</v>
      </c>
      <c r="C8" s="207" t="s">
        <v>1362</v>
      </c>
      <c r="E8" s="222" t="s">
        <v>307</v>
      </c>
      <c r="F8" s="413" t="s">
        <v>417</v>
      </c>
      <c r="G8" s="414"/>
      <c r="H8" s="414"/>
    </row>
    <row r="9" spans="2:10" s="219" customFormat="1" ht="16" customHeight="1">
      <c r="B9" s="220" t="s">
        <v>319</v>
      </c>
      <c r="C9" s="207" t="s">
        <v>1363</v>
      </c>
      <c r="E9" s="222" t="s">
        <v>308</v>
      </c>
      <c r="F9" s="413" t="s">
        <v>316</v>
      </c>
      <c r="G9" s="414"/>
      <c r="H9" s="414"/>
    </row>
    <row r="10" spans="2:10" s="219" customFormat="1" ht="16" customHeight="1">
      <c r="B10" s="220" t="s">
        <v>320</v>
      </c>
      <c r="C10" s="224" t="str">
        <f>C11&amp;"@vsphere.local"</f>
        <v>vra-LocalDefaultAdmin@vsphere.local</v>
      </c>
      <c r="E10" s="222" t="s">
        <v>309</v>
      </c>
      <c r="F10" s="413" t="s">
        <v>314</v>
      </c>
      <c r="G10" s="414"/>
      <c r="H10" s="414"/>
    </row>
    <row r="11" spans="2:10" s="219" customFormat="1" ht="16" customHeight="1">
      <c r="B11" s="220" t="s">
        <v>23</v>
      </c>
      <c r="C11" s="211" t="str">
        <f>C8&amp;C9</f>
        <v>vra-LocalDefaultAdmin</v>
      </c>
      <c r="E11" s="222" t="s">
        <v>310</v>
      </c>
      <c r="F11" s="413" t="s">
        <v>315</v>
      </c>
      <c r="G11" s="414"/>
      <c r="H11" s="414"/>
    </row>
    <row r="12" spans="2:10" s="219" customFormat="1" ht="16" customHeight="1">
      <c r="B12" s="220" t="s">
        <v>321</v>
      </c>
      <c r="C12" s="207" t="s">
        <v>16</v>
      </c>
      <c r="E12" s="222" t="s">
        <v>311</v>
      </c>
      <c r="F12" s="413" t="s">
        <v>443</v>
      </c>
      <c r="G12" s="414"/>
      <c r="H12" s="414"/>
    </row>
    <row r="13" spans="2:10" s="219" customFormat="1" ht="16" customHeight="1">
      <c r="E13" s="222" t="s">
        <v>312</v>
      </c>
      <c r="F13" s="408" t="s">
        <v>898</v>
      </c>
      <c r="G13" s="414"/>
      <c r="H13" s="414"/>
    </row>
    <row r="14" spans="2:10" s="219" customFormat="1" ht="16" customHeight="1">
      <c r="B14" s="220" t="s">
        <v>255</v>
      </c>
      <c r="C14" s="221" t="s">
        <v>32</v>
      </c>
      <c r="E14" s="222" t="s">
        <v>313</v>
      </c>
      <c r="F14" s="408" t="s">
        <v>899</v>
      </c>
      <c r="G14" s="414"/>
      <c r="H14" s="414"/>
    </row>
    <row r="15" spans="2:10" s="219" customFormat="1" ht="16" customHeight="1">
      <c r="B15" s="222" t="s">
        <v>266</v>
      </c>
      <c r="C15" s="207" t="s">
        <v>417</v>
      </c>
    </row>
    <row r="16" spans="2:10" s="219" customFormat="1" ht="15" customHeight="1">
      <c r="B16" s="222" t="s">
        <v>267</v>
      </c>
      <c r="C16" s="207" t="s">
        <v>418</v>
      </c>
      <c r="E16" s="220" t="s">
        <v>347</v>
      </c>
      <c r="F16" s="387" t="s">
        <v>32</v>
      </c>
      <c r="G16" s="423"/>
    </row>
    <row r="17" spans="2:7" s="219" customFormat="1" ht="15" customHeight="1">
      <c r="B17" s="222" t="s">
        <v>268</v>
      </c>
      <c r="C17" s="224" t="str">
        <f>LOWER('Users and Groups'!B52&amp;"@"&amp;'Deploy Parameters'!J6)</f>
        <v>vra-admin-rainpole@rainpole.local</v>
      </c>
      <c r="E17" s="222" t="s">
        <v>348</v>
      </c>
      <c r="F17" s="427" t="str">
        <f>'Deploy Parameters'!J23&amp;"-fabric-group"</f>
        <v>sfo01-fabric-group</v>
      </c>
      <c r="G17" s="391"/>
    </row>
    <row r="18" spans="2:7" s="219" customFormat="1" ht="15" customHeight="1"/>
    <row r="19" spans="2:7" s="219" customFormat="1" ht="15" customHeight="1">
      <c r="B19" s="220" t="str">
        <f>"Tenant Local User - "&amp;C15</f>
        <v>Tenant Local User - Rainpole</v>
      </c>
      <c r="C19" s="221" t="s">
        <v>32</v>
      </c>
    </row>
    <row r="20" spans="2:7" s="219" customFormat="1" ht="15" customHeight="1">
      <c r="B20" s="222" t="s">
        <v>318</v>
      </c>
      <c r="C20" s="207" t="s">
        <v>1362</v>
      </c>
    </row>
    <row r="21" spans="2:7" s="219" customFormat="1" ht="15" customHeight="1">
      <c r="B21" s="222" t="s">
        <v>319</v>
      </c>
      <c r="C21" s="207" t="s">
        <v>1364</v>
      </c>
    </row>
    <row r="22" spans="2:7" s="219" customFormat="1" ht="15" customHeight="1">
      <c r="B22" s="222" t="s">
        <v>320</v>
      </c>
      <c r="C22" s="224" t="str">
        <f>C23&amp;"@vsphere.local"</f>
        <v>vra-LocalRainpoleAdmin@vsphere.local</v>
      </c>
    </row>
    <row r="23" spans="2:7" s="219" customFormat="1" ht="15" customHeight="1">
      <c r="B23" s="222" t="s">
        <v>23</v>
      </c>
      <c r="C23" s="211" t="str">
        <f>C20&amp;C21</f>
        <v>vra-LocalRainpoleAdmin</v>
      </c>
    </row>
    <row r="24" spans="2:7" s="219" customFormat="1" ht="15" customHeight="1">
      <c r="B24" s="222" t="s">
        <v>321</v>
      </c>
      <c r="C24" s="207" t="s">
        <v>16</v>
      </c>
    </row>
    <row r="25" spans="2:7" s="219" customFormat="1" ht="15" customHeight="1"/>
    <row r="26" spans="2:7" s="219" customFormat="1" ht="15" customHeight="1">
      <c r="B26" s="220" t="s">
        <v>396</v>
      </c>
      <c r="C26" s="221" t="s">
        <v>32</v>
      </c>
      <c r="E26" s="220" t="s">
        <v>397</v>
      </c>
      <c r="F26" s="387" t="s">
        <v>32</v>
      </c>
      <c r="G26" s="423"/>
    </row>
    <row r="27" spans="2:7" s="219" customFormat="1" ht="15" customHeight="1">
      <c r="B27" s="222" t="s">
        <v>301</v>
      </c>
      <c r="C27" s="211" t="str">
        <f>C15&amp;"-Inbound"</f>
        <v>Rainpole-Inbound</v>
      </c>
      <c r="E27" s="222" t="s">
        <v>302</v>
      </c>
      <c r="F27" s="390" t="str">
        <f>C15&amp;"-Outbound"</f>
        <v>Rainpole-Outbound</v>
      </c>
      <c r="G27" s="391"/>
    </row>
    <row r="28" spans="2:7" s="219" customFormat="1" ht="15" customHeight="1">
      <c r="B28" s="222" t="s">
        <v>398</v>
      </c>
      <c r="C28" s="224" t="str">
        <f>'Deploy Parameters'!F17</f>
        <v>smtp.rainpole.local</v>
      </c>
      <c r="E28" s="222" t="s">
        <v>407</v>
      </c>
      <c r="F28" s="391" t="str">
        <f>'Deploy Parameters'!F17</f>
        <v>smtp.rainpole.local</v>
      </c>
      <c r="G28" s="391"/>
    </row>
    <row r="29" spans="2:7" s="219" customFormat="1" ht="15" customHeight="1">
      <c r="B29" s="222" t="s">
        <v>401</v>
      </c>
      <c r="C29" s="225">
        <v>143</v>
      </c>
      <c r="E29" s="222" t="s">
        <v>406</v>
      </c>
      <c r="F29" s="411">
        <v>25</v>
      </c>
      <c r="G29" s="411"/>
    </row>
    <row r="30" spans="2:7" s="219" customFormat="1" ht="15" customHeight="1">
      <c r="B30" s="222" t="s">
        <v>402</v>
      </c>
      <c r="C30" s="225" t="s">
        <v>403</v>
      </c>
      <c r="E30" s="222" t="s">
        <v>408</v>
      </c>
      <c r="F30" s="449" t="s">
        <v>211</v>
      </c>
      <c r="G30" s="449"/>
    </row>
    <row r="31" spans="2:7" s="219" customFormat="1" ht="15" customHeight="1">
      <c r="B31" s="222" t="s">
        <v>404</v>
      </c>
      <c r="C31" s="226" t="s">
        <v>211</v>
      </c>
      <c r="E31" s="222" t="s">
        <v>409</v>
      </c>
      <c r="F31" s="411" t="s">
        <v>352</v>
      </c>
      <c r="G31" s="411"/>
    </row>
    <row r="32" spans="2:7" s="219" customFormat="1" ht="15" customHeight="1">
      <c r="B32" s="222" t="s">
        <v>405</v>
      </c>
      <c r="C32" s="226" t="s">
        <v>211</v>
      </c>
      <c r="E32" s="222" t="s">
        <v>400</v>
      </c>
      <c r="F32" s="450" t="str">
        <f>LOWER('Users and Groups'!B52&amp;"@"&amp;'Deploy Parameters'!J6)</f>
        <v>vra-admin-rainpole@rainpole.local</v>
      </c>
      <c r="G32" s="450"/>
    </row>
    <row r="33" spans="2:7" s="219" customFormat="1" ht="15" customHeight="1">
      <c r="B33" s="222" t="s">
        <v>399</v>
      </c>
      <c r="C33" s="227" t="str">
        <f>LOWER('Users and Groups'!B52&amp;"@"&amp;'Deploy Parameters'!J6)</f>
        <v>vra-admin-rainpole@rainpole.local</v>
      </c>
      <c r="E33" s="222" t="s">
        <v>305</v>
      </c>
      <c r="F33" s="450" t="str">
        <f>LOWER('Users and Groups'!B52&amp;"@"&amp;'Deploy Parameters'!J6)</f>
        <v>vra-admin-rainpole@rainpole.local</v>
      </c>
      <c r="G33" s="450"/>
    </row>
    <row r="34" spans="2:7" s="219" customFormat="1" ht="15" customHeight="1">
      <c r="B34" s="222" t="s">
        <v>303</v>
      </c>
      <c r="C34" s="227" t="str">
        <f>LOWER('Users and Groups'!B52&amp;"@"&amp;'Deploy Parameters'!J6)</f>
        <v>vra-admin-rainpole@rainpole.local</v>
      </c>
      <c r="E34" s="222" t="s">
        <v>306</v>
      </c>
      <c r="F34" s="410" t="s">
        <v>16</v>
      </c>
      <c r="G34" s="411"/>
    </row>
    <row r="35" spans="2:7" s="219" customFormat="1" ht="15" customHeight="1">
      <c r="B35" s="222" t="s">
        <v>304</v>
      </c>
      <c r="C35" s="208" t="s">
        <v>16</v>
      </c>
    </row>
  </sheetData>
  <sheetProtection sheet="1" objects="1" scenarios="1"/>
  <mergeCells count="21">
    <mergeCell ref="F27:G27"/>
    <mergeCell ref="F32:G32"/>
    <mergeCell ref="F33:G33"/>
    <mergeCell ref="F13:H13"/>
    <mergeCell ref="F28:G28"/>
    <mergeCell ref="B5:J5"/>
    <mergeCell ref="F14:H14"/>
    <mergeCell ref="F34:G34"/>
    <mergeCell ref="B3:J3"/>
    <mergeCell ref="F16:G16"/>
    <mergeCell ref="F17:G17"/>
    <mergeCell ref="F7:H7"/>
    <mergeCell ref="F8:H8"/>
    <mergeCell ref="F9:H9"/>
    <mergeCell ref="F10:H10"/>
    <mergeCell ref="F11:H11"/>
    <mergeCell ref="F12:H12"/>
    <mergeCell ref="F29:G29"/>
    <mergeCell ref="F30:G30"/>
    <mergeCell ref="F31:G31"/>
    <mergeCell ref="F26:G26"/>
  </mergeCells>
  <conditionalFormatting sqref="B5">
    <cfRule type="cellIs" dxfId="24" priority="14" operator="equal">
      <formula>"✓"</formula>
    </cfRule>
  </conditionalFormatting>
  <conditionalFormatting sqref="C27:C30">
    <cfRule type="containsText" dxfId="23" priority="7" operator="containsText" text="n/a">
      <formula>NOT(ISERROR(SEARCH("n/a",C27)))</formula>
    </cfRule>
  </conditionalFormatting>
  <conditionalFormatting sqref="C33:C35">
    <cfRule type="containsText" dxfId="22" priority="5" operator="containsText" text="n/a">
      <formula>NOT(ISERROR(SEARCH("n/a",C33)))</formula>
    </cfRule>
  </conditionalFormatting>
  <conditionalFormatting sqref="F27:G29">
    <cfRule type="containsText" dxfId="21" priority="4" operator="containsText" text="n/a">
      <formula>NOT(ISERROR(SEARCH("n/a",F27)))</formula>
    </cfRule>
  </conditionalFormatting>
  <conditionalFormatting sqref="F32:G34">
    <cfRule type="top10" dxfId="20" priority="3" rank="10"/>
  </conditionalFormatting>
  <dataValidations count="4">
    <dataValidation type="list" allowBlank="1" showInputMessage="1" showErrorMessage="1" sqref="C30" xr:uid="{00000000-0002-0000-0500-000001000000}">
      <formula1>"IMAP,POP"</formula1>
    </dataValidation>
    <dataValidation type="list" allowBlank="1" showInputMessage="1" showErrorMessage="1" sqref="C31:C32 F30" xr:uid="{00000000-0002-0000-0500-000002000000}">
      <formula1>"true,false"</formula1>
    </dataValidation>
    <dataValidation type="list" allowBlank="1" showInputMessage="1" showErrorMessage="1" sqref="F31" xr:uid="{00000000-0002-0000-0500-000003000000}">
      <formula1>"Use SSL,Use TLS,None"</formula1>
    </dataValidation>
    <dataValidation allowBlank="1" showInputMessage="1" showErrorMessage="1" promptTitle="Tenant URL" prompt="The value provided in this cell will be the syntax needed to login to the vRealize Automation UI. Example: https://vra01svr01.rainpole.local/vcac/org/rainpole._x000a__x000a_NOTE: This is case sensitive" sqref="C16" xr:uid="{40B2F55A-F636-CB49-821E-1A5034FFE2A1}"/>
  </dataValidations>
  <hyperlinks>
    <hyperlink ref="F13" r:id="rId1" display="https://www.sddc.local" xr:uid="{00000000-0004-0000-0500-000002000000}"/>
    <hyperlink ref="F14" r:id="rId2" display="https://www.sddc.local/contact" xr:uid="{00000000-0004-0000-0500-000003000000}"/>
  </hyperlinks>
  <printOptions horizontalCentered="1"/>
  <pageMargins left="0.5" right="0.5" top="0.5" bottom="0.5" header="0.25" footer="0.25"/>
  <pageSetup orientation="portrait" r:id="rId3"/>
  <headerFooter alignWithMargins="0">
    <oddFooter>&amp;L&amp;8http://www.vertex42.com/ExcelTemplates/spring-cleaning-checklist.html</oddFooter>
  </headerFooter>
  <ignoredErrors>
    <ignoredError sqref="C10:C11 C17 F17 C22:C23 C27:C35 F27:G34" unlockedFormula="1"/>
  </ignoredErrors>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F153"/>
  <sheetViews>
    <sheetView zoomScaleNormal="100" zoomScalePageLayoutView="117" workbookViewId="0">
      <pane ySplit="3" topLeftCell="A4" activePane="bottomLeft" state="frozen"/>
      <selection pane="bottomLeft" activeCell="F19" sqref="F19"/>
    </sheetView>
  </sheetViews>
  <sheetFormatPr baseColWidth="10" defaultColWidth="8.83203125" defaultRowHeight="13"/>
  <cols>
    <col min="1" max="1" width="2.6640625" style="245" customWidth="1"/>
    <col min="2" max="2" width="60.83203125" style="245" customWidth="1"/>
    <col min="3" max="3" width="32.6640625" style="245" customWidth="1"/>
    <col min="4" max="4" width="2.6640625" style="245" customWidth="1"/>
    <col min="5" max="5" width="63" style="245" customWidth="1"/>
    <col min="6" max="6" width="32.6640625" style="245" customWidth="1"/>
    <col min="7" max="16384" width="8.83203125" style="245"/>
  </cols>
  <sheetData>
    <row r="1" spans="2:6" s="230" customFormat="1" ht="48" customHeight="1">
      <c r="B1" s="228"/>
      <c r="C1" s="229"/>
      <c r="D1" s="230" t="s">
        <v>5</v>
      </c>
    </row>
    <row r="2" spans="2:6" s="230" customFormat="1" ht="4" customHeight="1" thickBot="1">
      <c r="B2" s="228"/>
      <c r="C2" s="229"/>
    </row>
    <row r="3" spans="2:6" s="230" customFormat="1" ht="65" customHeight="1" thickBot="1">
      <c r="B3" s="332" t="s">
        <v>1102</v>
      </c>
      <c r="C3" s="453"/>
      <c r="D3" s="453"/>
      <c r="E3" s="453"/>
      <c r="F3" s="454"/>
    </row>
    <row r="4" spans="2:6" s="232" customFormat="1" ht="4" customHeight="1">
      <c r="B4" s="231"/>
      <c r="C4" s="231"/>
    </row>
    <row r="5" spans="2:6" s="235" customFormat="1" ht="20">
      <c r="B5" s="233" t="s">
        <v>1099</v>
      </c>
      <c r="C5" s="234"/>
      <c r="D5" s="234"/>
      <c r="E5" s="234"/>
      <c r="F5" s="234"/>
    </row>
    <row r="6" spans="2:6" s="235" customFormat="1"/>
    <row r="7" spans="2:6" s="238" customFormat="1" ht="20" customHeight="1">
      <c r="B7" s="236" t="s">
        <v>1103</v>
      </c>
      <c r="C7" s="237"/>
      <c r="E7" s="239" t="s">
        <v>958</v>
      </c>
      <c r="F7" s="240"/>
    </row>
    <row r="8" spans="2:6" s="238" customFormat="1" ht="16" customHeight="1">
      <c r="B8" s="241" t="s">
        <v>872</v>
      </c>
      <c r="C8" s="242"/>
      <c r="E8" s="220" t="s">
        <v>1241</v>
      </c>
      <c r="F8" s="246" t="s">
        <v>1072</v>
      </c>
    </row>
    <row r="9" spans="2:6" s="238" customFormat="1" ht="16" customHeight="1">
      <c r="B9" s="243" t="s">
        <v>946</v>
      </c>
      <c r="C9" s="246" t="s">
        <v>1104</v>
      </c>
      <c r="E9" s="220" t="s">
        <v>1242</v>
      </c>
      <c r="F9" s="246" t="s">
        <v>1072</v>
      </c>
    </row>
    <row r="10" spans="2:6" s="238" customFormat="1" ht="16" customHeight="1">
      <c r="B10" s="243" t="s">
        <v>6</v>
      </c>
      <c r="C10" s="246" t="s">
        <v>1104</v>
      </c>
    </row>
    <row r="11" spans="2:6" s="238" customFormat="1" ht="16" customHeight="1">
      <c r="B11" s="243" t="s">
        <v>31</v>
      </c>
      <c r="C11" s="246" t="s">
        <v>1104</v>
      </c>
      <c r="E11" s="220" t="s">
        <v>959</v>
      </c>
      <c r="F11" s="246" t="s">
        <v>1072</v>
      </c>
    </row>
    <row r="12" spans="2:6" s="238" customFormat="1" ht="16" customHeight="1">
      <c r="B12" s="243" t="s">
        <v>1158</v>
      </c>
      <c r="C12" s="246" t="s">
        <v>1104</v>
      </c>
      <c r="E12" s="220" t="s">
        <v>1106</v>
      </c>
      <c r="F12" s="246" t="s">
        <v>1072</v>
      </c>
    </row>
    <row r="13" spans="2:6" s="238" customFormat="1" ht="16" customHeight="1">
      <c r="B13" s="241" t="s">
        <v>866</v>
      </c>
      <c r="C13" s="242"/>
      <c r="E13" s="220" t="s">
        <v>1107</v>
      </c>
      <c r="F13" s="246" t="s">
        <v>1072</v>
      </c>
    </row>
    <row r="14" spans="2:6" s="238" customFormat="1" ht="16" customHeight="1">
      <c r="B14" s="243" t="s">
        <v>4</v>
      </c>
      <c r="C14" s="246" t="s">
        <v>1104</v>
      </c>
      <c r="E14" s="220" t="s">
        <v>1165</v>
      </c>
      <c r="F14" s="246" t="s">
        <v>1072</v>
      </c>
    </row>
    <row r="15" spans="2:6" s="238" customFormat="1" ht="16" customHeight="1">
      <c r="B15" s="243" t="s">
        <v>960</v>
      </c>
      <c r="C15" s="246" t="s">
        <v>1104</v>
      </c>
    </row>
    <row r="16" spans="2:6" s="238" customFormat="1" ht="16" customHeight="1">
      <c r="B16" s="241" t="s">
        <v>873</v>
      </c>
      <c r="C16" s="242"/>
      <c r="E16" s="220" t="s">
        <v>1105</v>
      </c>
      <c r="F16" s="246" t="s">
        <v>1072</v>
      </c>
    </row>
    <row r="17" spans="2:6" s="238" customFormat="1" ht="16" customHeight="1">
      <c r="B17" s="243" t="s">
        <v>977</v>
      </c>
      <c r="C17" s="246" t="s">
        <v>1104</v>
      </c>
      <c r="E17" s="220" t="s">
        <v>1119</v>
      </c>
      <c r="F17" s="246" t="s">
        <v>1072</v>
      </c>
    </row>
    <row r="18" spans="2:6" s="238" customFormat="1" ht="16" customHeight="1"/>
    <row r="19" spans="2:6" s="238" customFormat="1" ht="16" customHeight="1">
      <c r="E19" s="220" t="s">
        <v>1082</v>
      </c>
      <c r="F19" s="246" t="s">
        <v>1104</v>
      </c>
    </row>
    <row r="20" spans="2:6" s="238" customFormat="1" ht="16" customHeight="1"/>
    <row r="21" spans="2:6" s="238" customFormat="1" ht="20" customHeight="1">
      <c r="B21" s="324" t="s">
        <v>1243</v>
      </c>
      <c r="C21" s="324"/>
      <c r="D21" s="324"/>
      <c r="E21" s="324"/>
      <c r="F21" s="324"/>
    </row>
    <row r="22" spans="2:6" s="235" customFormat="1" ht="16" customHeight="1"/>
    <row r="23" spans="2:6" s="238" customFormat="1" ht="16" customHeight="1">
      <c r="B23" s="220" t="s">
        <v>1100</v>
      </c>
      <c r="C23" s="207" t="s">
        <v>489</v>
      </c>
      <c r="E23" s="451" t="s">
        <v>1117</v>
      </c>
      <c r="F23" s="452"/>
    </row>
    <row r="24" spans="2:6" s="238" customFormat="1" ht="16" customHeight="1">
      <c r="B24" s="220" t="s">
        <v>1101</v>
      </c>
      <c r="C24" s="207" t="s">
        <v>490</v>
      </c>
      <c r="E24" s="220" t="s">
        <v>1111</v>
      </c>
      <c r="F24" s="207" t="s">
        <v>490</v>
      </c>
    </row>
    <row r="25" spans="2:6" s="238" customFormat="1" ht="16" customHeight="1">
      <c r="B25" s="244"/>
      <c r="C25" s="231"/>
      <c r="E25" s="220" t="s">
        <v>1112</v>
      </c>
      <c r="F25" s="207" t="s">
        <v>490</v>
      </c>
    </row>
    <row r="26" spans="2:6" s="238" customFormat="1" ht="16" customHeight="1">
      <c r="B26" s="220" t="s">
        <v>1020</v>
      </c>
      <c r="C26" s="207" t="s">
        <v>491</v>
      </c>
      <c r="E26" s="220" t="s">
        <v>1110</v>
      </c>
      <c r="F26" s="207" t="s">
        <v>490</v>
      </c>
    </row>
    <row r="27" spans="2:6" s="238" customFormat="1" ht="16" customHeight="1">
      <c r="E27" s="220" t="s">
        <v>1109</v>
      </c>
      <c r="F27" s="207" t="s">
        <v>490</v>
      </c>
    </row>
    <row r="28" spans="2:6" s="238" customFormat="1" ht="16" customHeight="1">
      <c r="B28" s="220" t="s">
        <v>1062</v>
      </c>
      <c r="C28" s="207" t="s">
        <v>491</v>
      </c>
    </row>
    <row r="29" spans="2:6" s="238" customFormat="1" ht="16" customHeight="1">
      <c r="B29" s="220" t="s">
        <v>1063</v>
      </c>
      <c r="C29" s="207" t="s">
        <v>492</v>
      </c>
      <c r="E29" s="451" t="s">
        <v>1118</v>
      </c>
      <c r="F29" s="452"/>
    </row>
    <row r="30" spans="2:6" s="238" customFormat="1" ht="16" customHeight="1">
      <c r="E30" s="220" t="s">
        <v>1113</v>
      </c>
      <c r="F30" s="207" t="s">
        <v>490</v>
      </c>
    </row>
    <row r="31" spans="2:6" s="238" customFormat="1" ht="16" customHeight="1">
      <c r="E31" s="220" t="s">
        <v>1114</v>
      </c>
      <c r="F31" s="207" t="s">
        <v>490</v>
      </c>
    </row>
    <row r="32" spans="2:6" s="238" customFormat="1" ht="16" customHeight="1">
      <c r="E32" s="220" t="s">
        <v>1115</v>
      </c>
      <c r="F32" s="207" t="s">
        <v>490</v>
      </c>
    </row>
    <row r="33" spans="5:6" s="238" customFormat="1" ht="16" customHeight="1">
      <c r="E33" s="220" t="s">
        <v>1116</v>
      </c>
      <c r="F33" s="207" t="s">
        <v>490</v>
      </c>
    </row>
    <row r="34" spans="5:6" s="235" customFormat="1"/>
    <row r="35" spans="5:6" s="235" customFormat="1"/>
    <row r="36" spans="5:6" s="235" customFormat="1"/>
    <row r="37" spans="5:6" s="235" customFormat="1"/>
    <row r="38" spans="5:6" s="235" customFormat="1"/>
    <row r="39" spans="5:6" s="235" customFormat="1"/>
    <row r="40" spans="5:6" s="235" customFormat="1"/>
    <row r="41" spans="5:6" s="235" customFormat="1"/>
    <row r="42" spans="5:6" s="235" customFormat="1"/>
    <row r="43" spans="5:6" s="235" customFormat="1"/>
    <row r="44" spans="5:6" s="235" customFormat="1"/>
    <row r="45" spans="5:6" s="235" customFormat="1"/>
    <row r="46" spans="5:6" s="235" customFormat="1"/>
    <row r="47" spans="5:6" s="235" customFormat="1"/>
    <row r="48" spans="5:6" s="235" customFormat="1"/>
    <row r="49" s="235" customFormat="1"/>
    <row r="50" s="235" customFormat="1"/>
    <row r="51" s="235" customFormat="1"/>
    <row r="52" s="235" customFormat="1"/>
    <row r="53" s="235" customFormat="1"/>
    <row r="54" s="235" customFormat="1"/>
    <row r="55" s="235" customFormat="1"/>
    <row r="56" s="235" customFormat="1"/>
    <row r="57" s="235" customFormat="1"/>
    <row r="58" s="235" customFormat="1"/>
    <row r="59" s="235" customFormat="1"/>
    <row r="60" s="235" customFormat="1"/>
    <row r="61" s="235" customFormat="1"/>
    <row r="62" s="235" customFormat="1"/>
    <row r="63" s="235" customFormat="1"/>
    <row r="64" s="235" customFormat="1"/>
    <row r="65" s="235" customFormat="1"/>
    <row r="66" s="235" customFormat="1"/>
    <row r="67" s="235" customFormat="1"/>
    <row r="68" s="235" customFormat="1"/>
    <row r="69" s="235" customFormat="1"/>
    <row r="70" s="235" customFormat="1"/>
    <row r="71" s="235" customFormat="1"/>
    <row r="72" s="235" customFormat="1"/>
    <row r="73" s="235" customFormat="1"/>
    <row r="74" s="235" customFormat="1"/>
    <row r="75" s="235" customFormat="1"/>
    <row r="76" s="235" customFormat="1"/>
    <row r="77" s="235" customFormat="1"/>
    <row r="78" s="235" customFormat="1"/>
    <row r="79" s="235" customFormat="1"/>
    <row r="80" s="235" customFormat="1"/>
    <row r="81" s="235" customFormat="1"/>
    <row r="82" s="235" customFormat="1"/>
    <row r="83" s="235" customFormat="1"/>
    <row r="84" s="235" customFormat="1"/>
    <row r="85" s="235" customFormat="1"/>
    <row r="86" s="235" customFormat="1"/>
    <row r="87" s="235" customFormat="1"/>
    <row r="88" s="235" customFormat="1"/>
    <row r="89" s="235" customFormat="1"/>
    <row r="90" s="235" customFormat="1"/>
    <row r="91" s="235" customFormat="1"/>
    <row r="92" s="235" customFormat="1"/>
    <row r="93" s="235" customFormat="1"/>
    <row r="94" s="235" customFormat="1"/>
    <row r="95" s="235" customFormat="1"/>
    <row r="96" s="235" customFormat="1"/>
    <row r="97" s="235" customFormat="1"/>
    <row r="98" s="235" customFormat="1"/>
    <row r="99" s="235" customFormat="1"/>
    <row r="100" s="235" customFormat="1"/>
    <row r="101" s="235" customFormat="1"/>
    <row r="102" s="235" customFormat="1"/>
    <row r="103" s="235" customFormat="1"/>
    <row r="104" s="235" customFormat="1"/>
    <row r="105" s="235" customFormat="1"/>
    <row r="106" s="235" customFormat="1"/>
    <row r="107" s="235" customFormat="1"/>
    <row r="108" s="235" customFormat="1"/>
    <row r="109" s="235" customFormat="1"/>
    <row r="110" s="235" customFormat="1"/>
    <row r="111" s="235" customFormat="1"/>
    <row r="112" s="235" customFormat="1"/>
    <row r="113" s="235" customFormat="1"/>
    <row r="114" s="235" customFormat="1"/>
    <row r="115" s="235" customFormat="1"/>
    <row r="116" s="235" customFormat="1"/>
    <row r="117" s="235" customFormat="1"/>
    <row r="118" s="235" customFormat="1"/>
    <row r="119" s="235" customFormat="1"/>
    <row r="120" s="235" customFormat="1"/>
    <row r="121" s="235" customFormat="1"/>
    <row r="122" s="235" customFormat="1"/>
    <row r="123" s="235" customFormat="1"/>
    <row r="124" s="235" customFormat="1"/>
    <row r="125" s="235" customFormat="1"/>
    <row r="126" s="235" customFormat="1"/>
    <row r="127" s="235" customFormat="1"/>
    <row r="128" s="235" customFormat="1"/>
    <row r="129" s="235" customFormat="1"/>
    <row r="130" s="235" customFormat="1"/>
    <row r="131" s="235" customFormat="1"/>
    <row r="132" s="235" customFormat="1"/>
    <row r="133" s="235" customFormat="1"/>
    <row r="134" s="235" customFormat="1"/>
    <row r="135" s="235" customFormat="1"/>
    <row r="136" s="235" customFormat="1"/>
    <row r="137" s="235" customFormat="1"/>
    <row r="138" s="235" customFormat="1"/>
    <row r="139" s="235" customFormat="1"/>
    <row r="140" s="235" customFormat="1"/>
    <row r="141" s="235" customFormat="1"/>
    <row r="142" s="235" customFormat="1"/>
    <row r="143" s="235" customFormat="1"/>
    <row r="144" s="235" customFormat="1"/>
    <row r="145" s="235" customFormat="1"/>
    <row r="146" s="235" customFormat="1"/>
    <row r="147" s="235" customFormat="1"/>
    <row r="148" s="235" customFormat="1"/>
    <row r="149" s="235" customFormat="1"/>
    <row r="150" s="235" customFormat="1"/>
    <row r="151" s="235" customFormat="1"/>
    <row r="152" s="235" customFormat="1"/>
    <row r="153" s="235" customFormat="1"/>
  </sheetData>
  <sheetProtection sheet="1" objects="1" scenarios="1"/>
  <mergeCells count="3">
    <mergeCell ref="E23:F23"/>
    <mergeCell ref="E29:F29"/>
    <mergeCell ref="B3:F3"/>
  </mergeCells>
  <conditionalFormatting sqref="A36:A1048576 A5:A25">
    <cfRule type="containsText" dxfId="19" priority="11" operator="containsText" text="#">
      <formula>NOT(ISERROR(SEARCH("#",A5)))</formula>
    </cfRule>
  </conditionalFormatting>
  <conditionalFormatting sqref="C10">
    <cfRule type="expression" dxfId="18" priority="3">
      <formula>IF($C$9="No",IF($C$10="Yes", TRUE, FALSE),FALSE)</formula>
    </cfRule>
  </conditionalFormatting>
  <conditionalFormatting sqref="C14">
    <cfRule type="expression" dxfId="17" priority="2">
      <formula>IF($C$9="No",IF($C$14="Yes", TRUE, FALSE),FALSE)</formula>
    </cfRule>
  </conditionalFormatting>
  <conditionalFormatting sqref="C15">
    <cfRule type="expression" dxfId="16" priority="1">
      <formula>IF($C$9="No",IF($C$15="Yes", TRUE, FALSE),FALSE)</formula>
    </cfRule>
  </conditionalFormatting>
  <dataValidations count="12">
    <dataValidation type="list" allowBlank="1" showInputMessage="1" showErrorMessage="1" sqref="C28:C29" xr:uid="{00000000-0002-0000-0600-000000000000}">
      <formula1>"xsmall,small,medium,large"</formula1>
    </dataValidation>
    <dataValidation type="list" allowBlank="1" showInputMessage="1" showErrorMessage="1" sqref="C23:C24" xr:uid="{00000000-0002-0000-0600-000001000000}">
      <formula1>"tiny,small,medium,large"</formula1>
    </dataValidation>
    <dataValidation type="list" allowBlank="1" showInputMessage="1" showErrorMessage="1" sqref="F24:F27 F30:F33" xr:uid="{00000000-0002-0000-0600-000003000000}">
      <formula1>"compact,large,xlarge"</formula1>
    </dataValidation>
    <dataValidation type="list" allowBlank="1" showInputMessage="1" showErrorMessage="1" sqref="F19 C9 C11:C12 C17 F11:F14" xr:uid="{00000000-0002-0000-0600-000004000000}">
      <formula1>"Yes,No"</formula1>
    </dataValidation>
    <dataValidation type="list" allowBlank="1" showInputMessage="1" showErrorMessage="1" sqref="C29" xr:uid="{00000000-0002-0000-0600-000002000000}">
      <formula1>"smallrc,largerc"</formula1>
    </dataValidation>
    <dataValidation type="list" allowBlank="1" showInputMessage="1" showErrorMessage="1" promptTitle="vRealize Automation Tenant" prompt="Setting value to YES instructs Cloud Builder perform the vRealize Automation Tenant Configuration. Components such as Business Groups, Machine Prefixes and Reservations as they relate to the VVD will be configured. NOTE: This may not align to customer req" sqref="F16" xr:uid="{40BCA4B7-DE16-F24F-A9AB-C7A48921F986}">
      <formula1>"Yes,No"</formula1>
    </dataValidation>
    <dataValidation type="list" allowBlank="1" showInputMessage="1" showErrorMessage="1" sqref="C26" xr:uid="{05725249-423E-A74C-BCA8-96FB03C19F75}">
      <formula1>"small,medium,large"</formula1>
    </dataValidation>
    <dataValidation type="list" allowBlank="1" showInputMessage="1" showErrorMessage="1" promptTitle="vRealize Orchestrator" prompt="Setting value to YES instructs Cloud Builder to enable vRealize Orchestrator Multi-Tenacy support" sqref="F17" xr:uid="{85E45961-3B57-4340-94BA-ABA228520B87}">
      <formula1>"Yes,No"</formula1>
    </dataValidation>
    <dataValidation type="list" allowBlank="1" showInputMessage="1" showErrorMessage="1" promptTitle="vRealize Operations Manager" prompt="vRealize Operations Manager is deployed through vRealize Suite Lifecycle Manager, if you are not deploying vRealize Suite Lifecycle Manager then you cannot deply vRealize Operations Manager" sqref="C10" xr:uid="{8B430D6C-3CAE-DB49-9621-95361AEE4B85}">
      <formula1>"Yes,No"</formula1>
    </dataValidation>
    <dataValidation type="list" allowBlank="1" showInputMessage="1" showErrorMessage="1" promptTitle="vRealize Automation" prompt="vRealize Automation is deployed through vRealize Suite Lifecycle Manager, if you are not deploying vRealize Suite Lifecycle Manager then you cannot deply vRealize Automation" sqref="C14" xr:uid="{1F8031A1-8C2D-944F-911E-BAADB11EEEDA}">
      <formula1>"Yes,No"</formula1>
    </dataValidation>
    <dataValidation type="list" allowBlank="1" showInputMessage="1" showErrorMessage="1" promptTitle="vRealize Business for Cloud" prompt="vRealize Business for Cloud is deployed through vRealize Suite Lifecycle Manager, if you are not deploying vRealize Suite Lifecycle Manager then you cannot deply vRealize Business for Cloud" sqref="C15" xr:uid="{8C47148B-66A2-7547-B604-4D23C037E8DC}">
      <formula1>"Yes,No"</formula1>
    </dataValidation>
    <dataValidation type="list" allowBlank="1" showInputMessage="1" showErrorMessage="1" promptTitle="Deploy without a VSAN Datastore" prompt="If you want to deploy without a VSAN datastore you must ensure you meet the minimum requirements:_x000a_- Pre-existing datastore mounted such as NFS, Fibre Channel_x000a_- Minimum of 3 hosts" sqref="F8:F9" xr:uid="{537E14BA-0C03-7243-91C4-1B12F2C19594}">
      <formula1>"Yes,No"</formula1>
    </dataValidation>
  </dataValidations>
  <pageMargins left="0.7" right="0.7" top="0.75" bottom="0.75" header="0.3" footer="0.3"/>
  <pageSetup paperSize="9"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31"/>
  <sheetViews>
    <sheetView workbookViewId="0">
      <selection activeCell="M44" sqref="M44"/>
    </sheetView>
  </sheetViews>
  <sheetFormatPr baseColWidth="10" defaultColWidth="10.83203125" defaultRowHeight="15"/>
  <cols>
    <col min="1" max="1" width="27.6640625" style="25" customWidth="1"/>
    <col min="2" max="2" width="2.83203125" style="25" customWidth="1"/>
    <col min="3" max="3" width="13.1640625" style="29" customWidth="1"/>
    <col min="4" max="4" width="42.1640625" style="25" bestFit="1" customWidth="1"/>
    <col min="5" max="5" width="10.83203125" style="25"/>
    <col min="6" max="6" width="21.1640625" style="25" bestFit="1" customWidth="1"/>
    <col min="7" max="16384" width="10.83203125" style="25"/>
  </cols>
  <sheetData>
    <row r="1" spans="1:6">
      <c r="A1" s="24" t="s">
        <v>631</v>
      </c>
      <c r="C1" s="26" t="s">
        <v>830</v>
      </c>
      <c r="D1" s="27" t="s">
        <v>831</v>
      </c>
      <c r="F1" s="27" t="s">
        <v>1053</v>
      </c>
    </row>
    <row r="2" spans="1:6">
      <c r="A2" s="25" t="s">
        <v>624</v>
      </c>
      <c r="C2" s="28">
        <v>0</v>
      </c>
      <c r="D2" s="25" t="s">
        <v>755</v>
      </c>
      <c r="F2" s="25" t="s">
        <v>11</v>
      </c>
    </row>
    <row r="3" spans="1:6">
      <c r="A3" s="25" t="s">
        <v>625</v>
      </c>
      <c r="C3" s="28">
        <v>1</v>
      </c>
      <c r="D3" s="25" t="s">
        <v>756</v>
      </c>
      <c r="F3" s="25" t="s">
        <v>1040</v>
      </c>
    </row>
    <row r="4" spans="1:6">
      <c r="A4" s="25" t="s">
        <v>626</v>
      </c>
      <c r="C4" s="28">
        <v>2</v>
      </c>
      <c r="D4" s="25" t="s">
        <v>757</v>
      </c>
      <c r="F4" s="25" t="s">
        <v>1041</v>
      </c>
    </row>
    <row r="5" spans="1:6">
      <c r="A5" s="25" t="s">
        <v>627</v>
      </c>
      <c r="C5" s="28">
        <v>3</v>
      </c>
      <c r="D5" s="25" t="s">
        <v>758</v>
      </c>
      <c r="F5" s="25" t="s">
        <v>1042</v>
      </c>
    </row>
    <row r="6" spans="1:6">
      <c r="A6" s="25" t="s">
        <v>628</v>
      </c>
      <c r="C6" s="28">
        <v>4</v>
      </c>
      <c r="D6" s="25" t="s">
        <v>759</v>
      </c>
      <c r="F6" s="25" t="s">
        <v>1043</v>
      </c>
    </row>
    <row r="7" spans="1:6">
      <c r="A7" s="25" t="s">
        <v>629</v>
      </c>
      <c r="C7" s="28">
        <v>10</v>
      </c>
      <c r="D7" s="25" t="s">
        <v>760</v>
      </c>
      <c r="F7" s="25" t="s">
        <v>1044</v>
      </c>
    </row>
    <row r="8" spans="1:6">
      <c r="A8" s="25" t="s">
        <v>630</v>
      </c>
      <c r="C8" s="28">
        <v>13</v>
      </c>
      <c r="D8" s="25" t="s">
        <v>761</v>
      </c>
      <c r="F8" s="25" t="s">
        <v>1045</v>
      </c>
    </row>
    <row r="9" spans="1:6">
      <c r="A9" s="25" t="s">
        <v>632</v>
      </c>
      <c r="C9" s="28">
        <v>15</v>
      </c>
      <c r="D9" s="25" t="s">
        <v>762</v>
      </c>
      <c r="F9" s="25" t="s">
        <v>1046</v>
      </c>
    </row>
    <row r="10" spans="1:6">
      <c r="A10" s="25" t="s">
        <v>633</v>
      </c>
      <c r="C10" s="28">
        <v>20</v>
      </c>
      <c r="D10" s="25" t="s">
        <v>763</v>
      </c>
      <c r="F10" s="25" t="s">
        <v>1052</v>
      </c>
    </row>
    <row r="11" spans="1:6">
      <c r="A11" s="25" t="s">
        <v>634</v>
      </c>
      <c r="C11" s="28">
        <v>25</v>
      </c>
      <c r="D11" s="25" t="s">
        <v>764</v>
      </c>
      <c r="F11" s="25" t="s">
        <v>1047</v>
      </c>
    </row>
    <row r="12" spans="1:6">
      <c r="A12" s="25" t="s">
        <v>635</v>
      </c>
      <c r="C12" s="28">
        <v>30</v>
      </c>
      <c r="D12" s="25" t="s">
        <v>765</v>
      </c>
      <c r="F12" s="25" t="s">
        <v>1048</v>
      </c>
    </row>
    <row r="13" spans="1:6">
      <c r="A13" s="25" t="s">
        <v>636</v>
      </c>
      <c r="C13" s="28">
        <v>33</v>
      </c>
      <c r="D13" s="25" t="s">
        <v>766</v>
      </c>
      <c r="F13" s="25" t="s">
        <v>1049</v>
      </c>
    </row>
    <row r="14" spans="1:6">
      <c r="A14" s="25" t="s">
        <v>637</v>
      </c>
      <c r="C14" s="28">
        <v>35</v>
      </c>
      <c r="D14" s="25" t="s">
        <v>767</v>
      </c>
      <c r="F14" s="25" t="s">
        <v>1050</v>
      </c>
    </row>
    <row r="15" spans="1:6">
      <c r="A15" s="25" t="s">
        <v>638</v>
      </c>
      <c r="C15" s="28">
        <v>40</v>
      </c>
      <c r="D15" s="25" t="s">
        <v>768</v>
      </c>
      <c r="F15" s="25" t="s">
        <v>1051</v>
      </c>
    </row>
    <row r="16" spans="1:6">
      <c r="A16" s="25" t="s">
        <v>639</v>
      </c>
      <c r="C16" s="28">
        <v>45</v>
      </c>
      <c r="D16" s="25" t="s">
        <v>769</v>
      </c>
    </row>
    <row r="17" spans="1:4">
      <c r="A17" s="25" t="s">
        <v>640</v>
      </c>
      <c r="C17" s="28">
        <v>50</v>
      </c>
      <c r="D17" s="25" t="s">
        <v>770</v>
      </c>
    </row>
    <row r="18" spans="1:4">
      <c r="A18" s="25" t="s">
        <v>641</v>
      </c>
      <c r="C18" s="28">
        <v>55</v>
      </c>
      <c r="D18" s="25" t="s">
        <v>771</v>
      </c>
    </row>
    <row r="19" spans="1:4">
      <c r="A19" s="25" t="s">
        <v>642</v>
      </c>
      <c r="C19" s="28">
        <v>56</v>
      </c>
      <c r="D19" s="25" t="s">
        <v>772</v>
      </c>
    </row>
    <row r="20" spans="1:4">
      <c r="A20" s="25" t="s">
        <v>643</v>
      </c>
      <c r="C20" s="28">
        <v>60</v>
      </c>
      <c r="D20" s="25" t="s">
        <v>773</v>
      </c>
    </row>
    <row r="21" spans="1:4">
      <c r="A21" s="25" t="s">
        <v>644</v>
      </c>
      <c r="C21" s="28">
        <v>65</v>
      </c>
      <c r="D21" s="25" t="s">
        <v>774</v>
      </c>
    </row>
    <row r="22" spans="1:4">
      <c r="A22" s="25" t="s">
        <v>645</v>
      </c>
      <c r="C22" s="28">
        <v>70</v>
      </c>
      <c r="D22" s="25" t="s">
        <v>775</v>
      </c>
    </row>
    <row r="23" spans="1:4">
      <c r="A23" s="25" t="s">
        <v>646</v>
      </c>
      <c r="C23" s="28">
        <v>73</v>
      </c>
      <c r="D23" s="25" t="s">
        <v>776</v>
      </c>
    </row>
    <row r="24" spans="1:4">
      <c r="A24" s="25" t="s">
        <v>647</v>
      </c>
      <c r="C24" s="28">
        <v>75</v>
      </c>
      <c r="D24" s="25" t="s">
        <v>777</v>
      </c>
    </row>
    <row r="25" spans="1:4">
      <c r="A25" s="25" t="s">
        <v>648</v>
      </c>
      <c r="C25" s="28">
        <v>80</v>
      </c>
      <c r="D25" s="25" t="s">
        <v>778</v>
      </c>
    </row>
    <row r="26" spans="1:4">
      <c r="A26" s="25" t="s">
        <v>649</v>
      </c>
      <c r="C26" s="28">
        <v>83</v>
      </c>
      <c r="D26" s="25" t="s">
        <v>779</v>
      </c>
    </row>
    <row r="27" spans="1:4">
      <c r="A27" s="25" t="s">
        <v>650</v>
      </c>
      <c r="C27" s="28">
        <v>85</v>
      </c>
      <c r="D27" s="25" t="s">
        <v>780</v>
      </c>
    </row>
    <row r="28" spans="1:4">
      <c r="A28" s="25" t="s">
        <v>651</v>
      </c>
      <c r="C28" s="28">
        <v>90</v>
      </c>
      <c r="D28" s="25" t="s">
        <v>781</v>
      </c>
    </row>
    <row r="29" spans="1:4">
      <c r="A29" s="25" t="s">
        <v>652</v>
      </c>
      <c r="C29" s="28">
        <v>95</v>
      </c>
      <c r="D29" s="25" t="s">
        <v>782</v>
      </c>
    </row>
    <row r="30" spans="1:4">
      <c r="A30" s="25" t="s">
        <v>653</v>
      </c>
      <c r="C30" s="28">
        <v>100</v>
      </c>
      <c r="D30" s="25" t="s">
        <v>783</v>
      </c>
    </row>
    <row r="31" spans="1:4">
      <c r="A31" s="25" t="s">
        <v>654</v>
      </c>
      <c r="C31" s="28">
        <v>105</v>
      </c>
      <c r="D31" s="25" t="s">
        <v>784</v>
      </c>
    </row>
    <row r="32" spans="1:4">
      <c r="A32" s="25" t="s">
        <v>655</v>
      </c>
      <c r="C32" s="28">
        <v>110</v>
      </c>
      <c r="D32" s="25" t="s">
        <v>785</v>
      </c>
    </row>
    <row r="33" spans="1:4">
      <c r="A33" s="25" t="s">
        <v>656</v>
      </c>
      <c r="C33" s="28">
        <v>113</v>
      </c>
      <c r="D33" s="25" t="s">
        <v>786</v>
      </c>
    </row>
    <row r="34" spans="1:4">
      <c r="A34" s="25" t="s">
        <v>657</v>
      </c>
      <c r="C34" s="28">
        <v>115</v>
      </c>
      <c r="D34" s="25" t="s">
        <v>787</v>
      </c>
    </row>
    <row r="35" spans="1:4">
      <c r="A35" s="25" t="s">
        <v>658</v>
      </c>
      <c r="C35" s="28">
        <v>120</v>
      </c>
      <c r="D35" s="25" t="s">
        <v>788</v>
      </c>
    </row>
    <row r="36" spans="1:4">
      <c r="A36" s="25" t="s">
        <v>659</v>
      </c>
      <c r="C36" s="28">
        <v>125</v>
      </c>
      <c r="D36" s="25" t="s">
        <v>789</v>
      </c>
    </row>
    <row r="37" spans="1:4">
      <c r="A37" s="25" t="s">
        <v>660</v>
      </c>
      <c r="C37" s="28">
        <v>130</v>
      </c>
      <c r="D37" s="25" t="s">
        <v>790</v>
      </c>
    </row>
    <row r="38" spans="1:4">
      <c r="A38" s="25" t="s">
        <v>661</v>
      </c>
      <c r="C38" s="28">
        <v>135</v>
      </c>
      <c r="D38" s="25" t="s">
        <v>791</v>
      </c>
    </row>
    <row r="39" spans="1:4">
      <c r="A39" s="25" t="s">
        <v>662</v>
      </c>
      <c r="C39" s="28">
        <v>140</v>
      </c>
      <c r="D39" s="25" t="s">
        <v>792</v>
      </c>
    </row>
    <row r="40" spans="1:4">
      <c r="A40" s="25" t="s">
        <v>663</v>
      </c>
      <c r="C40" s="28">
        <v>145</v>
      </c>
      <c r="D40" s="25" t="s">
        <v>793</v>
      </c>
    </row>
    <row r="41" spans="1:4">
      <c r="A41" s="25" t="s">
        <v>664</v>
      </c>
      <c r="C41" s="28">
        <v>150</v>
      </c>
      <c r="D41" s="25" t="s">
        <v>794</v>
      </c>
    </row>
    <row r="42" spans="1:4">
      <c r="A42" s="25" t="s">
        <v>665</v>
      </c>
      <c r="C42" s="28">
        <v>155</v>
      </c>
      <c r="D42" s="25" t="s">
        <v>795</v>
      </c>
    </row>
    <row r="43" spans="1:4">
      <c r="A43" s="25" t="s">
        <v>666</v>
      </c>
      <c r="C43" s="28">
        <v>158</v>
      </c>
      <c r="D43" s="25" t="s">
        <v>796</v>
      </c>
    </row>
    <row r="44" spans="1:4">
      <c r="A44" s="25" t="s">
        <v>667</v>
      </c>
      <c r="C44" s="28">
        <v>160</v>
      </c>
      <c r="D44" s="25" t="s">
        <v>797</v>
      </c>
    </row>
    <row r="45" spans="1:4">
      <c r="A45" s="25" t="s">
        <v>668</v>
      </c>
      <c r="C45" s="28">
        <v>165</v>
      </c>
      <c r="D45" s="25" t="s">
        <v>798</v>
      </c>
    </row>
    <row r="46" spans="1:4">
      <c r="A46" s="25" t="s">
        <v>669</v>
      </c>
      <c r="C46" s="28">
        <v>170</v>
      </c>
      <c r="D46" s="25" t="s">
        <v>799</v>
      </c>
    </row>
    <row r="47" spans="1:4">
      <c r="A47" s="25" t="s">
        <v>670</v>
      </c>
      <c r="C47" s="28">
        <v>175</v>
      </c>
      <c r="D47" s="25" t="s">
        <v>800</v>
      </c>
    </row>
    <row r="48" spans="1:4">
      <c r="A48" s="25" t="s">
        <v>671</v>
      </c>
      <c r="C48" s="28">
        <v>180</v>
      </c>
      <c r="D48" s="25" t="s">
        <v>801</v>
      </c>
    </row>
    <row r="49" spans="1:4">
      <c r="A49" s="25" t="s">
        <v>672</v>
      </c>
      <c r="C49" s="28">
        <v>185</v>
      </c>
      <c r="D49" s="25" t="s">
        <v>802</v>
      </c>
    </row>
    <row r="50" spans="1:4">
      <c r="A50" s="25" t="s">
        <v>673</v>
      </c>
      <c r="C50" s="28">
        <v>190</v>
      </c>
      <c r="D50" s="25" t="s">
        <v>803</v>
      </c>
    </row>
    <row r="51" spans="1:4">
      <c r="A51" s="25" t="s">
        <v>674</v>
      </c>
      <c r="C51" s="28">
        <v>193</v>
      </c>
      <c r="D51" s="25" t="s">
        <v>804</v>
      </c>
    </row>
    <row r="52" spans="1:4">
      <c r="A52" s="25" t="s">
        <v>675</v>
      </c>
      <c r="C52" s="28">
        <v>195</v>
      </c>
      <c r="D52" s="25" t="s">
        <v>805</v>
      </c>
    </row>
    <row r="53" spans="1:4">
      <c r="A53" s="25" t="s">
        <v>676</v>
      </c>
      <c r="C53" s="28">
        <v>200</v>
      </c>
      <c r="D53" s="25" t="s">
        <v>806</v>
      </c>
    </row>
    <row r="54" spans="1:4">
      <c r="A54" s="25" t="s">
        <v>677</v>
      </c>
      <c r="C54" s="28">
        <v>201</v>
      </c>
      <c r="D54" s="25" t="s">
        <v>807</v>
      </c>
    </row>
    <row r="55" spans="1:4">
      <c r="A55" s="25" t="s">
        <v>678</v>
      </c>
      <c r="C55" s="28">
        <v>203</v>
      </c>
      <c r="D55" s="25" t="s">
        <v>808</v>
      </c>
    </row>
    <row r="56" spans="1:4">
      <c r="A56" s="25" t="s">
        <v>679</v>
      </c>
      <c r="C56" s="28">
        <v>205</v>
      </c>
      <c r="D56" s="25" t="s">
        <v>809</v>
      </c>
    </row>
    <row r="57" spans="1:4">
      <c r="A57" s="25" t="s">
        <v>680</v>
      </c>
      <c r="C57" s="28">
        <v>207</v>
      </c>
      <c r="D57" s="25" t="s">
        <v>810</v>
      </c>
    </row>
    <row r="58" spans="1:4">
      <c r="A58" s="25" t="s">
        <v>681</v>
      </c>
      <c r="C58" s="28">
        <v>210</v>
      </c>
      <c r="D58" s="25" t="s">
        <v>811</v>
      </c>
    </row>
    <row r="59" spans="1:4">
      <c r="A59" s="25" t="s">
        <v>682</v>
      </c>
      <c r="C59" s="28">
        <v>215</v>
      </c>
      <c r="D59" s="25" t="s">
        <v>812</v>
      </c>
    </row>
    <row r="60" spans="1:4">
      <c r="A60" s="25" t="s">
        <v>683</v>
      </c>
      <c r="C60" s="28">
        <v>220</v>
      </c>
      <c r="D60" s="25" t="s">
        <v>813</v>
      </c>
    </row>
    <row r="61" spans="1:4">
      <c r="A61" s="25" t="s">
        <v>684</v>
      </c>
      <c r="C61" s="28">
        <v>225</v>
      </c>
      <c r="D61" s="25" t="s">
        <v>814</v>
      </c>
    </row>
    <row r="62" spans="1:4">
      <c r="A62" s="25" t="s">
        <v>685</v>
      </c>
      <c r="C62" s="28">
        <v>227</v>
      </c>
      <c r="D62" s="25" t="s">
        <v>815</v>
      </c>
    </row>
    <row r="63" spans="1:4">
      <c r="A63" s="25" t="s">
        <v>686</v>
      </c>
      <c r="C63" s="28">
        <v>230</v>
      </c>
      <c r="D63" s="25" t="s">
        <v>816</v>
      </c>
    </row>
    <row r="64" spans="1:4">
      <c r="A64" s="25" t="s">
        <v>687</v>
      </c>
      <c r="C64" s="28">
        <v>235</v>
      </c>
      <c r="D64" s="25" t="s">
        <v>817</v>
      </c>
    </row>
    <row r="65" spans="1:4">
      <c r="A65" s="25" t="s">
        <v>688</v>
      </c>
      <c r="C65" s="28">
        <v>240</v>
      </c>
      <c r="D65" s="25" t="s">
        <v>818</v>
      </c>
    </row>
    <row r="66" spans="1:4">
      <c r="A66" s="25" t="s">
        <v>689</v>
      </c>
      <c r="C66" s="28">
        <v>245</v>
      </c>
      <c r="D66" s="25" t="s">
        <v>819</v>
      </c>
    </row>
    <row r="67" spans="1:4">
      <c r="A67" s="25" t="s">
        <v>690</v>
      </c>
      <c r="C67" s="28">
        <v>250</v>
      </c>
      <c r="D67" s="25" t="s">
        <v>820</v>
      </c>
    </row>
    <row r="68" spans="1:4">
      <c r="A68" s="25" t="s">
        <v>691</v>
      </c>
      <c r="C68" s="28">
        <v>255</v>
      </c>
      <c r="D68" s="25" t="s">
        <v>821</v>
      </c>
    </row>
    <row r="69" spans="1:4">
      <c r="A69" s="25" t="s">
        <v>692</v>
      </c>
      <c r="C69" s="28">
        <v>260</v>
      </c>
      <c r="D69" s="25" t="s">
        <v>822</v>
      </c>
    </row>
    <row r="70" spans="1:4">
      <c r="A70" s="25" t="s">
        <v>693</v>
      </c>
      <c r="C70" s="28">
        <v>265</v>
      </c>
      <c r="D70" s="25" t="s">
        <v>823</v>
      </c>
    </row>
    <row r="71" spans="1:4">
      <c r="A71" s="25" t="s">
        <v>694</v>
      </c>
      <c r="C71" s="28">
        <v>270</v>
      </c>
      <c r="D71" s="25" t="s">
        <v>824</v>
      </c>
    </row>
    <row r="72" spans="1:4">
      <c r="A72" s="25" t="s">
        <v>695</v>
      </c>
      <c r="C72" s="28">
        <v>275</v>
      </c>
      <c r="D72" s="25" t="s">
        <v>825</v>
      </c>
    </row>
    <row r="73" spans="1:4">
      <c r="A73" s="25" t="s">
        <v>696</v>
      </c>
      <c r="C73" s="28">
        <v>280</v>
      </c>
      <c r="D73" s="25" t="s">
        <v>826</v>
      </c>
    </row>
    <row r="74" spans="1:4">
      <c r="A74" s="25" t="s">
        <v>697</v>
      </c>
      <c r="C74" s="28">
        <v>285</v>
      </c>
      <c r="D74" s="25" t="s">
        <v>827</v>
      </c>
    </row>
    <row r="75" spans="1:4">
      <c r="A75" s="25" t="s">
        <v>698</v>
      </c>
      <c r="C75" s="28">
        <v>290</v>
      </c>
      <c r="D75" s="25" t="s">
        <v>828</v>
      </c>
    </row>
    <row r="76" spans="1:4">
      <c r="A76" s="25" t="s">
        <v>699</v>
      </c>
      <c r="C76" s="28">
        <v>300</v>
      </c>
      <c r="D76" s="25" t="s">
        <v>829</v>
      </c>
    </row>
    <row r="77" spans="1:4">
      <c r="A77" s="25" t="s">
        <v>700</v>
      </c>
    </row>
    <row r="78" spans="1:4">
      <c r="A78" s="25" t="s">
        <v>701</v>
      </c>
    </row>
    <row r="79" spans="1:4">
      <c r="A79" s="25" t="s">
        <v>702</v>
      </c>
    </row>
    <row r="80" spans="1:4">
      <c r="A80" s="25" t="s">
        <v>703</v>
      </c>
    </row>
    <row r="81" spans="1:1">
      <c r="A81" s="25" t="s">
        <v>704</v>
      </c>
    </row>
    <row r="82" spans="1:1">
      <c r="A82" s="25" t="s">
        <v>705</v>
      </c>
    </row>
    <row r="83" spans="1:1">
      <c r="A83" s="25" t="s">
        <v>706</v>
      </c>
    </row>
    <row r="84" spans="1:1">
      <c r="A84" s="25" t="s">
        <v>707</v>
      </c>
    </row>
    <row r="85" spans="1:1">
      <c r="A85" s="25" t="s">
        <v>708</v>
      </c>
    </row>
    <row r="86" spans="1:1">
      <c r="A86" s="25" t="s">
        <v>709</v>
      </c>
    </row>
    <row r="87" spans="1:1">
      <c r="A87" s="25" t="s">
        <v>710</v>
      </c>
    </row>
    <row r="88" spans="1:1">
      <c r="A88" s="25" t="s">
        <v>711</v>
      </c>
    </row>
    <row r="89" spans="1:1">
      <c r="A89" s="25" t="s">
        <v>712</v>
      </c>
    </row>
    <row r="90" spans="1:1">
      <c r="A90" s="25" t="s">
        <v>713</v>
      </c>
    </row>
    <row r="91" spans="1:1">
      <c r="A91" s="25" t="s">
        <v>714</v>
      </c>
    </row>
    <row r="92" spans="1:1">
      <c r="A92" s="25" t="s">
        <v>715</v>
      </c>
    </row>
    <row r="93" spans="1:1">
      <c r="A93" s="25" t="s">
        <v>716</v>
      </c>
    </row>
    <row r="94" spans="1:1">
      <c r="A94" s="25" t="s">
        <v>717</v>
      </c>
    </row>
    <row r="95" spans="1:1">
      <c r="A95" s="25" t="s">
        <v>718</v>
      </c>
    </row>
    <row r="96" spans="1:1">
      <c r="A96" s="25" t="s">
        <v>719</v>
      </c>
    </row>
    <row r="97" spans="1:1">
      <c r="A97" s="25" t="s">
        <v>720</v>
      </c>
    </row>
    <row r="98" spans="1:1">
      <c r="A98" s="25" t="s">
        <v>721</v>
      </c>
    </row>
    <row r="99" spans="1:1">
      <c r="A99" s="25" t="s">
        <v>722</v>
      </c>
    </row>
    <row r="100" spans="1:1">
      <c r="A100" s="25" t="s">
        <v>723</v>
      </c>
    </row>
    <row r="101" spans="1:1">
      <c r="A101" s="25" t="s">
        <v>724</v>
      </c>
    </row>
    <row r="102" spans="1:1">
      <c r="A102" s="25" t="s">
        <v>725</v>
      </c>
    </row>
    <row r="103" spans="1:1">
      <c r="A103" s="25" t="s">
        <v>726</v>
      </c>
    </row>
    <row r="104" spans="1:1">
      <c r="A104" s="25" t="s">
        <v>727</v>
      </c>
    </row>
    <row r="105" spans="1:1">
      <c r="A105" s="25" t="s">
        <v>728</v>
      </c>
    </row>
    <row r="106" spans="1:1">
      <c r="A106" s="25" t="s">
        <v>729</v>
      </c>
    </row>
    <row r="107" spans="1:1">
      <c r="A107" s="25" t="s">
        <v>730</v>
      </c>
    </row>
    <row r="108" spans="1:1">
      <c r="A108" s="25" t="s">
        <v>731</v>
      </c>
    </row>
    <row r="109" spans="1:1">
      <c r="A109" s="25" t="s">
        <v>732</v>
      </c>
    </row>
    <row r="110" spans="1:1">
      <c r="A110" s="25" t="s">
        <v>733</v>
      </c>
    </row>
    <row r="111" spans="1:1">
      <c r="A111" s="25" t="s">
        <v>734</v>
      </c>
    </row>
    <row r="112" spans="1:1">
      <c r="A112" s="25" t="s">
        <v>735</v>
      </c>
    </row>
    <row r="113" spans="1:1">
      <c r="A113" s="25" t="s">
        <v>736</v>
      </c>
    </row>
    <row r="114" spans="1:1">
      <c r="A114" s="25" t="s">
        <v>737</v>
      </c>
    </row>
    <row r="115" spans="1:1">
      <c r="A115" s="25" t="s">
        <v>738</v>
      </c>
    </row>
    <row r="116" spans="1:1">
      <c r="A116" s="25" t="s">
        <v>739</v>
      </c>
    </row>
    <row r="117" spans="1:1">
      <c r="A117" s="25" t="s">
        <v>740</v>
      </c>
    </row>
    <row r="118" spans="1:1">
      <c r="A118" s="25" t="s">
        <v>741</v>
      </c>
    </row>
    <row r="119" spans="1:1">
      <c r="A119" s="25" t="s">
        <v>742</v>
      </c>
    </row>
    <row r="120" spans="1:1">
      <c r="A120" s="25" t="s">
        <v>743</v>
      </c>
    </row>
    <row r="121" spans="1:1">
      <c r="A121" s="25" t="s">
        <v>744</v>
      </c>
    </row>
    <row r="122" spans="1:1">
      <c r="A122" s="25" t="s">
        <v>745</v>
      </c>
    </row>
    <row r="123" spans="1:1">
      <c r="A123" s="25" t="s">
        <v>746</v>
      </c>
    </row>
    <row r="124" spans="1:1">
      <c r="A124" s="25" t="s">
        <v>747</v>
      </c>
    </row>
    <row r="125" spans="1:1">
      <c r="A125" s="25" t="s">
        <v>748</v>
      </c>
    </row>
    <row r="126" spans="1:1">
      <c r="A126" s="25" t="s">
        <v>749</v>
      </c>
    </row>
    <row r="127" spans="1:1">
      <c r="A127" s="25" t="s">
        <v>750</v>
      </c>
    </row>
    <row r="128" spans="1:1">
      <c r="A128" s="25" t="s">
        <v>751</v>
      </c>
    </row>
    <row r="129" spans="1:1">
      <c r="A129" s="25" t="s">
        <v>752</v>
      </c>
    </row>
    <row r="130" spans="1:1">
      <c r="A130" s="25" t="s">
        <v>753</v>
      </c>
    </row>
    <row r="131" spans="1:1">
      <c r="A131" s="25" t="s">
        <v>754</v>
      </c>
    </row>
  </sheetData>
  <sheetProtection sheet="1" objects="1" scenarios="1"/>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31"/>
  <sheetViews>
    <sheetView zoomScale="115" zoomScaleNormal="115" workbookViewId="0"/>
  </sheetViews>
  <sheetFormatPr baseColWidth="10" defaultColWidth="11.5" defaultRowHeight="13"/>
  <cols>
    <col min="1" max="1" width="31.5" style="54" customWidth="1"/>
    <col min="2" max="12" width="14.33203125" style="54" customWidth="1"/>
    <col min="13" max="13" width="18.33203125" style="54" customWidth="1"/>
    <col min="14" max="15" width="14.33203125" style="54" customWidth="1"/>
    <col min="16" max="16384" width="11.5" style="54"/>
  </cols>
  <sheetData>
    <row r="1" spans="1:15" s="210" customFormat="1" ht="16" customHeight="1">
      <c r="A1" s="206" t="s">
        <v>350</v>
      </c>
      <c r="B1" s="206" t="s">
        <v>593</v>
      </c>
      <c r="C1" s="206" t="s">
        <v>594</v>
      </c>
      <c r="D1" s="206" t="s">
        <v>595</v>
      </c>
      <c r="E1" s="206" t="s">
        <v>596</v>
      </c>
      <c r="F1" s="206" t="s">
        <v>597</v>
      </c>
      <c r="G1" s="206" t="s">
        <v>598</v>
      </c>
      <c r="H1" s="206" t="s">
        <v>599</v>
      </c>
      <c r="I1" s="206" t="s">
        <v>600</v>
      </c>
      <c r="J1" s="206" t="s">
        <v>601</v>
      </c>
      <c r="K1" s="206" t="s">
        <v>602</v>
      </c>
      <c r="L1" s="206" t="s">
        <v>603</v>
      </c>
      <c r="M1" s="206" t="s">
        <v>604</v>
      </c>
      <c r="N1" s="206" t="s">
        <v>605</v>
      </c>
      <c r="O1" s="206" t="s">
        <v>606</v>
      </c>
    </row>
    <row r="2" spans="1:15" s="210" customFormat="1" ht="16" customHeight="1">
      <c r="A2" s="170" t="s">
        <v>612</v>
      </c>
      <c r="B2" s="209" t="str">
        <f>IF('Hosts and Networks'!H6&lt;&gt;"n/a",MID('Hosts and Networks'!H6,1,(FIND(".",'Hosts and Networks'!H6)-1)),'Hosts and Networks'!H6)</f>
        <v>sfo01m01esx01</v>
      </c>
      <c r="C2" s="171"/>
      <c r="D2" s="171"/>
      <c r="E2" s="171"/>
      <c r="F2" s="171"/>
      <c r="G2" s="171"/>
      <c r="H2" s="171"/>
      <c r="I2" s="171"/>
      <c r="J2" s="171"/>
      <c r="K2" s="171"/>
      <c r="L2" s="171"/>
      <c r="M2" s="209" t="str">
        <f>IF('Deploy Parameters'!J7="n/a",'Deploy Parameters'!J6,'Deploy Parameters'!J7)</f>
        <v>sfo01.rainpole.local</v>
      </c>
      <c r="N2" s="171"/>
      <c r="O2" s="209" t="str">
        <f>IF(B2&lt;&gt;"n/a",B2,"")</f>
        <v>sfo01m01esx01</v>
      </c>
    </row>
    <row r="3" spans="1:15" s="210" customFormat="1" ht="16" customHeight="1">
      <c r="A3" s="170" t="s">
        <v>613</v>
      </c>
      <c r="B3" s="209" t="str">
        <f>IF('Hosts and Networks'!I6&lt;&gt;"n/a",MID('Hosts and Networks'!I6,1,(FIND(".",'Hosts and Networks'!I6)-1)),'Hosts and Networks'!I6)</f>
        <v>sfo01m01esx02</v>
      </c>
      <c r="C3" s="171"/>
      <c r="D3" s="171"/>
      <c r="E3" s="171"/>
      <c r="F3" s="171"/>
      <c r="G3" s="171"/>
      <c r="H3" s="171"/>
      <c r="I3" s="171"/>
      <c r="J3" s="171"/>
      <c r="K3" s="171"/>
      <c r="L3" s="171"/>
      <c r="M3" s="209" t="str">
        <f>IF('Deploy Parameters'!J7="n/a",'Deploy Parameters'!J6,'Deploy Parameters'!J7)</f>
        <v>sfo01.rainpole.local</v>
      </c>
      <c r="N3" s="171"/>
      <c r="O3" s="209" t="str">
        <f t="shared" ref="O3:O31" si="0">IF(B3&lt;&gt;"n/a",B3,"")</f>
        <v>sfo01m01esx02</v>
      </c>
    </row>
    <row r="4" spans="1:15" s="210" customFormat="1" ht="16" customHeight="1">
      <c r="A4" s="170" t="s">
        <v>614</v>
      </c>
      <c r="B4" s="209" t="str">
        <f>IF('Hosts and Networks'!J6&lt;&gt;"n/a",MID('Hosts and Networks'!J6,1,(FIND(".",'Hosts and Networks'!J6)-1)),'Hosts and Networks'!J6)</f>
        <v>sfo01m01esx03</v>
      </c>
      <c r="C4" s="171"/>
      <c r="D4" s="171"/>
      <c r="E4" s="171"/>
      <c r="F4" s="171"/>
      <c r="G4" s="171"/>
      <c r="H4" s="171"/>
      <c r="I4" s="171"/>
      <c r="J4" s="171"/>
      <c r="K4" s="171"/>
      <c r="L4" s="171"/>
      <c r="M4" s="209" t="str">
        <f>IF('Deploy Parameters'!J7="n/a",'Deploy Parameters'!J6,'Deploy Parameters'!J7)</f>
        <v>sfo01.rainpole.local</v>
      </c>
      <c r="N4" s="171"/>
      <c r="O4" s="209" t="str">
        <f t="shared" si="0"/>
        <v>sfo01m01esx03</v>
      </c>
    </row>
    <row r="5" spans="1:15" s="210" customFormat="1" ht="16" customHeight="1">
      <c r="A5" s="170" t="s">
        <v>615</v>
      </c>
      <c r="B5" s="209" t="str">
        <f>IF('Hosts and Networks'!K6&lt;&gt;"n/a",MID('Hosts and Networks'!K6,1,(FIND(".",'Hosts and Networks'!K6)-1)),'Hosts and Networks'!K6)</f>
        <v>sfo01m01esx04</v>
      </c>
      <c r="C5" s="171"/>
      <c r="D5" s="171"/>
      <c r="E5" s="171"/>
      <c r="F5" s="171"/>
      <c r="G5" s="171"/>
      <c r="H5" s="171"/>
      <c r="I5" s="171"/>
      <c r="J5" s="171"/>
      <c r="K5" s="171"/>
      <c r="L5" s="171"/>
      <c r="M5" s="209" t="str">
        <f>IF('Deploy Parameters'!J7="n/a",'Deploy Parameters'!J6,'Deploy Parameters'!J7)</f>
        <v>sfo01.rainpole.local</v>
      </c>
      <c r="N5" s="171"/>
      <c r="O5" s="209" t="str">
        <f t="shared" si="0"/>
        <v>sfo01m01esx04</v>
      </c>
    </row>
    <row r="6" spans="1:15" s="210" customFormat="1" ht="16" customHeight="1">
      <c r="A6" s="170" t="s">
        <v>616</v>
      </c>
      <c r="B6" s="209" t="str">
        <f>IF('Hosts and Networks'!L6&lt;&gt;"n/a",MID('Hosts and Networks'!L6,1,(FIND(".",'Hosts and Networks'!L6)-1)),'Hosts and Networks'!L6)</f>
        <v>n/a</v>
      </c>
      <c r="C6" s="171"/>
      <c r="D6" s="171"/>
      <c r="E6" s="171"/>
      <c r="F6" s="171"/>
      <c r="G6" s="171"/>
      <c r="H6" s="171"/>
      <c r="I6" s="171"/>
      <c r="J6" s="171"/>
      <c r="K6" s="171"/>
      <c r="L6" s="171"/>
      <c r="M6" s="209" t="str">
        <f>IF('Deploy Parameters'!J7="n/a",'Deploy Parameters'!J6,'Deploy Parameters'!J7)</f>
        <v>sfo01.rainpole.local</v>
      </c>
      <c r="N6" s="171"/>
      <c r="O6" s="209" t="str">
        <f t="shared" si="0"/>
        <v/>
      </c>
    </row>
    <row r="7" spans="1:15" s="210" customFormat="1" ht="16" customHeight="1">
      <c r="A7" s="170" t="s">
        <v>617</v>
      </c>
      <c r="B7" s="209" t="str">
        <f>IF('Hosts and Networks'!M6&lt;&gt;"n/a",MID('Hosts and Networks'!M6,1,(FIND(".",'Hosts and Networks'!M6)-1)),'Hosts and Networks'!M6)</f>
        <v>n/a</v>
      </c>
      <c r="C7" s="171"/>
      <c r="D7" s="171"/>
      <c r="E7" s="171"/>
      <c r="F7" s="171"/>
      <c r="G7" s="171"/>
      <c r="H7" s="171"/>
      <c r="I7" s="171"/>
      <c r="J7" s="171"/>
      <c r="K7" s="171"/>
      <c r="L7" s="171"/>
      <c r="M7" s="209" t="str">
        <f>IF('Deploy Parameters'!J7="n/a",'Deploy Parameters'!J6,'Deploy Parameters'!J7)</f>
        <v>sfo01.rainpole.local</v>
      </c>
      <c r="N7" s="171"/>
      <c r="O7" s="209" t="str">
        <f t="shared" si="0"/>
        <v/>
      </c>
    </row>
    <row r="8" spans="1:15" s="210" customFormat="1" ht="16" customHeight="1">
      <c r="A8" s="170" t="s">
        <v>618</v>
      </c>
      <c r="B8" s="209" t="str">
        <f>IF('Hosts and Networks'!N6&lt;&gt;"n/a",MID('Hosts and Networks'!N6,1,(FIND(".",'Hosts and Networks'!N6)-1)),'Hosts and Networks'!N6)</f>
        <v>n/a</v>
      </c>
      <c r="C8" s="171"/>
      <c r="D8" s="171"/>
      <c r="E8" s="171"/>
      <c r="F8" s="171"/>
      <c r="G8" s="171"/>
      <c r="H8" s="171"/>
      <c r="I8" s="171"/>
      <c r="J8" s="171"/>
      <c r="K8" s="171"/>
      <c r="L8" s="171"/>
      <c r="M8" s="209" t="str">
        <f>IF('Deploy Parameters'!J7="n/a",'Deploy Parameters'!J6,'Deploy Parameters'!J7)</f>
        <v>sfo01.rainpole.local</v>
      </c>
      <c r="N8" s="171"/>
      <c r="O8" s="209" t="str">
        <f t="shared" si="0"/>
        <v/>
      </c>
    </row>
    <row r="9" spans="1:15" s="210" customFormat="1" ht="16" customHeight="1">
      <c r="A9" s="170" t="s">
        <v>619</v>
      </c>
      <c r="B9" s="209" t="str">
        <f>IF('Hosts and Networks'!O6&lt;&gt;"n/a",MID('Hosts and Networks'!O6,1,(FIND(".",'Hosts and Networks'!O6)-1)),'Hosts and Networks'!O6)</f>
        <v>n/a</v>
      </c>
      <c r="C9" s="171"/>
      <c r="D9" s="171"/>
      <c r="E9" s="171"/>
      <c r="F9" s="171"/>
      <c r="G9" s="171"/>
      <c r="H9" s="171"/>
      <c r="I9" s="171"/>
      <c r="J9" s="171"/>
      <c r="K9" s="171"/>
      <c r="L9" s="171"/>
      <c r="M9" s="209" t="str">
        <f>IF('Deploy Parameters'!J7="n/a",'Deploy Parameters'!J6,'Deploy Parameters'!J7)</f>
        <v>sfo01.rainpole.local</v>
      </c>
      <c r="N9" s="171"/>
      <c r="O9" s="209" t="str">
        <f t="shared" si="0"/>
        <v/>
      </c>
    </row>
    <row r="10" spans="1:15" s="210" customFormat="1" ht="16" customHeight="1">
      <c r="A10" s="170" t="s">
        <v>608</v>
      </c>
      <c r="B10" s="172" t="str">
        <f>IF('Hosts and Networks'!H17&lt;&gt;"n/a",MID('Hosts and Networks'!H17,1,(FIND(".",'Hosts and Networks'!H17)-1)),'Hosts and Networks'!H17)</f>
        <v>sfo01w01esx01</v>
      </c>
      <c r="C10" s="171"/>
      <c r="D10" s="171"/>
      <c r="E10" s="171"/>
      <c r="F10" s="171"/>
      <c r="G10" s="171"/>
      <c r="H10" s="171"/>
      <c r="I10" s="171"/>
      <c r="J10" s="171"/>
      <c r="K10" s="171"/>
      <c r="L10" s="171"/>
      <c r="M10" s="209" t="str">
        <f>IF('Deploy Parameters'!J7="n/a",'Deploy Parameters'!J6,'Deploy Parameters'!J7)</f>
        <v>sfo01.rainpole.local</v>
      </c>
      <c r="N10" s="171"/>
      <c r="O10" s="209" t="str">
        <f t="shared" si="0"/>
        <v>sfo01w01esx01</v>
      </c>
    </row>
    <row r="11" spans="1:15" s="210" customFormat="1" ht="16" customHeight="1">
      <c r="A11" s="170" t="s">
        <v>609</v>
      </c>
      <c r="B11" s="172" t="str">
        <f>IF('Hosts and Networks'!I17&lt;&gt;"n/a",MID('Hosts and Networks'!I17,1,(FIND(".",'Hosts and Networks'!I17)-1)),'Hosts and Networks'!I17)</f>
        <v>sfo01w01esx02</v>
      </c>
      <c r="C11" s="171"/>
      <c r="D11" s="171"/>
      <c r="E11" s="171"/>
      <c r="F11" s="171"/>
      <c r="G11" s="171"/>
      <c r="H11" s="171"/>
      <c r="I11" s="171"/>
      <c r="J11" s="171"/>
      <c r="K11" s="171"/>
      <c r="L11" s="171"/>
      <c r="M11" s="209" t="str">
        <f>IF('Deploy Parameters'!J7="n/a",'Deploy Parameters'!J6,'Deploy Parameters'!J7)</f>
        <v>sfo01.rainpole.local</v>
      </c>
      <c r="N11" s="171"/>
      <c r="O11" s="209" t="str">
        <f t="shared" si="0"/>
        <v>sfo01w01esx02</v>
      </c>
    </row>
    <row r="12" spans="1:15" s="210" customFormat="1" ht="16" customHeight="1">
      <c r="A12" s="170" t="s">
        <v>610</v>
      </c>
      <c r="B12" s="172" t="str">
        <f>IF('Hosts and Networks'!J17&lt;&gt;"n/a",MID('Hosts and Networks'!J17,1,(FIND(".",'Hosts and Networks'!J17)-1)),'Hosts and Networks'!J17)</f>
        <v>sfo01w01esx03</v>
      </c>
      <c r="C12" s="171"/>
      <c r="D12" s="171"/>
      <c r="E12" s="171"/>
      <c r="F12" s="171"/>
      <c r="G12" s="171"/>
      <c r="H12" s="171"/>
      <c r="I12" s="171"/>
      <c r="J12" s="171"/>
      <c r="K12" s="171"/>
      <c r="L12" s="171"/>
      <c r="M12" s="209" t="str">
        <f>IF('Deploy Parameters'!J7="n/a",'Deploy Parameters'!J6,'Deploy Parameters'!J7)</f>
        <v>sfo01.rainpole.local</v>
      </c>
      <c r="N12" s="171"/>
      <c r="O12" s="209" t="str">
        <f t="shared" si="0"/>
        <v>sfo01w01esx03</v>
      </c>
    </row>
    <row r="13" spans="1:15" s="210" customFormat="1" ht="16" customHeight="1">
      <c r="A13" s="170" t="s">
        <v>611</v>
      </c>
      <c r="B13" s="172" t="str">
        <f>IF('Hosts and Networks'!K17&lt;&gt;"n/a",MID('Hosts and Networks'!K17,1,(FIND(".",'Hosts and Networks'!K17)-1)),'Hosts and Networks'!K17)</f>
        <v>sfo01w01esx04</v>
      </c>
      <c r="C13" s="171"/>
      <c r="D13" s="171"/>
      <c r="E13" s="171"/>
      <c r="F13" s="171"/>
      <c r="G13" s="171"/>
      <c r="H13" s="171"/>
      <c r="I13" s="171"/>
      <c r="J13" s="171"/>
      <c r="K13" s="171"/>
      <c r="L13" s="171"/>
      <c r="M13" s="209" t="str">
        <f>IF('Deploy Parameters'!J7="n/a",'Deploy Parameters'!J6,'Deploy Parameters'!J7)</f>
        <v>sfo01.rainpole.local</v>
      </c>
      <c r="N13" s="171"/>
      <c r="O13" s="209" t="str">
        <f t="shared" si="0"/>
        <v>sfo01w01esx04</v>
      </c>
    </row>
    <row r="14" spans="1:15" s="210" customFormat="1" ht="16" customHeight="1">
      <c r="A14" s="170" t="s">
        <v>1012</v>
      </c>
      <c r="B14" s="172" t="str">
        <f>IF('Hosts and Networks'!L17&lt;&gt;"n/a",MID('Hosts and Networks'!L17,1,(FIND(".",'Hosts and Networks'!L17)-1)),'Hosts and Networks'!L17)</f>
        <v>n/a</v>
      </c>
      <c r="C14" s="171"/>
      <c r="D14" s="171"/>
      <c r="E14" s="171"/>
      <c r="F14" s="171"/>
      <c r="G14" s="171"/>
      <c r="H14" s="171"/>
      <c r="I14" s="171"/>
      <c r="J14" s="171"/>
      <c r="K14" s="171"/>
      <c r="L14" s="171"/>
      <c r="M14" s="209" t="str">
        <f>IF('Deploy Parameters'!J7="n/a",'Deploy Parameters'!J6,'Deploy Parameters'!J7)</f>
        <v>sfo01.rainpole.local</v>
      </c>
      <c r="N14" s="171"/>
      <c r="O14" s="209" t="str">
        <f t="shared" si="0"/>
        <v/>
      </c>
    </row>
    <row r="15" spans="1:15" s="210" customFormat="1" ht="16" customHeight="1">
      <c r="A15" s="170" t="s">
        <v>1013</v>
      </c>
      <c r="B15" s="172" t="str">
        <f>IF('Hosts and Networks'!M17&lt;&gt;"n/a",MID('Hosts and Networks'!M17,1,(FIND(".",'Hosts and Networks'!M17)-1)),'Hosts and Networks'!M17)</f>
        <v>n/a</v>
      </c>
      <c r="C15" s="171"/>
      <c r="D15" s="171"/>
      <c r="E15" s="171"/>
      <c r="F15" s="171"/>
      <c r="G15" s="171"/>
      <c r="H15" s="171"/>
      <c r="I15" s="171"/>
      <c r="J15" s="171"/>
      <c r="K15" s="171"/>
      <c r="L15" s="171"/>
      <c r="M15" s="209" t="str">
        <f>IF('Deploy Parameters'!J7="n/a",'Deploy Parameters'!J6,'Deploy Parameters'!J7)</f>
        <v>sfo01.rainpole.local</v>
      </c>
      <c r="N15" s="171"/>
      <c r="O15" s="209" t="str">
        <f t="shared" si="0"/>
        <v/>
      </c>
    </row>
    <row r="16" spans="1:15" s="210" customFormat="1" ht="16" customHeight="1">
      <c r="A16" s="170" t="s">
        <v>1014</v>
      </c>
      <c r="B16" s="172" t="str">
        <f>IF('Hosts and Networks'!N17&lt;&gt;"n/a",MID('Hosts and Networks'!N17,1,(FIND(".",'Hosts and Networks'!N17)-1)),'Hosts and Networks'!N17)</f>
        <v>n/a</v>
      </c>
      <c r="C16" s="171"/>
      <c r="D16" s="171"/>
      <c r="E16" s="171"/>
      <c r="F16" s="171"/>
      <c r="G16" s="171"/>
      <c r="H16" s="171"/>
      <c r="I16" s="171"/>
      <c r="J16" s="171"/>
      <c r="K16" s="171"/>
      <c r="L16" s="171"/>
      <c r="M16" s="209" t="str">
        <f>IF('Deploy Parameters'!J7="n/a",'Deploy Parameters'!J6,'Deploy Parameters'!J7)</f>
        <v>sfo01.rainpole.local</v>
      </c>
      <c r="N16" s="171"/>
      <c r="O16" s="209" t="str">
        <f t="shared" si="0"/>
        <v/>
      </c>
    </row>
    <row r="17" spans="1:15" s="210" customFormat="1" ht="16" customHeight="1">
      <c r="A17" s="170" t="s">
        <v>1015</v>
      </c>
      <c r="B17" s="172" t="str">
        <f>IF('Hosts and Networks'!O17&lt;&gt;"n/a",MID('Hosts and Networks'!O17,1,(FIND(".",'Hosts and Networks'!O17)-1)),'Hosts and Networks'!O17)</f>
        <v>n/a</v>
      </c>
      <c r="C17" s="171"/>
      <c r="D17" s="171"/>
      <c r="E17" s="171"/>
      <c r="F17" s="171"/>
      <c r="G17" s="171"/>
      <c r="H17" s="171"/>
      <c r="I17" s="171"/>
      <c r="J17" s="171"/>
      <c r="K17" s="171"/>
      <c r="L17" s="171"/>
      <c r="M17" s="209" t="str">
        <f>IF('Deploy Parameters'!J7="n/a",'Deploy Parameters'!J6,'Deploy Parameters'!J7)</f>
        <v>sfo01.rainpole.local</v>
      </c>
      <c r="N17" s="171"/>
      <c r="O17" s="209" t="str">
        <f t="shared" si="0"/>
        <v/>
      </c>
    </row>
    <row r="18" spans="1:15" s="210" customFormat="1" ht="16" customHeight="1">
      <c r="A18" s="170" t="s">
        <v>931</v>
      </c>
      <c r="B18" s="209" t="str">
        <f>'Deploy Parameters'!F26</f>
        <v>sfo01m01vc01</v>
      </c>
      <c r="C18" s="171"/>
      <c r="D18" s="171"/>
      <c r="E18" s="171"/>
      <c r="F18" s="171"/>
      <c r="G18" s="171"/>
      <c r="H18" s="171"/>
      <c r="I18" s="171"/>
      <c r="J18" s="171"/>
      <c r="K18" s="171"/>
      <c r="L18" s="171"/>
      <c r="M18" s="209" t="str">
        <f>IF('Deploy Parameters'!J7="n/a",'Deploy Parameters'!J6,'Deploy Parameters'!J7)</f>
        <v>sfo01.rainpole.local</v>
      </c>
      <c r="N18" s="171"/>
      <c r="O18" s="209" t="str">
        <f t="shared" si="0"/>
        <v>sfo01m01vc01</v>
      </c>
    </row>
    <row r="19" spans="1:15" s="210" customFormat="1" ht="16" customHeight="1">
      <c r="A19" s="170" t="s">
        <v>932</v>
      </c>
      <c r="B19" s="209" t="str">
        <f>'Deploy Parameters'!F29</f>
        <v>sfo01w01vc01</v>
      </c>
      <c r="C19" s="171"/>
      <c r="D19" s="171"/>
      <c r="E19" s="171"/>
      <c r="F19" s="171"/>
      <c r="G19" s="171"/>
      <c r="H19" s="171"/>
      <c r="I19" s="171"/>
      <c r="J19" s="171"/>
      <c r="K19" s="171"/>
      <c r="L19" s="171"/>
      <c r="M19" s="209" t="str">
        <f>IF('Deploy Parameters'!J7="n/a",'Deploy Parameters'!J6,'Deploy Parameters'!J7)</f>
        <v>sfo01.rainpole.local</v>
      </c>
      <c r="N19" s="171"/>
      <c r="O19" s="209" t="str">
        <f t="shared" si="0"/>
        <v>sfo01w01vc01</v>
      </c>
    </row>
    <row r="20" spans="1:15" s="210" customFormat="1" ht="16" customHeight="1">
      <c r="A20" s="170" t="s">
        <v>933</v>
      </c>
      <c r="B20" s="209" t="str">
        <f>'Deploy Parameters'!F27</f>
        <v>sfo01m01psc01</v>
      </c>
      <c r="C20" s="171"/>
      <c r="D20" s="171"/>
      <c r="E20" s="171"/>
      <c r="F20" s="171"/>
      <c r="G20" s="171"/>
      <c r="H20" s="171"/>
      <c r="I20" s="171"/>
      <c r="J20" s="171"/>
      <c r="K20" s="171"/>
      <c r="L20" s="171"/>
      <c r="M20" s="209" t="str">
        <f>IF('Deploy Parameters'!J7="n/a",'Deploy Parameters'!J6,'Deploy Parameters'!J7)</f>
        <v>sfo01.rainpole.local</v>
      </c>
      <c r="N20" s="171"/>
      <c r="O20" s="209" t="str">
        <f t="shared" si="0"/>
        <v>sfo01m01psc01</v>
      </c>
    </row>
    <row r="21" spans="1:15" s="210" customFormat="1" ht="16" customHeight="1">
      <c r="A21" s="170" t="s">
        <v>932</v>
      </c>
      <c r="B21" s="209" t="str">
        <f>'Deploy Parameters'!F27</f>
        <v>sfo01m01psc01</v>
      </c>
      <c r="C21" s="171"/>
      <c r="D21" s="171"/>
      <c r="E21" s="171"/>
      <c r="F21" s="171"/>
      <c r="G21" s="171"/>
      <c r="H21" s="171"/>
      <c r="I21" s="171"/>
      <c r="J21" s="171"/>
      <c r="K21" s="171"/>
      <c r="L21" s="171"/>
      <c r="M21" s="209" t="str">
        <f>IF('Deploy Parameters'!J7="n/a",'Deploy Parameters'!J6,'Deploy Parameters'!J7)</f>
        <v>sfo01.rainpole.local</v>
      </c>
      <c r="N21" s="171"/>
      <c r="O21" s="209" t="str">
        <f t="shared" si="0"/>
        <v>sfo01m01psc01</v>
      </c>
    </row>
    <row r="22" spans="1:15" s="210" customFormat="1" ht="16" customHeight="1">
      <c r="A22" s="170" t="s">
        <v>936</v>
      </c>
      <c r="B22" s="209" t="str">
        <f>'Deploy Parameters'!F31</f>
        <v>sfo01psc01</v>
      </c>
      <c r="C22" s="209" t="str">
        <f>'Deploy Parameters'!F27</f>
        <v>sfo01m01psc01</v>
      </c>
      <c r="D22" s="209" t="str">
        <f>'Deploy Parameters'!F30</f>
        <v>sfo01w01psc01</v>
      </c>
      <c r="E22" s="171"/>
      <c r="F22" s="171"/>
      <c r="G22" s="171"/>
      <c r="H22" s="171"/>
      <c r="I22" s="171"/>
      <c r="J22" s="171"/>
      <c r="K22" s="171"/>
      <c r="L22" s="171"/>
      <c r="M22" s="209" t="str">
        <f>IF('Deploy Parameters'!J7="n/a",'Deploy Parameters'!J6,'Deploy Parameters'!J7)</f>
        <v>sfo01.rainpole.local</v>
      </c>
      <c r="N22" s="171"/>
      <c r="O22" s="209" t="str">
        <f t="shared" si="0"/>
        <v>sfo01psc01</v>
      </c>
    </row>
    <row r="23" spans="1:15" s="210" customFormat="1" ht="16" customHeight="1">
      <c r="A23" s="170" t="s">
        <v>934</v>
      </c>
      <c r="B23" s="173" t="str">
        <f>'Deploy Parameters'!F46</f>
        <v>sfo01m01nsx01</v>
      </c>
      <c r="C23" s="171"/>
      <c r="D23" s="171"/>
      <c r="E23" s="171"/>
      <c r="F23" s="171"/>
      <c r="G23" s="171"/>
      <c r="H23" s="171"/>
      <c r="I23" s="171"/>
      <c r="J23" s="171"/>
      <c r="K23" s="171"/>
      <c r="L23" s="171"/>
      <c r="M23" s="209" t="str">
        <f>IF('Deploy Parameters'!J7="n/a",'Deploy Parameters'!J6,'Deploy Parameters'!J7)</f>
        <v>sfo01.rainpole.local</v>
      </c>
      <c r="N23" s="171"/>
      <c r="O23" s="209" t="str">
        <f t="shared" si="0"/>
        <v>sfo01m01nsx01</v>
      </c>
    </row>
    <row r="24" spans="1:15" s="210" customFormat="1" ht="16" customHeight="1">
      <c r="A24" s="170" t="s">
        <v>935</v>
      </c>
      <c r="B24" s="173" t="str">
        <f>'Deploy Parameters'!J46</f>
        <v>sfo01w01nsx01</v>
      </c>
      <c r="C24" s="171"/>
      <c r="D24" s="171"/>
      <c r="E24" s="171"/>
      <c r="F24" s="171"/>
      <c r="G24" s="171"/>
      <c r="H24" s="171"/>
      <c r="I24" s="171"/>
      <c r="J24" s="171"/>
      <c r="K24" s="171"/>
      <c r="L24" s="171"/>
      <c r="M24" s="209" t="str">
        <f>IF('Deploy Parameters'!J7="n/a",'Deploy Parameters'!J6,'Deploy Parameters'!J7)</f>
        <v>sfo01.rainpole.local</v>
      </c>
      <c r="N24" s="171"/>
      <c r="O24" s="209" t="str">
        <f t="shared" si="0"/>
        <v>sfo01w01nsx01</v>
      </c>
    </row>
    <row r="25" spans="1:15" s="210" customFormat="1" ht="16" customHeight="1">
      <c r="A25" s="170" t="s">
        <v>457</v>
      </c>
      <c r="B25" s="173" t="str">
        <f>'Deploy Parameters'!F154</f>
        <v>sfo01m01srm01</v>
      </c>
      <c r="C25" s="171"/>
      <c r="D25" s="171"/>
      <c r="E25" s="171"/>
      <c r="F25" s="171"/>
      <c r="G25" s="171"/>
      <c r="H25" s="171"/>
      <c r="I25" s="171"/>
      <c r="J25" s="171"/>
      <c r="K25" s="171"/>
      <c r="L25" s="171"/>
      <c r="M25" s="209" t="str">
        <f>IF('Deploy Parameters'!J7="n/a",'Deploy Parameters'!J6,'Deploy Parameters'!J7)</f>
        <v>sfo01.rainpole.local</v>
      </c>
      <c r="N25" s="173" t="str">
        <f>'Deploy Parameters'!G154</f>
        <v>172.16.11.124</v>
      </c>
      <c r="O25" s="209" t="str">
        <f t="shared" si="0"/>
        <v>sfo01m01srm01</v>
      </c>
    </row>
    <row r="26" spans="1:15" s="210" customFormat="1" ht="16" customHeight="1">
      <c r="A26" s="170" t="s">
        <v>458</v>
      </c>
      <c r="B26" s="173" t="str">
        <f>'Deploy Parameters'!J154</f>
        <v>sfo01m01vrms01</v>
      </c>
      <c r="C26" s="171"/>
      <c r="D26" s="171"/>
      <c r="E26" s="171"/>
      <c r="F26" s="171"/>
      <c r="G26" s="171"/>
      <c r="H26" s="171"/>
      <c r="I26" s="171"/>
      <c r="J26" s="171"/>
      <c r="K26" s="171"/>
      <c r="L26" s="171"/>
      <c r="M26" s="209" t="str">
        <f>IF('Deploy Parameters'!J7="n/a",'Deploy Parameters'!J6,'Deploy Parameters'!J7)</f>
        <v>sfo01.rainpole.local</v>
      </c>
      <c r="N26" s="173" t="str">
        <f>'Deploy Parameters'!K154</f>
        <v>172.16.11.123</v>
      </c>
      <c r="O26" s="209" t="str">
        <f t="shared" si="0"/>
        <v>sfo01m01vrms01</v>
      </c>
    </row>
    <row r="27" spans="1:15" s="210" customFormat="1" ht="16" customHeight="1">
      <c r="A27" s="170" t="s">
        <v>946</v>
      </c>
      <c r="B27" s="173" t="str">
        <f>'Deploy Parameters'!F103</f>
        <v>vrslcm01svr01a</v>
      </c>
      <c r="C27" s="171"/>
      <c r="D27" s="171"/>
      <c r="E27" s="171"/>
      <c r="F27" s="171"/>
      <c r="G27" s="171"/>
      <c r="H27" s="171"/>
      <c r="I27" s="171"/>
      <c r="J27" s="171"/>
      <c r="K27" s="171"/>
      <c r="L27" s="171"/>
      <c r="M27" s="209" t="str">
        <f>IF('Deploy Parameters'!J8="child",IF('Deploy Parameters'!J7="n/a",'Deploy Parameters'!J6,'Deploy Parameters'!J7),'Deploy Parameters'!J6)</f>
        <v>rainpole.local</v>
      </c>
      <c r="N27" s="171"/>
      <c r="O27" s="209" t="str">
        <f t="shared" si="0"/>
        <v>vrslcm01svr01a</v>
      </c>
    </row>
    <row r="28" spans="1:15" s="210" customFormat="1" ht="16" customHeight="1">
      <c r="A28" s="170" t="s">
        <v>31</v>
      </c>
      <c r="B28" s="173" t="str">
        <f>'Deploy Parameters'!F138</f>
        <v>sfo01vrli01</v>
      </c>
      <c r="C28" s="209" t="str">
        <f>'Deploy Parameters'!F139</f>
        <v>sfo01vrli01a</v>
      </c>
      <c r="D28" s="209" t="str">
        <f>'Deploy Parameters'!F140</f>
        <v>sfo01vrli01b</v>
      </c>
      <c r="E28" s="209" t="str">
        <f>'Deploy Parameters'!F141</f>
        <v>sfo01vrli01c</v>
      </c>
      <c r="F28" s="171"/>
      <c r="G28" s="171"/>
      <c r="H28" s="171"/>
      <c r="I28" s="171"/>
      <c r="J28" s="171"/>
      <c r="K28" s="171"/>
      <c r="L28" s="171"/>
      <c r="M28" s="209" t="str">
        <f>IF('Deploy Parameters'!J7="n/a",'Deploy Parameters'!J6,'Deploy Parameters'!J7)</f>
        <v>sfo01.rainpole.local</v>
      </c>
      <c r="N28" s="173" t="str">
        <f>'Deploy Parameters'!G138</f>
        <v>192.168.31.10</v>
      </c>
      <c r="O28" s="209" t="str">
        <f t="shared" si="0"/>
        <v>sfo01vrli01</v>
      </c>
    </row>
    <row r="29" spans="1:15" s="210" customFormat="1" ht="16" customHeight="1">
      <c r="A29" s="170" t="s">
        <v>6</v>
      </c>
      <c r="B29" s="173" t="str">
        <f>'Deploy Parameters'!F127</f>
        <v>vrops01svr01</v>
      </c>
      <c r="C29" s="209" t="str">
        <f>'Deploy Parameters'!F128</f>
        <v>vrops01svr01a</v>
      </c>
      <c r="D29" s="209" t="str">
        <f>'Deploy Parameters'!F129</f>
        <v>vrops01svr01b</v>
      </c>
      <c r="E29" s="209" t="str">
        <f>'Deploy Parameters'!F130</f>
        <v>vrops01svr01c</v>
      </c>
      <c r="F29" s="171"/>
      <c r="G29" s="171"/>
      <c r="H29" s="171"/>
      <c r="I29" s="171"/>
      <c r="J29" s="171"/>
      <c r="K29" s="171"/>
      <c r="L29" s="171"/>
      <c r="M29" s="209" t="str">
        <f>IF('Deploy Parameters'!J8="child",IF('Deploy Parameters'!J7="n/a",'Deploy Parameters'!J6,'Deploy Parameters'!J7),'Deploy Parameters'!J6)</f>
        <v>rainpole.local</v>
      </c>
      <c r="N29" s="173" t="str">
        <f>'Deploy Parameters'!G127</f>
        <v>192.168.11.35</v>
      </c>
      <c r="O29" s="209" t="str">
        <f t="shared" si="0"/>
        <v>vrops01svr01</v>
      </c>
    </row>
    <row r="30" spans="1:15" s="210" customFormat="1" ht="16" customHeight="1">
      <c r="A30" s="170" t="s">
        <v>607</v>
      </c>
      <c r="B30" s="173" t="str">
        <f>'Deploy Parameters'!J116</f>
        <v>vra01svr01</v>
      </c>
      <c r="C30" s="173" t="str">
        <f>'Deploy Parameters'!F106</f>
        <v>vra01svr01a</v>
      </c>
      <c r="D30" s="173" t="str">
        <f>'Deploy Parameters'!F107</f>
        <v>vra01svr01b</v>
      </c>
      <c r="E30" s="209" t="str">
        <f>'Deploy Parameters'!F108</f>
        <v>vra01svr01c</v>
      </c>
      <c r="F30" s="209" t="str">
        <f>'Deploy Parameters'!J117</f>
        <v>vra01iws01</v>
      </c>
      <c r="G30" s="209" t="str">
        <f>'Deploy Parameters'!F109</f>
        <v>vra01iws01a</v>
      </c>
      <c r="H30" s="209" t="str">
        <f>'Deploy Parameters'!F110</f>
        <v>vra01iws01b</v>
      </c>
      <c r="I30" s="209" t="str">
        <f>'Deploy Parameters'!J118</f>
        <v>vra01ims01</v>
      </c>
      <c r="J30" s="209" t="str">
        <f>'Deploy Parameters'!F111</f>
        <v>vra01ims01a</v>
      </c>
      <c r="K30" s="209" t="str">
        <f>'Deploy Parameters'!F112</f>
        <v>vra01ims01b</v>
      </c>
      <c r="L30" s="171"/>
      <c r="M30" s="209" t="str">
        <f>IF('Deploy Parameters'!J8="child",IF('Deploy Parameters'!J7="n/a",'Deploy Parameters'!J6,'Deploy Parameters'!J7),'Deploy Parameters'!J6)</f>
        <v>rainpole.local</v>
      </c>
      <c r="N30" s="173" t="str">
        <f>'Deploy Parameters'!K116</f>
        <v>192.168.11.53</v>
      </c>
      <c r="O30" s="209" t="str">
        <f t="shared" si="0"/>
        <v>vra01svr01</v>
      </c>
    </row>
    <row r="31" spans="1:15" s="210" customFormat="1" ht="16" customHeight="1">
      <c r="A31" s="170" t="s">
        <v>592</v>
      </c>
      <c r="B31" s="173" t="str">
        <f>'Deploy Parameters'!F122</f>
        <v>vrb01svr01</v>
      </c>
      <c r="C31" s="171"/>
      <c r="D31" s="171"/>
      <c r="E31" s="171"/>
      <c r="F31" s="171"/>
      <c r="G31" s="171"/>
      <c r="H31" s="171"/>
      <c r="I31" s="171"/>
      <c r="J31" s="171"/>
      <c r="K31" s="171"/>
      <c r="L31" s="171"/>
      <c r="M31" s="209" t="str">
        <f>IF('Deploy Parameters'!J8="child",IF('Deploy Parameters'!J7="n/a",'Deploy Parameters'!J6,'Deploy Parameters'!J7),'Deploy Parameters'!J6)</f>
        <v>rainpole.local</v>
      </c>
      <c r="N31" s="171"/>
      <c r="O31" s="209" t="str">
        <f t="shared" si="0"/>
        <v>vrb01svr01</v>
      </c>
    </row>
  </sheetData>
  <sheetProtection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6A5674E7364043BDA7AE8054A18BFA" ma:contentTypeVersion="6" ma:contentTypeDescription="Create a new document." ma:contentTypeScope="" ma:versionID="f3bf2c5d283e4895e01c70277a1dfa67">
  <xsd:schema xmlns:xsd="http://www.w3.org/2001/XMLSchema" xmlns:xs="http://www.w3.org/2001/XMLSchema" xmlns:p="http://schemas.microsoft.com/office/2006/metadata/properties" xmlns:ns2="027d102c-2a58-4335-9ac9-f4263fb4140c" xmlns:ns3="e9c4760e-fc5f-453e-9cb9-322215ce473c" targetNamespace="http://schemas.microsoft.com/office/2006/metadata/properties" ma:root="true" ma:fieldsID="730c3ad038dd646d5dd2566a9876ea6c" ns2:_="" ns3:_="">
    <xsd:import namespace="027d102c-2a58-4335-9ac9-f4263fb4140c"/>
    <xsd:import namespace="e9c4760e-fc5f-453e-9cb9-322215ce473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7d102c-2a58-4335-9ac9-f4263fb4140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9c4760e-fc5f-453e-9cb9-322215ce473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8C2FE88B-6B9C-42D3-B968-F8E6021726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7d102c-2a58-4335-9ac9-f4263fb4140c"/>
    <ds:schemaRef ds:uri="e9c4760e-fc5f-453e-9cb9-322215ce47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DD9441E-4163-4C29-A591-891C9204329F}">
  <ds:schemaRefs>
    <ds:schemaRef ds:uri="http://schemas.microsoft.com/sharepoint/v3/contenttype/forms"/>
  </ds:schemaRefs>
</ds:datastoreItem>
</file>

<file path=customXml/itemProps3.xml><?xml version="1.0" encoding="utf-8"?>
<ds:datastoreItem xmlns:ds="http://schemas.openxmlformats.org/officeDocument/2006/customXml" ds:itemID="{8C764FA8-E187-4ABA-86B6-51F1D87DE4F4}">
  <ds:schemaRefs>
    <ds:schemaRef ds:uri="http://schemas.microsoft.com/office/2006/metadata/properties"/>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www.w3.org/XML/1998/namespace"/>
    <ds:schemaRef ds:uri="e9c4760e-fc5f-453e-9cb9-322215ce473c"/>
    <ds:schemaRef ds:uri="http://purl.org/dc/elements/1.1/"/>
    <ds:schemaRef ds:uri="027d102c-2a58-4335-9ac9-f4263fb4140c"/>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Prerequisite Checklist</vt:lpstr>
      <vt:lpstr>Management Workloads</vt:lpstr>
      <vt:lpstr>Users and Groups</vt:lpstr>
      <vt:lpstr>Hosts and Networks</vt:lpstr>
      <vt:lpstr>Deploy Parameters</vt:lpstr>
      <vt:lpstr>vRA Configuration</vt:lpstr>
      <vt:lpstr>Run Parameters</vt:lpstr>
      <vt:lpstr>Lookup_Lists</vt:lpstr>
      <vt:lpstr>CertConfig</vt:lpstr>
      <vt:lpstr>Config_File_Build</vt:lpstr>
      <vt:lpstr>Change Log</vt:lpstr>
      <vt:lpstr>EVC_Settings</vt:lpstr>
      <vt:lpstr>'Deploy Parameters'!Print_Area</vt:lpstr>
      <vt:lpstr>'Users and Groups'!Print_Area</vt:lpstr>
      <vt:lpstr>'vRA Configuration'!Print_Area</vt:lpstr>
      <vt:lpstr>Timezone_Index</vt:lpstr>
      <vt:lpstr>vRB_Currencies</vt:lpstr>
    </vt:vector>
  </TitlesOfParts>
  <Company>VMware,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VMware Validated Design for IT Automation Deploy Service Checklist</dc:title>
  <dc:subject>VMware Validated Design for IT Automation Deploy Service Kit</dc:subject>
  <dc:creator>VMware Global Technical and Professional Services</dc:creator>
  <cp:lastModifiedBy>Ramya Patil</cp:lastModifiedBy>
  <dcterms:created xsi:type="dcterms:W3CDTF">2015-04-26T05:38:09Z</dcterms:created>
  <dcterms:modified xsi:type="dcterms:W3CDTF">2019-01-15T21:08:40Z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0x010100E56A5674E7364043BDA7AE8054A18BFA</vt:lpwstr>
  </property>
  <property fmtid="{D5CDD505-2E9C-101B-9397-08002B2CF9AE}" pid="3" name="Order">
    <vt:r8>1823000</vt:r8>
  </property>
  <property fmtid="{D5CDD505-2E9C-101B-9397-08002B2CF9AE}" pid="4" name="URL">
    <vt:lpwstr/>
  </property>
  <property fmtid="{D5CDD505-2E9C-101B-9397-08002B2CF9AE}" pid="5" name="xd_ProgID">
    <vt:lpwstr/>
  </property>
  <property fmtid="{D5CDD505-2E9C-101B-9397-08002B2CF9AE}" pid="6" name="Gap Analysis Complete">
    <vt:bool>true</vt:bool>
  </property>
  <property fmtid="{D5CDD505-2E9C-101B-9397-08002B2CF9AE}" pid="7" name="TemplateUrl">
    <vt:lpwstr/>
  </property>
  <property fmtid="{D5CDD505-2E9C-101B-9397-08002B2CF9AE}" pid="8" name="Latest Kit Archived on Perforce">
    <vt:bool>true</vt:bool>
  </property>
  <property fmtid="{D5CDD505-2E9C-101B-9397-08002B2CF9AE}" pid="9" name="Team Developing">
    <vt:lpwstr/>
  </property>
  <property fmtid="{D5CDD505-2E9C-101B-9397-08002B2CF9AE}" pid="10" name="Organization">
    <vt:lpwstr/>
  </property>
  <property fmtid="{D5CDD505-2E9C-101B-9397-08002B2CF9AE}" pid="11" name="Layer">
    <vt:lpwstr/>
  </property>
</Properties>
</file>